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DLB\ZA - BAUGE EN ANJOU  (49) 3 - MILLET Joel\Dossier déposé 17-07-2024\"/>
    </mc:Choice>
  </mc:AlternateContent>
  <xr:revisionPtr revIDLastSave="0" documentId="13_ncr:1_{8C940F8E-9ECE-4511-AB7A-C2E5CB4C155A}" xr6:coauthVersionLast="36" xr6:coauthVersionMax="36" xr10:uidLastSave="{00000000-0000-0000-0000-000000000000}"/>
  <bookViews>
    <workbookView xWindow="0" yWindow="0" windowWidth="28800" windowHeight="1210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6" l="1"/>
  <c r="I22" i="6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166" i="2" a="1"/>
  <c r="AH166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90" i="2" l="1" a="1"/>
  <c r="AH90" i="2" s="1"/>
  <c r="AH151" i="2" a="1"/>
  <c r="AH151" i="2" s="1"/>
  <c r="AH62" i="2" a="1"/>
  <c r="AH62" i="2" s="1"/>
  <c r="AH163" i="2" a="1"/>
  <c r="AH163" i="2" s="1"/>
  <c r="AH199" i="2" a="1"/>
  <c r="AH199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<sst xmlns="http://schemas.openxmlformats.org/spreadsheetml/2006/main" count="1170" uniqueCount="324">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</sst>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000000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2" fillId="21" borderId="1" xfId="0" applyFont="1" applyFill="1" applyBorder="1" applyAlignment="1" applyProtection="1">
      <alignment horizontal="center"/>
      <protection locked="0" hidden="1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" fillId="20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314.07191886152788</c:v>
                </c:pt>
                <c:pt idx="42">
                  <c:v>335.29560709579107</c:v>
                </c:pt>
                <c:pt idx="43">
                  <c:v>356.48971133078379</c:v>
                </c:pt>
                <c:pt idx="44">
                  <c:v>377.65623675733735</c:v>
                </c:pt>
                <c:pt idx="45">
                  <c:v>398.79694553728103</c:v>
                </c:pt>
                <c:pt idx="46">
                  <c:v>353.42725333031763</c:v>
                </c:pt>
                <c:pt idx="47">
                  <c:v>375.61724038320648</c:v>
                </c:pt>
                <c:pt idx="48">
                  <c:v>397.77868431648454</c:v>
                </c:pt>
                <c:pt idx="49">
                  <c:v>419.91339784568589</c:v>
                </c:pt>
                <c:pt idx="50">
                  <c:v>442.02298709837555</c:v>
                </c:pt>
                <c:pt idx="51">
                  <c:v>397.04677419414202</c:v>
                </c:pt>
                <c:pt idx="52">
                  <c:v>419.46841203373424</c:v>
                </c:pt>
                <c:pt idx="53">
                  <c:v>441.86423995233059</c:v>
                </c:pt>
                <c:pt idx="54">
                  <c:v>464.2357490458092</c:v>
                </c:pt>
                <c:pt idx="55">
                  <c:v>486.58427507999835</c:v>
                </c:pt>
                <c:pt idx="56">
                  <c:v>508.9110212072971</c:v>
                </c:pt>
                <c:pt idx="57">
                  <c:v>531.21707649038069</c:v>
                </c:pt>
                <c:pt idx="58">
                  <c:v>553.50343115388478</c:v>
                </c:pt>
                <c:pt idx="59">
                  <c:v>475.80905293653558</c:v>
                </c:pt>
                <c:pt idx="60">
                  <c:v>496.87938425766248</c:v>
                </c:pt>
                <c:pt idx="61">
                  <c:v>517.93079633437981</c:v>
                </c:pt>
                <c:pt idx="62">
                  <c:v>538.96416569474195</c:v>
                </c:pt>
                <c:pt idx="63">
                  <c:v>559.98029493096897</c:v>
                </c:pt>
                <c:pt idx="64">
                  <c:v>580.97992153281746</c:v>
                </c:pt>
                <c:pt idx="65">
                  <c:v>601.96372537813886</c:v>
                </c:pt>
                <c:pt idx="66">
                  <c:v>622.932335125348</c:v>
                </c:pt>
                <c:pt idx="67">
                  <c:v>557.13698805350487</c:v>
                </c:pt>
                <c:pt idx="68">
                  <c:v>573.40296810840198</c:v>
                </c:pt>
                <c:pt idx="69">
                  <c:v>589.65931608140193</c:v>
                </c:pt>
                <c:pt idx="70">
                  <c:v>605.90633475563175</c:v>
                </c:pt>
                <c:pt idx="71">
                  <c:v>622.14430936278279</c:v>
                </c:pt>
                <c:pt idx="72">
                  <c:v>638.37350904146251</c:v>
                </c:pt>
                <c:pt idx="73">
                  <c:v>654.59418813963009</c:v>
                </c:pt>
                <c:pt idx="74">
                  <c:v>670.80658738130876</c:v>
                </c:pt>
                <c:pt idx="75">
                  <c:v>635.38042145276233</c:v>
                </c:pt>
                <c:pt idx="76">
                  <c:v>646.56363932443753</c:v>
                </c:pt>
                <c:pt idx="77">
                  <c:v>657.74286732996552</c:v>
                </c:pt>
                <c:pt idx="78">
                  <c:v>668.91818281738085</c:v>
                </c:pt>
                <c:pt idx="79">
                  <c:v>680.08966034049365</c:v>
                </c:pt>
                <c:pt idx="80">
                  <c:v>691.25737180503893</c:v>
                </c:pt>
                <c:pt idx="81">
                  <c:v>702.42138660489547</c:v>
                </c:pt>
                <c:pt idx="82">
                  <c:v>713.58177174919865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1.5393896938194491</c:v>
                </c:pt>
                <c:pt idx="2">
                  <c:v>1.9340929760579824</c:v>
                </c:pt>
                <c:pt idx="3">
                  <c:v>2.4304041826975693</c:v>
                </c:pt>
                <c:pt idx="4">
                  <c:v>3.0545787484439804</c:v>
                </c:pt>
                <c:pt idx="5">
                  <c:v>3.839680427957596</c:v>
                </c:pt>
                <c:pt idx="6">
                  <c:v>4.8273525502098815</c:v>
                </c:pt>
                <c:pt idx="7">
                  <c:v>6.0700514754683512</c:v>
                </c:pt>
                <c:pt idx="8">
                  <c:v>7.6338631993393991</c:v>
                </c:pt>
                <c:pt idx="9">
                  <c:v>9.6020557757857823</c:v>
                </c:pt>
                <c:pt idx="10">
                  <c:v>12.079560300720253</c:v>
                </c:pt>
                <c:pt idx="11">
                  <c:v>15.198623807640407</c:v>
                </c:pt>
                <c:pt idx="12">
                  <c:v>19.125941354992019</c:v>
                </c:pt>
                <c:pt idx="13">
                  <c:v>24.071655343316234</c:v>
                </c:pt>
                <c:pt idx="14">
                  <c:v>30.300712128179242</c:v>
                </c:pt>
                <c:pt idx="15">
                  <c:v>38.147194904899251</c:v>
                </c:pt>
                <c:pt idx="16">
                  <c:v>48.03241472919786</c:v>
                </c:pt>
                <c:pt idx="17">
                  <c:v>60.487747376389791</c:v>
                </c:pt>
                <c:pt idx="18">
                  <c:v>76.183463875958196</c:v>
                </c:pt>
                <c:pt idx="19">
                  <c:v>95.96513133539338</c:v>
                </c:pt>
                <c:pt idx="20">
                  <c:v>120.89957623101225</c:v>
                </c:pt>
                <c:pt idx="21">
                  <c:v>127.54994966375402</c:v>
                </c:pt>
                <c:pt idx="22">
                  <c:v>134.19192451868898</c:v>
                </c:pt>
                <c:pt idx="23">
                  <c:v>140.82597594357114</c:v>
                </c:pt>
                <c:pt idx="24">
                  <c:v>147.45253056632168</c:v>
                </c:pt>
                <c:pt idx="25">
                  <c:v>154.0719734572057</c:v>
                </c:pt>
                <c:pt idx="26">
                  <c:v>160.68465382913149</c:v>
                </c:pt>
                <c:pt idx="27">
                  <c:v>167.2908897484331</c:v>
                </c:pt>
                <c:pt idx="28">
                  <c:v>173.89097206104813</c:v>
                </c:pt>
                <c:pt idx="29">
                  <c:v>180.48516769023783</c:v>
                </c:pt>
                <c:pt idx="30">
                  <c:v>187.07372242622981</c:v>
                </c:pt>
                <c:pt idx="31">
                  <c:v>194.16304064471555</c:v>
                </c:pt>
                <c:pt idx="32">
                  <c:v>201.24634176616689</c:v>
                </c:pt>
                <c:pt idx="33">
                  <c:v>208.32386777264207</c:v>
                </c:pt>
                <c:pt idx="34">
                  <c:v>215.39584283593408</c:v>
                </c:pt>
                <c:pt idx="35">
                  <c:v>222.46247518327695</c:v>
                </c:pt>
                <c:pt idx="36">
                  <c:v>229.52395871325157</c:v>
                </c:pt>
                <c:pt idx="37">
                  <c:v>236.58047440215805</c:v>
                </c:pt>
                <c:pt idx="38">
                  <c:v>243.63219153359822</c:v>
                </c:pt>
                <c:pt idx="39">
                  <c:v>250.67926877807722</c:v>
                </c:pt>
                <c:pt idx="40">
                  <c:v>257.72185514470988</c:v>
                </c:pt>
                <c:pt idx="41">
                  <c:v>201.24634176616689</c:v>
                </c:pt>
                <c:pt idx="42">
                  <c:v>208.32386777264207</c:v>
                </c:pt>
                <c:pt idx="43">
                  <c:v>215.39584283593408</c:v>
                </c:pt>
                <c:pt idx="44">
                  <c:v>222.46247518327695</c:v>
                </c:pt>
                <c:pt idx="45">
                  <c:v>229.52395871325157</c:v>
                </c:pt>
                <c:pt idx="46">
                  <c:v>236.58047440215805</c:v>
                </c:pt>
                <c:pt idx="47">
                  <c:v>243.63219153359822</c:v>
                </c:pt>
                <c:pt idx="48">
                  <c:v>250.67926877807722</c:v>
                </c:pt>
                <c:pt idx="49">
                  <c:v>257.72185514470988</c:v>
                </c:pt>
                <c:pt idx="50">
                  <c:v>264.76009082333889</c:v>
                </c:pt>
                <c:pt idx="51">
                  <c:v>272.79863050588671</c:v>
                </c:pt>
                <c:pt idx="52">
                  <c:v>280.83184541341694</c:v>
                </c:pt>
                <c:pt idx="53">
                  <c:v>288.85990949975201</c:v>
                </c:pt>
                <c:pt idx="54">
                  <c:v>296.88298625047742</c:v>
                </c:pt>
                <c:pt idx="55">
                  <c:v>304.90122958502047</c:v>
                </c:pt>
                <c:pt idx="56">
                  <c:v>312.91478465880101</c:v>
                </c:pt>
                <c:pt idx="57">
                  <c:v>320.9237885788545</c:v>
                </c:pt>
                <c:pt idx="58">
                  <c:v>328.92837104423444</c:v>
                </c:pt>
                <c:pt idx="59">
                  <c:v>336.92865492077652</c:v>
                </c:pt>
                <c:pt idx="60">
                  <c:v>344.92475675838381</c:v>
                </c:pt>
                <c:pt idx="61">
                  <c:v>285.34825454721067</c:v>
                </c:pt>
                <c:pt idx="62">
                  <c:v>292.8720614577478</c:v>
                </c:pt>
                <c:pt idx="63">
                  <c:v>300.39155369431421</c:v>
                </c:pt>
                <c:pt idx="64">
                  <c:v>307.90685461043864</c:v>
                </c:pt>
                <c:pt idx="65">
                  <c:v>315.41808104045475</c:v>
                </c:pt>
                <c:pt idx="66">
                  <c:v>322.92534379451826</c:v>
                </c:pt>
                <c:pt idx="67">
                  <c:v>330.4287481051519</c:v>
                </c:pt>
                <c:pt idx="68">
                  <c:v>337.92839403108081</c:v>
                </c:pt>
                <c:pt idx="69">
                  <c:v>345.42437682332138</c:v>
                </c:pt>
                <c:pt idx="70">
                  <c:v>352.9167872578102</c:v>
                </c:pt>
                <c:pt idx="71">
                  <c:v>291.56824760988326</c:v>
                </c:pt>
                <c:pt idx="72">
                  <c:v>299.28895999218292</c:v>
                </c:pt>
                <c:pt idx="73">
                  <c:v>307.00523587874881</c:v>
                </c:pt>
                <c:pt idx="74">
                  <c:v>314.71720261424775</c:v>
                </c:pt>
                <c:pt idx="75">
                  <c:v>322.42498078691864</c:v>
                </c:pt>
                <c:pt idx="76">
                  <c:v>330.12868474355952</c:v>
                </c:pt>
                <c:pt idx="77">
                  <c:v>337.82842305389983</c:v>
                </c:pt>
                <c:pt idx="78">
                  <c:v>345.52429893039567</c:v>
                </c:pt>
                <c:pt idx="79">
                  <c:v>353.21641060864749</c:v>
                </c:pt>
                <c:pt idx="80">
                  <c:v>360.90485169292765</c:v>
                </c:pt>
                <c:pt idx="81">
                  <c:v>298.18627576151783</c:v>
                </c:pt>
                <c:pt idx="82">
                  <c:v>306.50431116158171</c:v>
                </c:pt>
                <c:pt idx="83">
                  <c:v>314.81733022074974</c:v>
                </c:pt>
                <c:pt idx="84">
                  <c:v>323.12548419477213</c:v>
                </c:pt>
                <c:pt idx="85">
                  <c:v>331.42891591987274</c:v>
                </c:pt>
                <c:pt idx="86">
                  <c:v>339.72776048524321</c:v>
                </c:pt>
                <c:pt idx="87">
                  <c:v>348.02214583635424</c:v>
                </c:pt>
                <c:pt idx="88">
                  <c:v>356.31219331771285</c:v>
                </c:pt>
                <c:pt idx="89">
                  <c:v>364.59801816244266</c:v>
                </c:pt>
                <c:pt idx="90">
                  <c:v>372.87972993501268</c:v>
                </c:pt>
                <c:pt idx="91">
                  <c:v>308.20738114119689</c:v>
                </c:pt>
                <c:pt idx="92">
                  <c:v>316.51939170560036</c:v>
                </c:pt>
                <c:pt idx="93">
                  <c:v>324.82656710302007</c:v>
                </c:pt>
                <c:pt idx="94">
                  <c:v>333.1290485305754</c:v>
                </c:pt>
                <c:pt idx="95">
                  <c:v>341.42696956725422</c:v>
                </c:pt>
                <c:pt idx="96">
                  <c:v>349.7204567641636</c:v>
                </c:pt>
                <c:pt idx="97">
                  <c:v>358.00963017583189</c:v>
                </c:pt>
                <c:pt idx="98">
                  <c:v>366.29460383970871</c:v>
                </c:pt>
                <c:pt idx="99">
                  <c:v>374.57548620999506</c:v>
                </c:pt>
                <c:pt idx="100">
                  <c:v>382.85238055108965</c:v>
                </c:pt>
                <c:pt idx="101">
                  <c:v>1.590873277977066E-12</c:v>
                </c:pt>
                <c:pt idx="102">
                  <c:v>1.590873277977066E-12</c:v>
                </c:pt>
                <c:pt idx="103">
                  <c:v>1.590873277977066E-12</c:v>
                </c:pt>
                <c:pt idx="104">
                  <c:v>1.590873277977066E-12</c:v>
                </c:pt>
                <c:pt idx="105">
                  <c:v>1.590873277977066E-12</c:v>
                </c:pt>
                <c:pt idx="106">
                  <c:v>1.590873277977066E-12</c:v>
                </c:pt>
                <c:pt idx="107">
                  <c:v>1.590873277977066E-12</c:v>
                </c:pt>
                <c:pt idx="108">
                  <c:v>1.590873277977066E-12</c:v>
                </c:pt>
                <c:pt idx="109">
                  <c:v>1.590873277977066E-12</c:v>
                </c:pt>
                <c:pt idx="110">
                  <c:v>1.590873277977066E-12</c:v>
                </c:pt>
                <c:pt idx="111">
                  <c:v>1.590873277977066E-12</c:v>
                </c:pt>
                <c:pt idx="112">
                  <c:v>1.590873277977066E-12</c:v>
                </c:pt>
                <c:pt idx="113">
                  <c:v>1.590873277977066E-12</c:v>
                </c:pt>
                <c:pt idx="114">
                  <c:v>1.590873277977066E-12</c:v>
                </c:pt>
                <c:pt idx="115">
                  <c:v>1.590873277977066E-12</c:v>
                </c:pt>
                <c:pt idx="116">
                  <c:v>1.590873277977066E-12</c:v>
                </c:pt>
                <c:pt idx="117">
                  <c:v>1.590873277977066E-12</c:v>
                </c:pt>
                <c:pt idx="118">
                  <c:v>1.590873277977066E-12</c:v>
                </c:pt>
                <c:pt idx="119">
                  <c:v>1.590873277977066E-12</c:v>
                </c:pt>
                <c:pt idx="120">
                  <c:v>1.590873277977066E-12</c:v>
                </c:pt>
                <c:pt idx="121">
                  <c:v>1.590873277977066E-12</c:v>
                </c:pt>
                <c:pt idx="122">
                  <c:v>1.590873277977066E-12</c:v>
                </c:pt>
                <c:pt idx="123">
                  <c:v>1.590873277977066E-12</c:v>
                </c:pt>
                <c:pt idx="124">
                  <c:v>1.590873277977066E-12</c:v>
                </c:pt>
                <c:pt idx="125">
                  <c:v>1.590873277977066E-12</c:v>
                </c:pt>
                <c:pt idx="126">
                  <c:v>1.590873277977066E-12</c:v>
                </c:pt>
                <c:pt idx="127">
                  <c:v>1.590873277977066E-12</c:v>
                </c:pt>
                <c:pt idx="128">
                  <c:v>1.590873277977066E-12</c:v>
                </c:pt>
                <c:pt idx="129">
                  <c:v>1.590873277977066E-12</c:v>
                </c:pt>
                <c:pt idx="130">
                  <c:v>1.590873277977066E-12</c:v>
                </c:pt>
                <c:pt idx="131">
                  <c:v>1.590873277977066E-12</c:v>
                </c:pt>
                <c:pt idx="132">
                  <c:v>1.590873277977066E-12</c:v>
                </c:pt>
                <c:pt idx="133">
                  <c:v>1.590873277977066E-12</c:v>
                </c:pt>
                <c:pt idx="134">
                  <c:v>1.590873277977066E-12</c:v>
                </c:pt>
                <c:pt idx="135">
                  <c:v>1.590873277977066E-12</c:v>
                </c:pt>
                <c:pt idx="136">
                  <c:v>1.590873277977066E-12</c:v>
                </c:pt>
                <c:pt idx="137">
                  <c:v>1.590873277977066E-12</c:v>
                </c:pt>
                <c:pt idx="138">
                  <c:v>1.590873277977066E-12</c:v>
                </c:pt>
                <c:pt idx="139">
                  <c:v>1.590873277977066E-12</c:v>
                </c:pt>
                <c:pt idx="140">
                  <c:v>1.590873277977066E-12</c:v>
                </c:pt>
                <c:pt idx="141">
                  <c:v>1.590873277977066E-12</c:v>
                </c:pt>
                <c:pt idx="142">
                  <c:v>1.590873277977066E-12</c:v>
                </c:pt>
                <c:pt idx="143">
                  <c:v>1.590873277977066E-12</c:v>
                </c:pt>
                <c:pt idx="144">
                  <c:v>1.590873277977066E-12</c:v>
                </c:pt>
                <c:pt idx="145">
                  <c:v>1.590873277977066E-12</c:v>
                </c:pt>
                <c:pt idx="146">
                  <c:v>1.590873277977066E-12</c:v>
                </c:pt>
                <c:pt idx="147">
                  <c:v>1.590873277977066E-12</c:v>
                </c:pt>
                <c:pt idx="148">
                  <c:v>1.590873277977066E-12</c:v>
                </c:pt>
                <c:pt idx="149">
                  <c:v>1.590873277977066E-12</c:v>
                </c:pt>
                <c:pt idx="150">
                  <c:v>1.590873277977066E-12</c:v>
                </c:pt>
                <c:pt idx="151">
                  <c:v>1.590873277977066E-12</c:v>
                </c:pt>
                <c:pt idx="152">
                  <c:v>1.590873277977066E-12</c:v>
                </c:pt>
                <c:pt idx="153">
                  <c:v>1.590873277977066E-12</c:v>
                </c:pt>
                <c:pt idx="154">
                  <c:v>1.590873277977066E-12</c:v>
                </c:pt>
                <c:pt idx="155">
                  <c:v>1.590873277977066E-12</c:v>
                </c:pt>
                <c:pt idx="156">
                  <c:v>1.590873277977066E-12</c:v>
                </c:pt>
                <c:pt idx="157">
                  <c:v>1.590873277977066E-12</c:v>
                </c:pt>
                <c:pt idx="158">
                  <c:v>1.590873277977066E-12</c:v>
                </c:pt>
                <c:pt idx="159">
                  <c:v>1.590873277977066E-12</c:v>
                </c:pt>
                <c:pt idx="160">
                  <c:v>1.590873277977066E-12</c:v>
                </c:pt>
                <c:pt idx="161">
                  <c:v>1.590873277977066E-12</c:v>
                </c:pt>
                <c:pt idx="162">
                  <c:v>1.590873277977066E-12</c:v>
                </c:pt>
                <c:pt idx="163">
                  <c:v>1.590873277977066E-12</c:v>
                </c:pt>
                <c:pt idx="164">
                  <c:v>1.590873277977066E-12</c:v>
                </c:pt>
                <c:pt idx="165">
                  <c:v>1.590873277977066E-12</c:v>
                </c:pt>
                <c:pt idx="166">
                  <c:v>1.590873277977066E-12</c:v>
                </c:pt>
                <c:pt idx="167">
                  <c:v>1.590873277977066E-12</c:v>
                </c:pt>
                <c:pt idx="168">
                  <c:v>1.590873277977066E-12</c:v>
                </c:pt>
                <c:pt idx="169">
                  <c:v>1.590873277977066E-12</c:v>
                </c:pt>
                <c:pt idx="170">
                  <c:v>1.590873277977066E-12</c:v>
                </c:pt>
                <c:pt idx="171">
                  <c:v>1.590873277977066E-12</c:v>
                </c:pt>
                <c:pt idx="172">
                  <c:v>1.590873277977066E-12</c:v>
                </c:pt>
                <c:pt idx="173">
                  <c:v>1.590873277977066E-12</c:v>
                </c:pt>
                <c:pt idx="174">
                  <c:v>1.590873277977066E-12</c:v>
                </c:pt>
                <c:pt idx="175">
                  <c:v>1.590873277977066E-12</c:v>
                </c:pt>
                <c:pt idx="176">
                  <c:v>1.590873277977066E-12</c:v>
                </c:pt>
                <c:pt idx="177">
                  <c:v>1.590873277977066E-12</c:v>
                </c:pt>
                <c:pt idx="178">
                  <c:v>1.590873277977066E-12</c:v>
                </c:pt>
                <c:pt idx="179">
                  <c:v>1.590873277977066E-12</c:v>
                </c:pt>
                <c:pt idx="180">
                  <c:v>1.590873277977066E-12</c:v>
                </c:pt>
                <c:pt idx="181">
                  <c:v>1.590873277977066E-12</c:v>
                </c:pt>
                <c:pt idx="182">
                  <c:v>1.590873277977066E-12</c:v>
                </c:pt>
                <c:pt idx="183">
                  <c:v>1.590873277977066E-12</c:v>
                </c:pt>
                <c:pt idx="184">
                  <c:v>1.590873277977066E-12</c:v>
                </c:pt>
                <c:pt idx="185">
                  <c:v>1.590873277977066E-12</c:v>
                </c:pt>
                <c:pt idx="186">
                  <c:v>1.590873277977066E-12</c:v>
                </c:pt>
                <c:pt idx="187">
                  <c:v>1.590873277977066E-12</c:v>
                </c:pt>
                <c:pt idx="188">
                  <c:v>1.590873277977066E-12</c:v>
                </c:pt>
                <c:pt idx="189">
                  <c:v>1.590873277977066E-12</c:v>
                </c:pt>
                <c:pt idx="190">
                  <c:v>1.590873277977066E-12</c:v>
                </c:pt>
                <c:pt idx="191">
                  <c:v>1.590873277977066E-12</c:v>
                </c:pt>
                <c:pt idx="192">
                  <c:v>1.590873277977066E-12</c:v>
                </c:pt>
                <c:pt idx="193">
                  <c:v>1.590873277977066E-12</c:v>
                </c:pt>
                <c:pt idx="194">
                  <c:v>1.590873277977066E-12</c:v>
                </c:pt>
                <c:pt idx="195">
                  <c:v>1.590873277977066E-12</c:v>
                </c:pt>
                <c:pt idx="196">
                  <c:v>1.590873277977066E-12</c:v>
                </c:pt>
                <c:pt idx="197">
                  <c:v>1.590873277977066E-12</c:v>
                </c:pt>
                <c:pt idx="198">
                  <c:v>1.590873277977066E-12</c:v>
                </c:pt>
                <c:pt idx="199">
                  <c:v>1.590873277977066E-12</c:v>
                </c:pt>
                <c:pt idx="200">
                  <c:v>1.590873277977066E-12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5" t="s">
        <v>291</v>
      </c>
      <c r="C12" s="295"/>
      <c r="D12" s="295"/>
      <c r="E12" s="295"/>
      <c r="F12" s="295"/>
      <c r="G12" s="295"/>
      <c r="H12" s="295"/>
      <c r="I12" s="295"/>
      <c r="J12" s="295"/>
      <c r="K12" s="295"/>
      <c r="L12" s="295"/>
      <c r="M12" s="295"/>
    </row>
    <row r="13" spans="2:13" ht="15" customHeight="1" x14ac:dyDescent="0.25">
      <c r="B13" s="295"/>
      <c r="C13" s="295"/>
      <c r="D13" s="295"/>
      <c r="E13" s="295"/>
      <c r="F13" s="295"/>
      <c r="G13" s="295"/>
      <c r="H13" s="295"/>
      <c r="I13" s="295"/>
      <c r="J13" s="295"/>
      <c r="K13" s="295"/>
      <c r="L13" s="295"/>
      <c r="M13" s="295"/>
    </row>
    <row r="14" spans="2:13" ht="15" customHeight="1" x14ac:dyDescent="0.25">
      <c r="B14" s="295"/>
      <c r="C14" s="295"/>
      <c r="D14" s="295"/>
      <c r="E14" s="295"/>
      <c r="F14" s="295"/>
      <c r="G14" s="295"/>
      <c r="H14" s="295"/>
      <c r="I14" s="295"/>
      <c r="J14" s="295"/>
      <c r="K14" s="295"/>
      <c r="L14" s="295"/>
      <c r="M14" s="295"/>
    </row>
    <row r="15" spans="2:13" ht="18.75" customHeight="1" x14ac:dyDescent="0.25">
      <c r="B15" s="295"/>
      <c r="C15" s="295"/>
      <c r="D15" s="295"/>
      <c r="E15" s="295"/>
      <c r="F15" s="295"/>
      <c r="G15" s="295"/>
      <c r="H15" s="295"/>
      <c r="I15" s="295"/>
      <c r="J15" s="295"/>
      <c r="K15" s="295"/>
      <c r="L15" s="295"/>
      <c r="M15" s="295"/>
    </row>
    <row r="16" spans="2:13" ht="18.75" customHeight="1" x14ac:dyDescent="0.25">
      <c r="B16" s="295"/>
      <c r="C16" s="295"/>
      <c r="D16" s="295"/>
      <c r="E16" s="295"/>
      <c r="F16" s="295"/>
      <c r="G16" s="295"/>
      <c r="H16" s="295"/>
      <c r="I16" s="295"/>
      <c r="J16" s="295"/>
      <c r="K16" s="295"/>
      <c r="L16" s="295"/>
      <c r="M16" s="295"/>
    </row>
    <row r="18" spans="2:13" ht="12" customHeight="1" x14ac:dyDescent="0.25">
      <c r="B18" s="295" t="s">
        <v>292</v>
      </c>
      <c r="C18" s="295"/>
      <c r="D18" s="295"/>
      <c r="E18" s="295"/>
      <c r="F18" s="295"/>
      <c r="G18" s="295"/>
      <c r="H18" s="295"/>
      <c r="I18" s="295"/>
      <c r="J18" s="295"/>
      <c r="K18" s="295"/>
      <c r="L18" s="295"/>
      <c r="M18" s="295"/>
    </row>
    <row r="19" spans="2:13" ht="12" customHeight="1" x14ac:dyDescent="0.25">
      <c r="B19" s="295"/>
      <c r="C19" s="295"/>
      <c r="D19" s="295"/>
      <c r="E19" s="295"/>
      <c r="F19" s="295"/>
      <c r="G19" s="295"/>
      <c r="H19" s="295"/>
      <c r="I19" s="295"/>
      <c r="J19" s="295"/>
      <c r="K19" s="295"/>
      <c r="L19" s="295"/>
      <c r="M19" s="295"/>
    </row>
    <row r="20" spans="2:13" ht="12" customHeight="1" x14ac:dyDescent="0.25">
      <c r="B20" s="295"/>
      <c r="C20" s="295"/>
      <c r="D20" s="295"/>
      <c r="E20" s="295"/>
      <c r="F20" s="295"/>
      <c r="G20" s="295"/>
      <c r="H20" s="295"/>
      <c r="I20" s="295"/>
      <c r="J20" s="295"/>
      <c r="K20" s="295"/>
      <c r="L20" s="295"/>
      <c r="M20" s="295"/>
    </row>
    <row r="21" spans="2:13" ht="12" customHeight="1" x14ac:dyDescent="0.25">
      <c r="B21" s="295"/>
      <c r="C21" s="295"/>
      <c r="D21" s="295"/>
      <c r="E21" s="295"/>
      <c r="F21" s="295"/>
      <c r="G21" s="295"/>
      <c r="H21" s="295"/>
      <c r="I21" s="295"/>
      <c r="J21" s="295"/>
      <c r="K21" s="295"/>
      <c r="L21" s="295"/>
      <c r="M21" s="295"/>
    </row>
    <row r="22" spans="2:13" ht="12" customHeight="1" x14ac:dyDescent="0.25">
      <c r="B22" s="295"/>
      <c r="C22" s="295"/>
      <c r="D22" s="295"/>
      <c r="E22" s="295"/>
      <c r="F22" s="295"/>
      <c r="G22" s="295"/>
      <c r="H22" s="295"/>
      <c r="I22" s="295"/>
      <c r="J22" s="295"/>
      <c r="K22" s="295"/>
      <c r="L22" s="295"/>
      <c r="M22" s="295"/>
    </row>
    <row r="23" spans="2:13" ht="12" customHeight="1" x14ac:dyDescent="0.25">
      <c r="B23" s="295"/>
      <c r="C23" s="295"/>
      <c r="D23" s="295"/>
      <c r="E23" s="295"/>
      <c r="F23" s="295"/>
      <c r="G23" s="295"/>
      <c r="H23" s="295"/>
      <c r="I23" s="295"/>
      <c r="J23" s="295"/>
      <c r="K23" s="295"/>
      <c r="L23" s="295"/>
      <c r="M23" s="295"/>
    </row>
    <row r="24" spans="2:13" ht="12" customHeight="1" x14ac:dyDescent="0.25">
      <c r="B24" s="295"/>
      <c r="C24" s="295"/>
      <c r="D24" s="295"/>
      <c r="E24" s="295"/>
      <c r="F24" s="295"/>
      <c r="G24" s="295"/>
      <c r="H24" s="295"/>
      <c r="I24" s="295"/>
      <c r="J24" s="295"/>
      <c r="K24" s="295"/>
      <c r="L24" s="295"/>
      <c r="M24" s="295"/>
    </row>
    <row r="25" spans="2:13" ht="12" customHeight="1" x14ac:dyDescent="0.25">
      <c r="B25" s="295"/>
      <c r="C25" s="295"/>
      <c r="D25" s="295"/>
      <c r="E25" s="295"/>
      <c r="F25" s="295"/>
      <c r="G25" s="295"/>
      <c r="H25" s="295"/>
      <c r="I25" s="295"/>
      <c r="J25" s="295"/>
      <c r="K25" s="295"/>
      <c r="L25" s="295"/>
      <c r="M25" s="295"/>
    </row>
    <row r="26" spans="2:13" ht="12" customHeight="1" x14ac:dyDescent="0.25">
      <c r="B26" s="295"/>
      <c r="C26" s="295"/>
      <c r="D26" s="295"/>
      <c r="E26" s="295"/>
      <c r="F26" s="295"/>
      <c r="G26" s="295"/>
      <c r="H26" s="295"/>
      <c r="I26" s="295"/>
      <c r="J26" s="295"/>
      <c r="K26" s="295"/>
      <c r="L26" s="295"/>
      <c r="M26" s="295"/>
    </row>
    <row r="27" spans="2:13" ht="12" customHeight="1" x14ac:dyDescent="0.25">
      <c r="B27" s="295"/>
      <c r="C27" s="295"/>
      <c r="D27" s="295"/>
      <c r="E27" s="295"/>
      <c r="F27" s="295"/>
      <c r="G27" s="295"/>
      <c r="H27" s="295"/>
      <c r="I27" s="295"/>
      <c r="J27" s="295"/>
      <c r="K27" s="295"/>
      <c r="L27" s="295"/>
      <c r="M27" s="295"/>
    </row>
    <row r="28" spans="2:13" ht="12" customHeight="1" x14ac:dyDescent="0.25">
      <c r="B28" s="295"/>
      <c r="C28" s="295"/>
      <c r="D28" s="295"/>
      <c r="E28" s="295"/>
      <c r="F28" s="295"/>
      <c r="G28" s="295"/>
      <c r="H28" s="295"/>
      <c r="I28" s="295"/>
      <c r="J28" s="295"/>
      <c r="K28" s="295"/>
      <c r="L28" s="295"/>
      <c r="M28" s="295"/>
    </row>
    <row r="29" spans="2:13" ht="12" customHeight="1" x14ac:dyDescent="0.25">
      <c r="B29" s="295"/>
      <c r="C29" s="295"/>
      <c r="D29" s="295"/>
      <c r="E29" s="295"/>
      <c r="F29" s="295"/>
      <c r="G29" s="295"/>
      <c r="H29" s="295"/>
      <c r="I29" s="295"/>
      <c r="J29" s="295"/>
      <c r="K29" s="295"/>
      <c r="L29" s="295"/>
      <c r="M29" s="295"/>
    </row>
    <row r="30" spans="2:13" ht="12" customHeight="1" x14ac:dyDescent="0.25">
      <c r="B30" s="295"/>
      <c r="C30" s="295"/>
      <c r="D30" s="295"/>
      <c r="E30" s="295"/>
      <c r="F30" s="295"/>
      <c r="G30" s="295"/>
      <c r="H30" s="295"/>
      <c r="I30" s="295"/>
      <c r="J30" s="295"/>
      <c r="K30" s="295"/>
      <c r="L30" s="295"/>
      <c r="M30" s="295"/>
    </row>
    <row r="31" spans="2:13" ht="12" customHeight="1" x14ac:dyDescent="0.25">
      <c r="B31" s="295"/>
      <c r="C31" s="295"/>
      <c r="D31" s="295"/>
      <c r="E31" s="295"/>
      <c r="F31" s="295"/>
      <c r="G31" s="295"/>
      <c r="H31" s="295"/>
      <c r="I31" s="295"/>
      <c r="J31" s="295"/>
      <c r="K31" s="295"/>
      <c r="L31" s="295"/>
      <c r="M31" s="295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6" zoomScale="90" zoomScaleNormal="90" workbookViewId="0">
      <selection activeCell="G21" sqref="G21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6" t="s">
        <v>190</v>
      </c>
      <c r="D1" s="296"/>
      <c r="E1" s="29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301" t="s">
        <v>192</v>
      </c>
      <c r="C3" s="302"/>
      <c r="D3" s="302"/>
      <c r="E3" s="302"/>
      <c r="F3" s="303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7" t="s">
        <v>231</v>
      </c>
      <c r="B5" s="307"/>
      <c r="C5" s="26">
        <v>4.9000000000000004</v>
      </c>
      <c r="D5" s="308" t="s">
        <v>229</v>
      </c>
      <c r="E5" s="309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5" t="s">
        <v>226</v>
      </c>
      <c r="B7" s="305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35</v>
      </c>
      <c r="C9" s="35">
        <v>0.8</v>
      </c>
      <c r="D9" s="36">
        <f t="shared" ref="D9:D18" si="0">C9*$C$5</f>
        <v>3.9200000000000004</v>
      </c>
      <c r="E9" s="37">
        <v>82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164</v>
      </c>
      <c r="C10" s="35">
        <v>0.2</v>
      </c>
      <c r="D10" s="36">
        <f t="shared" si="0"/>
        <v>0.98000000000000009</v>
      </c>
      <c r="E10" s="37">
        <v>100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4.9000000000000004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4" t="s">
        <v>232</v>
      </c>
      <c r="B22" s="304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6" t="s">
        <v>227</v>
      </c>
      <c r="B30" s="306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laricio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7" t="s">
        <v>186</v>
      </c>
      <c r="D34" s="297"/>
      <c r="E34" s="298" t="s">
        <v>187</v>
      </c>
      <c r="F34" s="299"/>
      <c r="G34" s="299"/>
      <c r="H34" s="300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292">
        <v>22</v>
      </c>
      <c r="B36" s="292">
        <v>123</v>
      </c>
      <c r="C36" s="292">
        <v>1</v>
      </c>
      <c r="D36" s="292">
        <v>16</v>
      </c>
      <c r="E36" s="54"/>
      <c r="F36" s="54"/>
      <c r="G36" s="54">
        <v>1</v>
      </c>
      <c r="H36" s="54"/>
      <c r="I36" s="52">
        <f>IFERROR(B36/A36,"")</f>
        <v>5.5909090909090908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292">
        <v>25</v>
      </c>
      <c r="B37" s="292">
        <v>144</v>
      </c>
      <c r="C37" s="292">
        <v>2</v>
      </c>
      <c r="D37" s="292">
        <v>17</v>
      </c>
      <c r="E37" s="54"/>
      <c r="F37" s="54"/>
      <c r="G37" s="54">
        <v>1</v>
      </c>
      <c r="H37" s="54"/>
      <c r="I37" s="56">
        <f t="shared" ref="I37:I55" si="1">IF(A37&lt;&gt;0,(B37-(B36-D36))/(A37-A36),"")</f>
        <v>12.333333333333334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292">
        <v>30</v>
      </c>
      <c r="B38" s="292">
        <v>194</v>
      </c>
      <c r="C38" s="292">
        <v>3</v>
      </c>
      <c r="D38" s="292">
        <v>34</v>
      </c>
      <c r="E38" s="54">
        <v>0.15</v>
      </c>
      <c r="F38" s="54">
        <v>0.4</v>
      </c>
      <c r="G38" s="54">
        <v>0.45</v>
      </c>
      <c r="H38" s="54"/>
      <c r="I38" s="56">
        <f t="shared" si="1"/>
        <v>13.4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292">
        <v>35</v>
      </c>
      <c r="B39" s="292">
        <v>233</v>
      </c>
      <c r="C39" s="292">
        <v>4</v>
      </c>
      <c r="D39" s="292">
        <v>41</v>
      </c>
      <c r="E39" s="54">
        <v>0.2</v>
      </c>
      <c r="F39" s="54">
        <v>0.4</v>
      </c>
      <c r="G39" s="54">
        <v>0.4</v>
      </c>
      <c r="H39" s="54"/>
      <c r="I39" s="52">
        <f t="shared" si="1"/>
        <v>14.6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292">
        <v>40</v>
      </c>
      <c r="B40" s="292">
        <v>264</v>
      </c>
      <c r="C40" s="292">
        <v>5</v>
      </c>
      <c r="D40" s="292">
        <v>41</v>
      </c>
      <c r="E40" s="54"/>
      <c r="F40" s="54"/>
      <c r="G40" s="54"/>
      <c r="H40" s="54"/>
      <c r="I40" s="52">
        <f t="shared" si="1"/>
        <v>14.4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292">
        <v>45</v>
      </c>
      <c r="B41" s="292">
        <v>306</v>
      </c>
      <c r="C41" s="292">
        <v>6</v>
      </c>
      <c r="D41" s="292">
        <v>53</v>
      </c>
      <c r="E41" s="54"/>
      <c r="F41" s="54"/>
      <c r="G41" s="54"/>
      <c r="H41" s="54"/>
      <c r="I41" s="56">
        <f t="shared" si="1"/>
        <v>16.600000000000001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292">
        <v>50</v>
      </c>
      <c r="B42" s="292">
        <v>340</v>
      </c>
      <c r="C42" s="292">
        <v>7</v>
      </c>
      <c r="D42" s="292">
        <v>53</v>
      </c>
      <c r="E42" s="54"/>
      <c r="F42" s="54"/>
      <c r="G42" s="54"/>
      <c r="H42" s="54"/>
      <c r="I42" s="56">
        <f t="shared" si="1"/>
        <v>17.399999999999999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92">
        <v>58</v>
      </c>
      <c r="B43" s="292">
        <v>428</v>
      </c>
      <c r="C43" s="292">
        <v>8</v>
      </c>
      <c r="D43" s="292">
        <v>78</v>
      </c>
      <c r="E43" s="54"/>
      <c r="F43" s="54"/>
      <c r="G43" s="54"/>
      <c r="H43" s="54"/>
      <c r="I43" s="52">
        <f t="shared" si="1"/>
        <v>17.625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92">
        <v>66</v>
      </c>
      <c r="B44" s="292">
        <v>483</v>
      </c>
      <c r="C44" s="292">
        <v>9</v>
      </c>
      <c r="D44" s="292">
        <v>65</v>
      </c>
      <c r="E44" s="54"/>
      <c r="F44" s="54"/>
      <c r="G44" s="54"/>
      <c r="H44" s="54"/>
      <c r="I44" s="52">
        <f t="shared" si="1"/>
        <v>16.625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92">
        <v>74</v>
      </c>
      <c r="B45" s="292">
        <v>521</v>
      </c>
      <c r="C45" s="292">
        <v>10</v>
      </c>
      <c r="D45" s="292">
        <v>37</v>
      </c>
      <c r="E45" s="54"/>
      <c r="F45" s="54"/>
      <c r="G45" s="54"/>
      <c r="H45" s="54"/>
      <c r="I45" s="52">
        <f t="shared" si="1"/>
        <v>12.875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92">
        <v>82</v>
      </c>
      <c r="B46" s="292">
        <v>555</v>
      </c>
      <c r="C46" s="292">
        <v>11</v>
      </c>
      <c r="D46" s="292">
        <v>555</v>
      </c>
      <c r="E46" s="54"/>
      <c r="F46" s="54"/>
      <c r="G46" s="54"/>
      <c r="H46" s="54"/>
      <c r="I46" s="52">
        <f t="shared" si="1"/>
        <v>8.875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Cèdre de l'Atlas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7" t="s">
        <v>186</v>
      </c>
      <c r="D60" s="297"/>
      <c r="E60" s="298" t="s">
        <v>187</v>
      </c>
      <c r="F60" s="299"/>
      <c r="G60" s="299"/>
      <c r="H60" s="300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292">
        <v>20</v>
      </c>
      <c r="B62" s="292">
        <v>115</v>
      </c>
      <c r="C62" s="292">
        <v>1</v>
      </c>
      <c r="D62" s="292">
        <v>0</v>
      </c>
      <c r="E62" s="54"/>
      <c r="F62" s="54"/>
      <c r="G62" s="54"/>
      <c r="H62" s="54"/>
      <c r="I62" s="56">
        <f>IFERROR(B62/A62,"")</f>
        <v>5.75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292">
        <v>30</v>
      </c>
      <c r="B63" s="292">
        <v>180</v>
      </c>
      <c r="C63" s="292">
        <v>2</v>
      </c>
      <c r="D63" s="292">
        <v>0</v>
      </c>
      <c r="E63" s="54"/>
      <c r="F63" s="54"/>
      <c r="G63" s="54"/>
      <c r="H63" s="54"/>
      <c r="I63" s="52">
        <f>IF(A63&lt;&gt;0,(B63-(B62-D62))/(A63-A62),"")</f>
        <v>6.5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292">
        <v>40</v>
      </c>
      <c r="B64" s="292">
        <v>250</v>
      </c>
      <c r="C64" s="292">
        <v>3</v>
      </c>
      <c r="D64" s="292">
        <v>63</v>
      </c>
      <c r="E64" s="54"/>
      <c r="F64" s="54"/>
      <c r="G64" s="54"/>
      <c r="H64" s="54"/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292">
        <v>50</v>
      </c>
      <c r="B65" s="292">
        <v>257</v>
      </c>
      <c r="C65" s="292">
        <v>4</v>
      </c>
      <c r="D65" s="292">
        <v>0</v>
      </c>
      <c r="E65" s="54"/>
      <c r="F65" s="54"/>
      <c r="G65" s="54"/>
      <c r="H65" s="54"/>
      <c r="I65" s="52">
        <f>IF(A65&lt;&gt;0,(B65-(B64-D64))/(A65-A64),"")</f>
        <v>7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292">
        <v>60</v>
      </c>
      <c r="B66" s="292">
        <v>337</v>
      </c>
      <c r="C66" s="292">
        <v>5</v>
      </c>
      <c r="D66" s="292">
        <v>67</v>
      </c>
      <c r="E66" s="54"/>
      <c r="F66" s="54"/>
      <c r="G66" s="54"/>
      <c r="H66" s="54"/>
      <c r="I66" s="52">
        <f t="shared" ref="I66:I81" si="2">IF(A66&lt;&gt;0,(B66-(B65-D65))/(A66-A65),"")</f>
        <v>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292">
        <v>70</v>
      </c>
      <c r="B67" s="292">
        <v>345</v>
      </c>
      <c r="C67" s="292">
        <v>6</v>
      </c>
      <c r="D67" s="292">
        <v>69</v>
      </c>
      <c r="E67" s="54"/>
      <c r="F67" s="54"/>
      <c r="G67" s="54"/>
      <c r="H67" s="54"/>
      <c r="I67" s="52">
        <f t="shared" si="2"/>
        <v>7.5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292">
        <v>80</v>
      </c>
      <c r="B68" s="292">
        <v>353</v>
      </c>
      <c r="C68" s="292">
        <v>7</v>
      </c>
      <c r="D68" s="292">
        <v>71</v>
      </c>
      <c r="E68" s="54"/>
      <c r="F68" s="54"/>
      <c r="G68" s="54"/>
      <c r="H68" s="54"/>
      <c r="I68" s="52">
        <f t="shared" si="2"/>
        <v>7.7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292">
        <v>90</v>
      </c>
      <c r="B69" s="292">
        <v>365</v>
      </c>
      <c r="C69" s="292">
        <v>8</v>
      </c>
      <c r="D69" s="292">
        <v>73</v>
      </c>
      <c r="E69" s="54"/>
      <c r="F69" s="54"/>
      <c r="G69" s="54"/>
      <c r="H69" s="54"/>
      <c r="I69" s="52">
        <f t="shared" si="2"/>
        <v>8.3000000000000007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292">
        <v>100</v>
      </c>
      <c r="B70" s="292">
        <v>375</v>
      </c>
      <c r="C70" s="292">
        <v>9</v>
      </c>
      <c r="D70" s="292">
        <v>375</v>
      </c>
      <c r="E70" s="54"/>
      <c r="F70" s="54"/>
      <c r="G70" s="54"/>
      <c r="H70" s="54"/>
      <c r="I70" s="52">
        <f t="shared" si="2"/>
        <v>8.3000000000000007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7" t="s">
        <v>186</v>
      </c>
      <c r="D86" s="297"/>
      <c r="E86" s="298" t="s">
        <v>187</v>
      </c>
      <c r="F86" s="299"/>
      <c r="G86" s="299"/>
      <c r="H86" s="300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7" t="s">
        <v>186</v>
      </c>
      <c r="D112" s="297"/>
      <c r="E112" s="298" t="s">
        <v>187</v>
      </c>
      <c r="F112" s="299"/>
      <c r="G112" s="299"/>
      <c r="H112" s="300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7" t="s">
        <v>186</v>
      </c>
      <c r="D138" s="297"/>
      <c r="E138" s="298" t="s">
        <v>187</v>
      </c>
      <c r="F138" s="299"/>
      <c r="G138" s="299"/>
      <c r="H138" s="300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7" t="s">
        <v>186</v>
      </c>
      <c r="D164" s="297"/>
      <c r="E164" s="298" t="s">
        <v>187</v>
      </c>
      <c r="F164" s="299"/>
      <c r="G164" s="299"/>
      <c r="H164" s="300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7" t="s">
        <v>186</v>
      </c>
      <c r="D190" s="297"/>
      <c r="E190" s="298" t="s">
        <v>187</v>
      </c>
      <c r="F190" s="299"/>
      <c r="G190" s="299"/>
      <c r="H190" s="300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7" t="s">
        <v>186</v>
      </c>
      <c r="D216" s="297"/>
      <c r="E216" s="298" t="s">
        <v>187</v>
      </c>
      <c r="F216" s="299"/>
      <c r="G216" s="299"/>
      <c r="H216" s="300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7" t="s">
        <v>186</v>
      </c>
      <c r="D242" s="297"/>
      <c r="E242" s="298" t="s">
        <v>187</v>
      </c>
      <c r="F242" s="299"/>
      <c r="G242" s="299"/>
      <c r="H242" s="300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7" t="s">
        <v>186</v>
      </c>
      <c r="D268" s="297"/>
      <c r="E268" s="298" t="s">
        <v>187</v>
      </c>
      <c r="F268" s="299"/>
      <c r="G268" s="299"/>
      <c r="H268" s="300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7" zoomScale="115" zoomScaleNormal="115" workbookViewId="0">
      <selection activeCell="G21" sqref="G2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11" t="s">
        <v>191</v>
      </c>
      <c r="C2" s="312"/>
      <c r="D2" s="312"/>
      <c r="E2" s="312"/>
      <c r="F2" s="312"/>
      <c r="G2" s="313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10"/>
      <c r="C4" s="310"/>
      <c r="D4" s="310"/>
      <c r="E4" s="310"/>
      <c r="F4" s="310"/>
      <c r="G4" s="310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7" t="s">
        <v>176</v>
      </c>
      <c r="C1" s="318"/>
      <c r="D1" s="318"/>
      <c r="E1" s="318"/>
      <c r="F1" s="318"/>
      <c r="G1" s="318"/>
      <c r="H1" s="319"/>
      <c r="I1" s="314" t="str">
        <f>IF('Données projet'!$B$9="","",'Données projet'!$B$9)</f>
        <v>Pin laricio</v>
      </c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6"/>
      <c r="AD1" s="315" t="str">
        <f>IF('Données projet'!$B$10="","",'Données projet'!$B$10)</f>
        <v>Cèdre de l'Atlas</v>
      </c>
      <c r="AE1" s="315"/>
      <c r="AF1" s="315"/>
      <c r="AG1" s="315"/>
      <c r="AH1" s="315"/>
      <c r="AI1" s="315"/>
      <c r="AJ1" s="315"/>
      <c r="AK1" s="315"/>
      <c r="AL1" s="315"/>
      <c r="AM1" s="315"/>
      <c r="AN1" s="315"/>
      <c r="AO1" s="315"/>
      <c r="AP1" s="315"/>
      <c r="AQ1" s="315"/>
      <c r="AR1" s="315"/>
      <c r="AS1" s="315"/>
      <c r="AT1" s="315"/>
      <c r="AU1" s="315"/>
      <c r="AV1" s="315"/>
      <c r="AW1" s="315"/>
      <c r="AX1" s="316"/>
      <c r="AY1" s="314" t="str">
        <f>IF('Données projet'!$B$11="","",'Données projet'!$B$11)</f>
        <v/>
      </c>
      <c r="AZ1" s="315"/>
      <c r="BA1" s="315"/>
      <c r="BB1" s="315"/>
      <c r="BC1" s="315"/>
      <c r="BD1" s="315"/>
      <c r="BE1" s="315"/>
      <c r="BF1" s="315"/>
      <c r="BG1" s="315"/>
      <c r="BH1" s="315"/>
      <c r="BI1" s="315"/>
      <c r="BJ1" s="315"/>
      <c r="BK1" s="315"/>
      <c r="BL1" s="315"/>
      <c r="BM1" s="315"/>
      <c r="BN1" s="315"/>
      <c r="BO1" s="315"/>
      <c r="BP1" s="315"/>
      <c r="BQ1" s="315"/>
      <c r="BR1" s="315"/>
      <c r="BS1" s="316"/>
      <c r="BT1" s="314" t="str">
        <f>IF('Données projet'!$B$12="","",'Données projet'!$B$12)</f>
        <v/>
      </c>
      <c r="BU1" s="315"/>
      <c r="BV1" s="315"/>
      <c r="BW1" s="315"/>
      <c r="BX1" s="315"/>
      <c r="BY1" s="315"/>
      <c r="BZ1" s="315"/>
      <c r="CA1" s="315"/>
      <c r="CB1" s="315"/>
      <c r="CC1" s="315"/>
      <c r="CD1" s="315"/>
      <c r="CE1" s="315"/>
      <c r="CF1" s="315"/>
      <c r="CG1" s="315"/>
      <c r="CH1" s="315"/>
      <c r="CI1" s="315"/>
      <c r="CJ1" s="315"/>
      <c r="CK1" s="315"/>
      <c r="CL1" s="315"/>
      <c r="CM1" s="315"/>
      <c r="CN1" s="316"/>
      <c r="CO1" s="314" t="str">
        <f>IF('Données projet'!$B$13="","",'Données projet'!$B$13)</f>
        <v/>
      </c>
      <c r="CP1" s="315"/>
      <c r="CQ1" s="315"/>
      <c r="CR1" s="315"/>
      <c r="CS1" s="315"/>
      <c r="CT1" s="315"/>
      <c r="CU1" s="315"/>
      <c r="CV1" s="315"/>
      <c r="CW1" s="315"/>
      <c r="CX1" s="315"/>
      <c r="CY1" s="315"/>
      <c r="CZ1" s="315"/>
      <c r="DA1" s="315"/>
      <c r="DB1" s="315"/>
      <c r="DC1" s="315"/>
      <c r="DD1" s="315"/>
      <c r="DE1" s="315"/>
      <c r="DF1" s="315"/>
      <c r="DG1" s="315"/>
      <c r="DH1" s="315"/>
      <c r="DI1" s="316"/>
      <c r="DJ1" s="314" t="str">
        <f>IF('Données projet'!$B$14="","",'Données projet'!$B$14)</f>
        <v/>
      </c>
      <c r="DK1" s="315"/>
      <c r="DL1" s="315"/>
      <c r="DM1" s="315"/>
      <c r="DN1" s="315"/>
      <c r="DO1" s="315"/>
      <c r="DP1" s="315"/>
      <c r="DQ1" s="315"/>
      <c r="DR1" s="315"/>
      <c r="DS1" s="315"/>
      <c r="DT1" s="315"/>
      <c r="DU1" s="315"/>
      <c r="DV1" s="315"/>
      <c r="DW1" s="315"/>
      <c r="DX1" s="315"/>
      <c r="DY1" s="315"/>
      <c r="DZ1" s="315"/>
      <c r="EA1" s="315"/>
      <c r="EB1" s="315"/>
      <c r="EC1" s="315"/>
      <c r="ED1" s="316"/>
      <c r="EE1" s="314" t="str">
        <f>IF('Données projet'!$B$15="","",'Données projet'!$B$15)</f>
        <v/>
      </c>
      <c r="EF1" s="315"/>
      <c r="EG1" s="315"/>
      <c r="EH1" s="315"/>
      <c r="EI1" s="315"/>
      <c r="EJ1" s="315"/>
      <c r="EK1" s="315"/>
      <c r="EL1" s="315"/>
      <c r="EM1" s="315"/>
      <c r="EN1" s="315"/>
      <c r="EO1" s="315"/>
      <c r="EP1" s="315"/>
      <c r="EQ1" s="315"/>
      <c r="ER1" s="315"/>
      <c r="ES1" s="315"/>
      <c r="ET1" s="315"/>
      <c r="EU1" s="315"/>
      <c r="EV1" s="315"/>
      <c r="EW1" s="315"/>
      <c r="EX1" s="315"/>
      <c r="EY1" s="316"/>
      <c r="EZ1" s="314" t="str">
        <f>IF('Données projet'!$B$16="","",'Données projet'!$B$16)</f>
        <v/>
      </c>
      <c r="FA1" s="315"/>
      <c r="FB1" s="315"/>
      <c r="FC1" s="315"/>
      <c r="FD1" s="315"/>
      <c r="FE1" s="315"/>
      <c r="FF1" s="315"/>
      <c r="FG1" s="315"/>
      <c r="FH1" s="315"/>
      <c r="FI1" s="315"/>
      <c r="FJ1" s="315"/>
      <c r="FK1" s="315"/>
      <c r="FL1" s="315"/>
      <c r="FM1" s="315"/>
      <c r="FN1" s="315"/>
      <c r="FO1" s="315"/>
      <c r="FP1" s="315"/>
      <c r="FQ1" s="315"/>
      <c r="FR1" s="315"/>
      <c r="FS1" s="315"/>
      <c r="FT1" s="316"/>
      <c r="FU1" s="314" t="str">
        <f>IF('Données projet'!$B$17="","",'Données projet'!$B$17)</f>
        <v/>
      </c>
      <c r="FV1" s="315"/>
      <c r="FW1" s="315"/>
      <c r="FX1" s="315"/>
      <c r="FY1" s="315"/>
      <c r="FZ1" s="315"/>
      <c r="GA1" s="315"/>
      <c r="GB1" s="315"/>
      <c r="GC1" s="315"/>
      <c r="GD1" s="315"/>
      <c r="GE1" s="315"/>
      <c r="GF1" s="315"/>
      <c r="GG1" s="315"/>
      <c r="GH1" s="315"/>
      <c r="GI1" s="315"/>
      <c r="GJ1" s="315"/>
      <c r="GK1" s="315"/>
      <c r="GL1" s="315"/>
      <c r="GM1" s="315"/>
      <c r="GN1" s="315"/>
      <c r="GO1" s="316"/>
      <c r="GP1" s="314" t="str">
        <f>IF('Données projet'!$B$18="","",'Données projet'!$B$18)</f>
        <v/>
      </c>
      <c r="GQ1" s="315"/>
      <c r="GR1" s="315"/>
      <c r="GS1" s="315"/>
      <c r="GT1" s="315"/>
      <c r="GU1" s="315"/>
      <c r="GV1" s="315"/>
      <c r="GW1" s="315"/>
      <c r="GX1" s="315"/>
      <c r="GY1" s="315"/>
      <c r="GZ1" s="315"/>
      <c r="HA1" s="315"/>
      <c r="HB1" s="315"/>
      <c r="HC1" s="315"/>
      <c r="HD1" s="315"/>
      <c r="HE1" s="315"/>
      <c r="HF1" s="315"/>
      <c r="HG1" s="315"/>
      <c r="HH1" s="315"/>
      <c r="HI1" s="315"/>
      <c r="HJ1" s="316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362.81292020448933</v>
      </c>
      <c r="T3" s="62">
        <f>IF('Données projet'!E9&gt;30,$R$33-$H$33,LOOKUP('Données projet'!$E$9,$A$3:$A$203,R3:R203)-LOOKUP('Données projet'!$E$9,$A$3:$A$203,$H$3:$H$203))</f>
        <v>292.26503163353146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259.74478933784656</v>
      </c>
      <c r="AO3" s="62">
        <f>IF('Données projet'!E10&gt;30,$AM$33-$H$33,LOOKUP('Données projet'!$E$10,$A$3:$A$203,AM3:AM203)-LOOKUP('Données projet'!$E$10,$A$3:$A$203,$H$3:$H$203))</f>
        <v>223.74038909289646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5.5909090909090908</v>
      </c>
      <c r="N4" s="14">
        <f>IF('Données projet'!$A$36&gt;35,N3+M4-V3,IF(A4&lt;'Données projet'!$A$36,$K$205^A4,IF(A4='Données projet'!$A$36,'Données projet'!$B$36,N3+M4-V3)))</f>
        <v>1.244502252163008</v>
      </c>
      <c r="O4" s="14">
        <f>N4*VLOOKUP('Données projet'!$B$9,Paramètres!$A$1:$I$89,3,0)*VLOOKUP('Données projet'!$B$9,Paramètres!$A$1:$I$89,5,0)</f>
        <v>0.74421234679347892</v>
      </c>
      <c r="P4" s="14">
        <f>EXP(-1.0587+0.8836*LN(O4)+0.284)</f>
        <v>0.3549632728022305</v>
      </c>
      <c r="Q4" s="22">
        <f t="shared" ref="Q4:Q34" si="2">(O4+P4)*0.475*44/12</f>
        <v>1.9143975374625271</v>
      </c>
      <c r="R4" s="62">
        <f t="shared" si="0"/>
        <v>259.80328642635141</v>
      </c>
      <c r="S4" s="62">
        <f ca="1">AVERAGE(OFFSET($R$3,0,0,'Données projet'!$E$9+1,1))-AVERAGE(OFFSET($H$3,0,0,'Données projet'!$E$9+1,1))</f>
        <v>362.81292020448933</v>
      </c>
      <c r="T4" s="62">
        <f>$T$3</f>
        <v>292.26503163353146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5.75</v>
      </c>
      <c r="AI4" s="14">
        <f>IF('Données projet'!$A$62&gt;35,AI3+AH4-AQ3,IF(A4&lt;'Données projet'!$A$62,$AF$205^A4,IF(A4='Données projet'!$A$62,'Données projet'!$B$62,AI3+AH4-AQ3)))</f>
        <v>1.2677537154322802</v>
      </c>
      <c r="AJ4" s="14">
        <f>AI4*VLOOKUP('Données projet'!$B$10,Paramètres!$A$1:$I$89,3,0)*VLOOKUP('Données projet'!$B$10,Paramètres!$A$1:$I$89,5,0)</f>
        <v>0.59330873882230706</v>
      </c>
      <c r="AK4" s="14">
        <f>EXP(-1.0587+0.8836*LN(AJ4)+0.284)</f>
        <v>0.29055137246158741</v>
      </c>
      <c r="AL4" s="22">
        <f t="shared" ref="AL4:AL67" si="4">(AJ4+AK4)*0.475*44/12</f>
        <v>1.5393896938194491</v>
      </c>
      <c r="AM4" s="62">
        <f t="shared" ref="AM4:AM67" si="5">AL4+(AD4+AE4)*44/12</f>
        <v>259.42827858270829</v>
      </c>
      <c r="AN4" s="62">
        <f ca="1">AVERAGE(OFFSET($AM$3,0,0,'Données projet'!$E$10+1,1))-AVERAGE(OFFSET($H$3,0,0,'Données projet'!$E$10+1,1))</f>
        <v>259.74478933784656</v>
      </c>
      <c r="AO4" s="62">
        <f>$AO$3</f>
        <v>223.74038909289646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5.5909090909090908</v>
      </c>
      <c r="N5" s="14">
        <f>IF('Données projet'!$A$36&gt;35,N4+M5-V4,IF(A5&lt;'Données projet'!$A$36,$K$205^A5,IF(A5='Données projet'!$A$36,'Données projet'!$B$36,N4+M5-V4)))</f>
        <v>1.5487858556387992</v>
      </c>
      <c r="O5" s="14">
        <f>N5*VLOOKUP('Données projet'!$B$9,Paramètres!$A$1:$I$89,3,0)*VLOOKUP('Données projet'!$B$9,Paramètres!$A$1:$I$89,5,0)</f>
        <v>0.92617394167200195</v>
      </c>
      <c r="P5" s="14">
        <f t="shared" ref="P5:P68" si="33">EXP(-1.0587+0.8836*LN(O5)+0.284)</f>
        <v>0.43064718121421069</v>
      </c>
      <c r="Q5" s="22">
        <f t="shared" si="2"/>
        <v>2.3631301223601535</v>
      </c>
      <c r="R5" s="62">
        <f t="shared" si="0"/>
        <v>261.47424123347128</v>
      </c>
      <c r="S5" s="62">
        <f ca="1">AVERAGE(OFFSET($R$3,0,0,'Données projet'!$E$9+1,1))-AVERAGE(OFFSET($H$3,0,0,'Données projet'!$E$9+1,1))</f>
        <v>362.81292020448933</v>
      </c>
      <c r="T5" s="62">
        <f t="shared" ref="T5:T68" si="34">$T$3</f>
        <v>292.26503163353146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5.75</v>
      </c>
      <c r="AI5" s="14">
        <f>IF('Données projet'!$A$62&gt;35,AI4+AH5-AQ4,IF(A5&lt;'Données projet'!$A$62,$AF$205^A5,IF(A5='Données projet'!$A$62,'Données projet'!$B$62,AI4+AH5-AQ4)))</f>
        <v>1.6071994829923508</v>
      </c>
      <c r="AJ5" s="14">
        <f>AI5*VLOOKUP('Données projet'!$B$10,Paramètres!$A$1:$I$89,3,0)*VLOOKUP('Données projet'!$B$10,Paramètres!$A$1:$I$89,5,0)</f>
        <v>0.75216935804042018</v>
      </c>
      <c r="AK5" s="14">
        <f t="shared" ref="AK5:AK68" si="35">EXP(-1.0587+0.8836*LN(AJ5)+0.284)</f>
        <v>0.35831464735172275</v>
      </c>
      <c r="AL5" s="22">
        <f t="shared" si="4"/>
        <v>1.9340929760579824</v>
      </c>
      <c r="AM5" s="62">
        <f t="shared" si="5"/>
        <v>261.04520408716911</v>
      </c>
      <c r="AN5" s="62">
        <f ca="1">AVERAGE(OFFSET($AM$3,0,0,'Données projet'!$E$10+1,1))-AVERAGE(OFFSET($H$3,0,0,'Données projet'!$E$10+1,1))</f>
        <v>259.74478933784656</v>
      </c>
      <c r="AO5" s="62">
        <f t="shared" ref="AO5:AO68" si="36">$AO$3</f>
        <v>223.74038909289646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5.5909090909090908</v>
      </c>
      <c r="N6" s="14">
        <f>IF('Données projet'!$A$36&gt;35,N5+M6-V5,IF(A6&lt;'Données projet'!$A$36,$K$205^A6,IF(A6='Données projet'!$A$36,'Données projet'!$B$36,N5+M6-V5)))</f>
        <v>1.927467485460697</v>
      </c>
      <c r="O6" s="14">
        <f>N6*VLOOKUP('Données projet'!$B$9,Paramètres!$A$1:$I$89,3,0)*VLOOKUP('Données projet'!$B$9,Paramètres!$A$1:$I$89,5,0)</f>
        <v>1.152625556305497</v>
      </c>
      <c r="P6" s="14">
        <f t="shared" si="33"/>
        <v>0.52246812247269758</v>
      </c>
      <c r="Q6" s="22">
        <f t="shared" si="2"/>
        <v>2.9174548238720219</v>
      </c>
      <c r="R6" s="62">
        <f t="shared" si="0"/>
        <v>263.25078815720536</v>
      </c>
      <c r="S6" s="62">
        <f ca="1">AVERAGE(OFFSET($R$3,0,0,'Données projet'!$E$9+1,1))-AVERAGE(OFFSET($H$3,0,0,'Données projet'!$E$9+1,1))</f>
        <v>362.81292020448933</v>
      </c>
      <c r="T6" s="62">
        <f t="shared" si="34"/>
        <v>292.26503163353146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5.75</v>
      </c>
      <c r="AI6" s="14">
        <f>IF('Données projet'!$A$62&gt;35,AI5+AH6-AQ5,IF(A6&lt;'Données projet'!$A$62,$AF$205^A6,IF(A6='Données projet'!$A$62,'Données projet'!$B$62,AI5+AH6-AQ5)))</f>
        <v>2.0375331160043926</v>
      </c>
      <c r="AJ6" s="14">
        <f>AI6*VLOOKUP('Données projet'!$B$10,Paramètres!$A$1:$I$89,3,0)*VLOOKUP('Données projet'!$B$10,Paramètres!$A$1:$I$89,5,0)</f>
        <v>0.95356549829005577</v>
      </c>
      <c r="AK6" s="14">
        <f t="shared" si="35"/>
        <v>0.44188187933534279</v>
      </c>
      <c r="AL6" s="22">
        <f t="shared" si="4"/>
        <v>2.4304041826975693</v>
      </c>
      <c r="AM6" s="62">
        <f t="shared" si="5"/>
        <v>262.76373751603086</v>
      </c>
      <c r="AN6" s="62">
        <f ca="1">AVERAGE(OFFSET($AM$3,0,0,'Données projet'!$E$10+1,1))-AVERAGE(OFFSET($H$3,0,0,'Données projet'!$E$10+1,1))</f>
        <v>259.74478933784656</v>
      </c>
      <c r="AO6" s="62">
        <f t="shared" si="36"/>
        <v>223.74038909289646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5.5909090909090908</v>
      </c>
      <c r="N7" s="14">
        <f>IF('Données projet'!$A$36&gt;35,N6+M7-V6,IF(A7&lt;'Données projet'!$A$36,$K$205^A7,IF(A7='Données projet'!$A$36,'Données projet'!$B$36,N6+M7-V6)))</f>
        <v>2.3987376266268075</v>
      </c>
      <c r="O7" s="14">
        <f>N7*VLOOKUP('Données projet'!$B$9,Paramètres!$A$1:$I$89,3,0)*VLOOKUP('Données projet'!$B$9,Paramètres!$A$1:$I$89,5,0)</f>
        <v>1.4344451007228309</v>
      </c>
      <c r="P7" s="14">
        <f t="shared" si="33"/>
        <v>0.63386677286612625</v>
      </c>
      <c r="Q7" s="22">
        <f t="shared" si="2"/>
        <v>3.6023098465007668</v>
      </c>
      <c r="R7" s="62">
        <f t="shared" si="0"/>
        <v>265.1578654020563</v>
      </c>
      <c r="S7" s="62">
        <f ca="1">AVERAGE(OFFSET($R$3,0,0,'Données projet'!$E$9+1,1))-AVERAGE(OFFSET($H$3,0,0,'Données projet'!$E$9+1,1))</f>
        <v>362.81292020448933</v>
      </c>
      <c r="T7" s="62">
        <f t="shared" si="34"/>
        <v>292.26503163353146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5.75</v>
      </c>
      <c r="AI7" s="14">
        <f>IF('Données projet'!$A$62&gt;35,AI6+AH7-AQ6,IF(A7&lt;'Données projet'!$A$62,$AF$205^A7,IF(A7='Données projet'!$A$62,'Données projet'!$B$62,AI6+AH7-AQ6)))</f>
        <v>2.5830901781308797</v>
      </c>
      <c r="AJ7" s="14">
        <f>AI7*VLOOKUP('Données projet'!$B$10,Paramètres!$A$1:$I$89,3,0)*VLOOKUP('Données projet'!$B$10,Paramètres!$A$1:$I$89,5,0)</f>
        <v>1.2088862033652517</v>
      </c>
      <c r="AK7" s="14">
        <f t="shared" si="35"/>
        <v>0.54493891535856476</v>
      </c>
      <c r="AL7" s="22">
        <f t="shared" si="4"/>
        <v>3.0545787484439804</v>
      </c>
      <c r="AM7" s="62">
        <f t="shared" si="5"/>
        <v>264.61013430399953</v>
      </c>
      <c r="AN7" s="62">
        <f ca="1">AVERAGE(OFFSET($AM$3,0,0,'Données projet'!$E$10+1,1))-AVERAGE(OFFSET($H$3,0,0,'Données projet'!$E$10+1,1))</f>
        <v>259.74478933784656</v>
      </c>
      <c r="AO7" s="62">
        <f t="shared" si="36"/>
        <v>223.74038909289646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5.5909090909090908</v>
      </c>
      <c r="N8" s="14">
        <f>IF('Données projet'!$A$36&gt;35,N7+M8-V7,IF(A8&lt;'Données projet'!$A$36,$K$205^A8,IF(A8='Données projet'!$A$36,'Données projet'!$B$36,N7+M8-V7)))</f>
        <v>2.9852343786852105</v>
      </c>
      <c r="O8" s="14">
        <f>N8*VLOOKUP('Données projet'!$B$9,Paramètres!$A$1:$I$89,3,0)*VLOOKUP('Données projet'!$B$9,Paramètres!$A$1:$I$89,5,0)</f>
        <v>1.785170158453756</v>
      </c>
      <c r="P8" s="14">
        <f t="shared" si="33"/>
        <v>0.7690174164926461</v>
      </c>
      <c r="Q8" s="22">
        <f t="shared" si="2"/>
        <v>4.4485433596983173</v>
      </c>
      <c r="R8" s="62">
        <f t="shared" si="0"/>
        <v>267.22632113747608</v>
      </c>
      <c r="S8" s="62">
        <f ca="1">AVERAGE(OFFSET($R$3,0,0,'Données projet'!$E$9+1,1))-AVERAGE(OFFSET($H$3,0,0,'Données projet'!$E$9+1,1))</f>
        <v>362.81292020448933</v>
      </c>
      <c r="T8" s="62">
        <f t="shared" si="34"/>
        <v>292.26503163353146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5.75</v>
      </c>
      <c r="AI8" s="14">
        <f>IF('Données projet'!$A$62&gt;35,AI7+AH8-AQ7,IF(A8&lt;'Données projet'!$A$62,$AF$205^A8,IF(A8='Données projet'!$A$62,'Données projet'!$B$62,AI7+AH8-AQ7)))</f>
        <v>3.2747221706220535</v>
      </c>
      <c r="AJ8" s="14">
        <f>AI8*VLOOKUP('Données projet'!$B$10,Paramètres!$A$1:$I$89,3,0)*VLOOKUP('Données projet'!$B$10,Paramètres!$A$1:$I$89,5,0)</f>
        <v>1.5325699758511209</v>
      </c>
      <c r="AK8" s="14">
        <f t="shared" si="35"/>
        <v>0.67203122680395833</v>
      </c>
      <c r="AL8" s="22">
        <f t="shared" si="4"/>
        <v>3.839680427957596</v>
      </c>
      <c r="AM8" s="62">
        <f t="shared" si="5"/>
        <v>266.61745820573537</v>
      </c>
      <c r="AN8" s="62">
        <f ca="1">AVERAGE(OFFSET($AM$3,0,0,'Données projet'!$E$10+1,1))-AVERAGE(OFFSET($H$3,0,0,'Données projet'!$E$10+1,1))</f>
        <v>259.74478933784656</v>
      </c>
      <c r="AO8" s="62">
        <f t="shared" si="36"/>
        <v>223.74038909289646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5.5909090909090908</v>
      </c>
      <c r="N9" s="14">
        <f>IF('Données projet'!$A$36&gt;35,N8+M9-V8,IF(A9&lt;'Données projet'!$A$36,$K$205^A9,IF(A9='Données projet'!$A$36,'Données projet'!$B$36,N8+M9-V8)))</f>
        <v>3.7151309075081826</v>
      </c>
      <c r="O9" s="14">
        <f>N9*VLOOKUP('Données projet'!$B$9,Paramètres!$A$1:$I$89,3,0)*VLOOKUP('Données projet'!$B$9,Paramètres!$A$1:$I$89,5,0)</f>
        <v>2.2216482826898933</v>
      </c>
      <c r="P9" s="14">
        <f t="shared" si="33"/>
        <v>0.93298436230530435</v>
      </c>
      <c r="Q9" s="22">
        <f t="shared" si="2"/>
        <v>5.4943185233666361</v>
      </c>
      <c r="R9" s="62">
        <f t="shared" si="0"/>
        <v>269.49431852336664</v>
      </c>
      <c r="S9" s="62">
        <f ca="1">AVERAGE(OFFSET($R$3,0,0,'Données projet'!$E$9+1,1))-AVERAGE(OFFSET($H$3,0,0,'Données projet'!$E$9+1,1))</f>
        <v>362.81292020448933</v>
      </c>
      <c r="T9" s="62">
        <f t="shared" si="34"/>
        <v>292.26503163353146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5.75</v>
      </c>
      <c r="AI9" s="14">
        <f>IF('Données projet'!$A$62&gt;35,AI8+AH9-AQ8,IF(A9&lt;'Données projet'!$A$62,$AF$205^A9,IF(A9='Données projet'!$A$62,'Données projet'!$B$62,AI8+AH9-AQ8)))</f>
        <v>4.1515411988145692</v>
      </c>
      <c r="AJ9" s="14">
        <f>AI9*VLOOKUP('Données projet'!$B$10,Paramètres!$A$1:$I$89,3,0)*VLOOKUP('Données projet'!$B$10,Paramètres!$A$1:$I$89,5,0)</f>
        <v>1.9429212810452183</v>
      </c>
      <c r="AK9" s="14">
        <f t="shared" si="35"/>
        <v>0.82876439371643607</v>
      </c>
      <c r="AL9" s="22">
        <f t="shared" si="4"/>
        <v>4.8273525502098815</v>
      </c>
      <c r="AM9" s="62">
        <f t="shared" si="5"/>
        <v>268.82735255020987</v>
      </c>
      <c r="AN9" s="62">
        <f ca="1">AVERAGE(OFFSET($AM$3,0,0,'Données projet'!$E$10+1,1))-AVERAGE(OFFSET($H$3,0,0,'Données projet'!$E$10+1,1))</f>
        <v>259.74478933784656</v>
      </c>
      <c r="AO9" s="62">
        <f t="shared" si="36"/>
        <v>223.74038909289646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5.5909090909090908</v>
      </c>
      <c r="N10" s="14">
        <f>IF('Données projet'!$A$36&gt;35,N9+M10-V9,IF(A10&lt;'Données projet'!$A$36,$K$205^A10,IF(A10='Données projet'!$A$36,'Données projet'!$B$36,N9+M10-V9)))</f>
        <v>4.6234887814743333</v>
      </c>
      <c r="O10" s="14">
        <f>N10*VLOOKUP('Données projet'!$B$9,Paramètres!$A$1:$I$89,3,0)*VLOOKUP('Données projet'!$B$9,Paramètres!$A$1:$I$89,5,0)</f>
        <v>2.7648462913216516</v>
      </c>
      <c r="P10" s="14">
        <f t="shared" si="33"/>
        <v>1.1319117118000401</v>
      </c>
      <c r="Q10" s="22">
        <f t="shared" si="2"/>
        <v>6.7868535221036126</v>
      </c>
      <c r="R10" s="62">
        <f t="shared" si="0"/>
        <v>272.00907574432586</v>
      </c>
      <c r="S10" s="62">
        <f ca="1">AVERAGE(OFFSET($R$3,0,0,'Données projet'!$E$9+1,1))-AVERAGE(OFFSET($H$3,0,0,'Données projet'!$E$9+1,1))</f>
        <v>362.81292020448933</v>
      </c>
      <c r="T10" s="62">
        <f t="shared" si="34"/>
        <v>292.26503163353146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5.75</v>
      </c>
      <c r="AI10" s="14">
        <f>IF('Données projet'!$A$62&gt;35,AI9+AH10-AQ9,IF(A10&lt;'Données projet'!$A$62,$AF$205^A10,IF(A10='Données projet'!$A$62,'Données projet'!$B$62,AI9+AH10-AQ9)))</f>
        <v>5.2631317795673525</v>
      </c>
      <c r="AJ10" s="14">
        <f>AI10*VLOOKUP('Données projet'!$B$10,Paramètres!$A$1:$I$89,3,0)*VLOOKUP('Données projet'!$B$10,Paramètres!$A$1:$I$89,5,0)</f>
        <v>2.4631456728375212</v>
      </c>
      <c r="AK10" s="14">
        <f t="shared" si="35"/>
        <v>1.0220513465701448</v>
      </c>
      <c r="AL10" s="22">
        <f t="shared" si="4"/>
        <v>6.0700514754683512</v>
      </c>
      <c r="AM10" s="62">
        <f t="shared" si="5"/>
        <v>271.29227369769058</v>
      </c>
      <c r="AN10" s="62">
        <f ca="1">AVERAGE(OFFSET($AM$3,0,0,'Données projet'!$E$10+1,1))-AVERAGE(OFFSET($H$3,0,0,'Données projet'!$E$10+1,1))</f>
        <v>259.74478933784656</v>
      </c>
      <c r="AO10" s="62">
        <f t="shared" si="36"/>
        <v>223.74038909289646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5.5909090909090908</v>
      </c>
      <c r="N11" s="14">
        <f>IF('Données projet'!$A$36&gt;35,N10+M11-V10,IF(A11&lt;'Données projet'!$A$36,$K$205^A11,IF(A11='Données projet'!$A$36,'Données projet'!$B$36,N10+M11-V10)))</f>
        <v>5.7539422013952093</v>
      </c>
      <c r="O11" s="14">
        <f>N11*VLOOKUP('Données projet'!$B$9,Paramètres!$A$1:$I$89,3,0)*VLOOKUP('Données projet'!$B$9,Paramètres!$A$1:$I$89,5,0)</f>
        <v>3.4408574364343356</v>
      </c>
      <c r="P11" s="14">
        <f t="shared" si="33"/>
        <v>1.3732535882427113</v>
      </c>
      <c r="Q11" s="22">
        <f t="shared" si="2"/>
        <v>8.3845767013125236</v>
      </c>
      <c r="R11" s="62">
        <f t="shared" si="0"/>
        <v>274.829021145757</v>
      </c>
      <c r="S11" s="62">
        <f ca="1">AVERAGE(OFFSET($R$3,0,0,'Données projet'!$E$9+1,1))-AVERAGE(OFFSET($H$3,0,0,'Données projet'!$E$9+1,1))</f>
        <v>362.81292020448933</v>
      </c>
      <c r="T11" s="62">
        <f t="shared" si="34"/>
        <v>292.26503163353146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5.75</v>
      </c>
      <c r="AI11" s="14">
        <f>IF('Données projet'!$A$62&gt;35,AI10+AH11-AQ10,IF(A11&lt;'Données projet'!$A$62,$AF$205^A11,IF(A11='Données projet'!$A$62,'Données projet'!$B$62,AI10+AH11-AQ10)))</f>
        <v>6.6723548683562202</v>
      </c>
      <c r="AJ11" s="14">
        <f>AI11*VLOOKUP('Données projet'!$B$10,Paramètres!$A$1:$I$89,3,0)*VLOOKUP('Données projet'!$B$10,Paramètres!$A$1:$I$89,5,0)</f>
        <v>3.1226620783907113</v>
      </c>
      <c r="AK11" s="14">
        <f t="shared" si="35"/>
        <v>1.2604172705122936</v>
      </c>
      <c r="AL11" s="22">
        <f t="shared" si="4"/>
        <v>7.6338631993393991</v>
      </c>
      <c r="AM11" s="62">
        <f t="shared" si="5"/>
        <v>274.07830764378383</v>
      </c>
      <c r="AN11" s="62">
        <f ca="1">AVERAGE(OFFSET($AM$3,0,0,'Données projet'!$E$10+1,1))-AVERAGE(OFFSET($H$3,0,0,'Données projet'!$E$10+1,1))</f>
        <v>259.74478933784656</v>
      </c>
      <c r="AO11" s="62">
        <f t="shared" si="36"/>
        <v>223.74038909289646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5.5909090909090908</v>
      </c>
      <c r="N12" s="14">
        <f>IF('Données projet'!$A$36&gt;35,N11+M12-V11,IF(A12&lt;'Données projet'!$A$36,$K$205^A12,IF(A12='Données projet'!$A$36,'Données projet'!$B$36,N11+M12-V11)))</f>
        <v>7.1607940284521145</v>
      </c>
      <c r="O12" s="14">
        <f>N12*VLOOKUP('Données projet'!$B$9,Paramètres!$A$1:$I$89,3,0)*VLOOKUP('Données projet'!$B$9,Paramètres!$A$1:$I$89,5,0)</f>
        <v>4.2821548290143649</v>
      </c>
      <c r="P12" s="14">
        <f t="shared" si="33"/>
        <v>1.6660534544894132</v>
      </c>
      <c r="Q12" s="22">
        <f t="shared" si="2"/>
        <v>10.359796093769079</v>
      </c>
      <c r="R12" s="62">
        <f t="shared" si="0"/>
        <v>278.02646276043578</v>
      </c>
      <c r="S12" s="62">
        <f ca="1">AVERAGE(OFFSET($R$3,0,0,'Données projet'!$E$9+1,1))-AVERAGE(OFFSET($H$3,0,0,'Données projet'!$E$9+1,1))</f>
        <v>362.81292020448933</v>
      </c>
      <c r="T12" s="62">
        <f t="shared" si="34"/>
        <v>292.26503163353146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5.75</v>
      </c>
      <c r="AI12" s="14">
        <f>IF('Données projet'!$A$62&gt;35,AI11+AH12-AQ11,IF(A12&lt;'Données projet'!$A$62,$AF$205^A12,IF(A12='Données projet'!$A$62,'Données projet'!$B$62,AI11+AH12-AQ11)))</f>
        <v>8.4589026750412604</v>
      </c>
      <c r="AJ12" s="14">
        <f>AI12*VLOOKUP('Données projet'!$B$10,Paramètres!$A$1:$I$89,3,0)*VLOOKUP('Données projet'!$B$10,Paramètres!$A$1:$I$89,5,0)</f>
        <v>3.9587664519193098</v>
      </c>
      <c r="AK12" s="14">
        <f t="shared" si="35"/>
        <v>1.5543756203021926</v>
      </c>
      <c r="AL12" s="22">
        <f t="shared" si="4"/>
        <v>9.6020557757857823</v>
      </c>
      <c r="AM12" s="62">
        <f t="shared" si="5"/>
        <v>277.26872244245249</v>
      </c>
      <c r="AN12" s="62">
        <f ca="1">AVERAGE(OFFSET($AM$3,0,0,'Données projet'!$E$10+1,1))-AVERAGE(OFFSET($H$3,0,0,'Données projet'!$E$10+1,1))</f>
        <v>259.74478933784656</v>
      </c>
      <c r="AO12" s="62">
        <f t="shared" si="36"/>
        <v>223.74038909289646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5.5909090909090908</v>
      </c>
      <c r="N13" s="14">
        <f>IF('Données projet'!$A$36&gt;35,N12+M13-V12,IF(A13&lt;'Données projet'!$A$36,$K$205^A13,IF(A13='Données projet'!$A$36,'Données projet'!$B$36,N12+M13-V12)))</f>
        <v>8.9116242956840761</v>
      </c>
      <c r="O13" s="14">
        <f>N13*VLOOKUP('Données projet'!$B$9,Paramètres!$A$1:$I$89,3,0)*VLOOKUP('Données projet'!$B$9,Paramètres!$A$1:$I$89,5,0)</f>
        <v>5.3291513288190782</v>
      </c>
      <c r="P13" s="14">
        <f t="shared" si="33"/>
        <v>2.0212829858817885</v>
      </c>
      <c r="Q13" s="22">
        <f t="shared" si="2"/>
        <v>12.802006431437341</v>
      </c>
      <c r="R13" s="62">
        <f t="shared" si="0"/>
        <v>281.69089532032621</v>
      </c>
      <c r="S13" s="62">
        <f ca="1">AVERAGE(OFFSET($R$3,0,0,'Données projet'!$E$9+1,1))-AVERAGE(OFFSET($H$3,0,0,'Données projet'!$E$9+1,1))</f>
        <v>362.81292020448933</v>
      </c>
      <c r="T13" s="62">
        <f t="shared" si="34"/>
        <v>292.26503163353146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5.75</v>
      </c>
      <c r="AI13" s="14">
        <f>IF('Données projet'!$A$62&gt;35,AI12+AH13-AQ12,IF(A13&lt;'Données projet'!$A$62,$AF$205^A13,IF(A13='Données projet'!$A$62,'Données projet'!$B$62,AI12+AH13-AQ12)))</f>
        <v>10.723805294763611</v>
      </c>
      <c r="AJ13" s="14">
        <f>AI13*VLOOKUP('Données projet'!$B$10,Paramètres!$A$1:$I$89,3,0)*VLOOKUP('Données projet'!$B$10,Paramètres!$A$1:$I$89,5,0)</f>
        <v>5.0187408779493703</v>
      </c>
      <c r="AK13" s="14">
        <f t="shared" si="35"/>
        <v>1.9168918305981435</v>
      </c>
      <c r="AL13" s="22">
        <f t="shared" si="4"/>
        <v>12.079560300720253</v>
      </c>
      <c r="AM13" s="62">
        <f t="shared" si="5"/>
        <v>280.96844918960909</v>
      </c>
      <c r="AN13" s="62">
        <f ca="1">AVERAGE(OFFSET($AM$3,0,0,'Données projet'!$E$10+1,1))-AVERAGE(OFFSET($H$3,0,0,'Données projet'!$E$10+1,1))</f>
        <v>259.74478933784656</v>
      </c>
      <c r="AO13" s="62">
        <f t="shared" si="36"/>
        <v>223.74038909289646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5.5909090909090908</v>
      </c>
      <c r="N14" s="14">
        <f>IF('Données projet'!$A$36&gt;35,N13+M14-V13,IF(A14&lt;'Données projet'!$A$36,$K$205^A14,IF(A14='Données projet'!$A$36,'Données projet'!$B$36,N13+M14-V13)))</f>
        <v>11.090536506409412</v>
      </c>
      <c r="O14" s="14">
        <f>N14*VLOOKUP('Données projet'!$B$9,Paramètres!$A$1:$I$89,3,0)*VLOOKUP('Données projet'!$B$9,Paramètres!$A$1:$I$89,5,0)</f>
        <v>6.6321408308328289</v>
      </c>
      <c r="P14" s="14">
        <f t="shared" si="33"/>
        <v>2.4522531963221348</v>
      </c>
      <c r="Q14" s="22">
        <f t="shared" si="2"/>
        <v>15.821986263961561</v>
      </c>
      <c r="R14" s="62">
        <f t="shared" si="0"/>
        <v>285.93309737507269</v>
      </c>
      <c r="S14" s="62">
        <f ca="1">AVERAGE(OFFSET($R$3,0,0,'Données projet'!$E$9+1,1))-AVERAGE(OFFSET($H$3,0,0,'Données projet'!$E$9+1,1))</f>
        <v>362.81292020448933</v>
      </c>
      <c r="T14" s="62">
        <f t="shared" si="34"/>
        <v>292.26503163353146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5.75</v>
      </c>
      <c r="AI14" s="14">
        <f>IF('Données projet'!$A$62&gt;35,AI13+AH14-AQ13,IF(A14&lt;'Données projet'!$A$62,$AF$205^A14,IF(A14='Données projet'!$A$62,'Données projet'!$B$62,AI13+AH14-AQ13)))</f>
        <v>13.595144006008928</v>
      </c>
      <c r="AJ14" s="14">
        <f>AI14*VLOOKUP('Données projet'!$B$10,Paramètres!$A$1:$I$89,3,0)*VLOOKUP('Données projet'!$B$10,Paramètres!$A$1:$I$89,5,0)</f>
        <v>6.3625273948121777</v>
      </c>
      <c r="AK14" s="14">
        <f t="shared" si="35"/>
        <v>2.3639551741679612</v>
      </c>
      <c r="AL14" s="22">
        <f t="shared" si="4"/>
        <v>15.198623807640407</v>
      </c>
      <c r="AM14" s="62">
        <f t="shared" si="5"/>
        <v>285.30973491875153</v>
      </c>
      <c r="AN14" s="62">
        <f ca="1">AVERAGE(OFFSET($AM$3,0,0,'Données projet'!$E$10+1,1))-AVERAGE(OFFSET($H$3,0,0,'Données projet'!$E$10+1,1))</f>
        <v>259.74478933784656</v>
      </c>
      <c r="AO14" s="62">
        <f t="shared" si="36"/>
        <v>223.74038909289646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5.5909090909090908</v>
      </c>
      <c r="N15" s="14">
        <f>IF('Données projet'!$A$36&gt;35,N14+M15-V14,IF(A15&lt;'Données projet'!$A$36,$K$205^A15,IF(A15='Données projet'!$A$36,'Données projet'!$B$36,N14+M15-V14)))</f>
        <v>13.802197659922571</v>
      </c>
      <c r="O15" s="14">
        <f>N15*VLOOKUP('Données projet'!$B$9,Paramètres!$A$1:$I$89,3,0)*VLOOKUP('Données projet'!$B$9,Paramètres!$A$1:$I$89,5,0)</f>
        <v>8.2537142006336985</v>
      </c>
      <c r="P15" s="14">
        <f t="shared" si="33"/>
        <v>2.9751132230743558</v>
      </c>
      <c r="Q15" s="22">
        <f t="shared" si="2"/>
        <v>19.556874429624859</v>
      </c>
      <c r="R15" s="62">
        <f t="shared" si="0"/>
        <v>290.8902077629582</v>
      </c>
      <c r="S15" s="62">
        <f ca="1">AVERAGE(OFFSET($R$3,0,0,'Données projet'!$E$9+1,1))-AVERAGE(OFFSET($H$3,0,0,'Données projet'!$E$9+1,1))</f>
        <v>362.81292020448933</v>
      </c>
      <c r="T15" s="62">
        <f t="shared" si="34"/>
        <v>292.26503163353146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5.75</v>
      </c>
      <c r="AI15" s="14">
        <f>IF('Données projet'!$A$62&gt;35,AI14+AH15-AQ14,IF(A15&lt;'Données projet'!$A$62,$AF$205^A15,IF(A15='Données projet'!$A$62,'Données projet'!$B$62,AI14+AH15-AQ14)))</f>
        <v>17.23529432545471</v>
      </c>
      <c r="AJ15" s="14">
        <f>AI15*VLOOKUP('Données projet'!$B$10,Paramètres!$A$1:$I$89,3,0)*VLOOKUP('Données projet'!$B$10,Paramètres!$A$1:$I$89,5,0)</f>
        <v>8.0661177443128054</v>
      </c>
      <c r="AK15" s="14">
        <f t="shared" si="35"/>
        <v>2.915283990610841</v>
      </c>
      <c r="AL15" s="22">
        <f t="shared" si="4"/>
        <v>19.125941354992019</v>
      </c>
      <c r="AM15" s="62">
        <f t="shared" si="5"/>
        <v>290.45927468832531</v>
      </c>
      <c r="AN15" s="62">
        <f ca="1">AVERAGE(OFFSET($AM$3,0,0,'Données projet'!$E$10+1,1))-AVERAGE(OFFSET($H$3,0,0,'Données projet'!$E$10+1,1))</f>
        <v>259.74478933784656</v>
      </c>
      <c r="AO15" s="62">
        <f t="shared" si="36"/>
        <v>223.74038909289646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5.5909090909090908</v>
      </c>
      <c r="N16" s="14">
        <f>IF('Données projet'!$A$36&gt;35,N15+M16-V15,IF(A16&lt;'Données projet'!$A$36,$K$205^A16,IF(A16='Données projet'!$A$36,'Données projet'!$B$36,N15+M16-V15)))</f>
        <v>17.17686607257264</v>
      </c>
      <c r="O16" s="14">
        <f>N16*VLOOKUP('Données projet'!$B$9,Paramètres!$A$1:$I$89,3,0)*VLOOKUP('Données projet'!$B$9,Paramètres!$A$1:$I$89,5,0)</f>
        <v>10.27176591139844</v>
      </c>
      <c r="P16" s="14">
        <f t="shared" si="33"/>
        <v>3.609455460548272</v>
      </c>
      <c r="Q16" s="22">
        <f t="shared" si="2"/>
        <v>24.176460556140523</v>
      </c>
      <c r="R16" s="62">
        <f t="shared" si="0"/>
        <v>296.73201611169605</v>
      </c>
      <c r="S16" s="62">
        <f ca="1">AVERAGE(OFFSET($R$3,0,0,'Données projet'!$E$9+1,1))-AVERAGE(OFFSET($H$3,0,0,'Données projet'!$E$9+1,1))</f>
        <v>362.81292020448933</v>
      </c>
      <c r="T16" s="62">
        <f t="shared" si="34"/>
        <v>292.26503163353146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5.75</v>
      </c>
      <c r="AI16" s="14">
        <f>IF('Données projet'!$A$62&gt;35,AI15+AH16-AQ15,IF(A16&lt;'Données projet'!$A$62,$AF$205^A16,IF(A16='Données projet'!$A$62,'Données projet'!$B$62,AI15+AH16-AQ15)))</f>
        <v>21.850108417664106</v>
      </c>
      <c r="AJ16" s="14">
        <f>AI16*VLOOKUP('Données projet'!$B$10,Paramètres!$A$1:$I$89,3,0)*VLOOKUP('Données projet'!$B$10,Paramètres!$A$1:$I$89,5,0)</f>
        <v>10.225850739466802</v>
      </c>
      <c r="AK16" s="14">
        <f t="shared" si="35"/>
        <v>3.5951953906669201</v>
      </c>
      <c r="AL16" s="22">
        <f t="shared" si="4"/>
        <v>24.071655343316234</v>
      </c>
      <c r="AM16" s="62">
        <f t="shared" si="5"/>
        <v>296.62721089887179</v>
      </c>
      <c r="AN16" s="62">
        <f ca="1">AVERAGE(OFFSET($AM$3,0,0,'Données projet'!$E$10+1,1))-AVERAGE(OFFSET($H$3,0,0,'Données projet'!$E$10+1,1))</f>
        <v>259.74478933784656</v>
      </c>
      <c r="AO16" s="62">
        <f t="shared" si="36"/>
        <v>223.74038909289646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5.5909090909090908</v>
      </c>
      <c r="N17" s="14">
        <f>IF('Données projet'!$A$36&gt;35,N16+M17-V16,IF(A17&lt;'Données projet'!$A$36,$K$205^A17,IF(A17='Données projet'!$A$36,'Données projet'!$B$36,N16+M17-V16)))</f>
        <v>21.376648512419013</v>
      </c>
      <c r="O17" s="14">
        <f>N17*VLOOKUP('Données projet'!$B$9,Paramètres!$A$1:$I$89,3,0)*VLOOKUP('Données projet'!$B$9,Paramètres!$A$1:$I$89,5,0)</f>
        <v>12.783235810426572</v>
      </c>
      <c r="P17" s="14">
        <f t="shared" si="33"/>
        <v>4.3790497183898731</v>
      </c>
      <c r="Q17" s="22">
        <f t="shared" si="2"/>
        <v>29.890980629355308</v>
      </c>
      <c r="R17" s="62">
        <f t="shared" si="0"/>
        <v>303.66875840713305</v>
      </c>
      <c r="S17" s="62">
        <f ca="1">AVERAGE(OFFSET($R$3,0,0,'Données projet'!$E$9+1,1))-AVERAGE(OFFSET($H$3,0,0,'Données projet'!$E$9+1,1))</f>
        <v>362.81292020448933</v>
      </c>
      <c r="T17" s="62">
        <f t="shared" si="34"/>
        <v>292.26503163353146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5.75</v>
      </c>
      <c r="AI17" s="14">
        <f>IF('Données projet'!$A$62&gt;35,AI16+AH17-AQ16,IF(A17&lt;'Données projet'!$A$62,$AF$205^A17,IF(A17='Données projet'!$A$62,'Données projet'!$B$62,AI16+AH17-AQ16)))</f>
        <v>27.700556129091808</v>
      </c>
      <c r="AJ17" s="14">
        <f>AI17*VLOOKUP('Données projet'!$B$10,Paramètres!$A$1:$I$89,3,0)*VLOOKUP('Données projet'!$B$10,Paramètres!$A$1:$I$89,5,0)</f>
        <v>12.963860268414967</v>
      </c>
      <c r="AK17" s="14">
        <f t="shared" si="35"/>
        <v>4.4336777956113931</v>
      </c>
      <c r="AL17" s="22">
        <f t="shared" si="4"/>
        <v>30.300712128179242</v>
      </c>
      <c r="AM17" s="62">
        <f t="shared" si="5"/>
        <v>304.07848990595699</v>
      </c>
      <c r="AN17" s="62">
        <f ca="1">AVERAGE(OFFSET($AM$3,0,0,'Données projet'!$E$10+1,1))-AVERAGE(OFFSET($H$3,0,0,'Données projet'!$E$10+1,1))</f>
        <v>259.74478933784656</v>
      </c>
      <c r="AO17" s="62">
        <f t="shared" si="36"/>
        <v>223.74038909289646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5.5909090909090908</v>
      </c>
      <c r="N18" s="14">
        <f>IF('Données projet'!$A$36&gt;35,N17+M18-V17,IF(A18&lt;'Données projet'!$A$36,$K$205^A18,IF(A18='Données projet'!$A$36,'Données projet'!$B$36,N17+M18-V17)))</f>
        <v>26.603287217402478</v>
      </c>
      <c r="O18" s="14">
        <f>N18*VLOOKUP('Données projet'!$B$9,Paramètres!$A$1:$I$89,3,0)*VLOOKUP('Données projet'!$B$9,Paramètres!$A$1:$I$89,5,0)</f>
        <v>15.908765756006684</v>
      </c>
      <c r="P18" s="14">
        <f t="shared" si="33"/>
        <v>5.312733913945455</v>
      </c>
      <c r="Q18" s="22">
        <f t="shared" si="2"/>
        <v>36.960778591833304</v>
      </c>
      <c r="R18" s="62">
        <f t="shared" si="0"/>
        <v>311.96077859183333</v>
      </c>
      <c r="S18" s="62">
        <f ca="1">AVERAGE(OFFSET($R$3,0,0,'Données projet'!$E$9+1,1))-AVERAGE(OFFSET($H$3,0,0,'Données projet'!$E$9+1,1))</f>
        <v>362.81292020448933</v>
      </c>
      <c r="T18" s="62">
        <f t="shared" si="34"/>
        <v>292.26503163353146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5.75</v>
      </c>
      <c r="AI18" s="14">
        <f>IF('Données projet'!$A$62&gt;35,AI17+AH18-AQ17,IF(A18&lt;'Données projet'!$A$62,$AF$205^A18,IF(A18='Données projet'!$A$62,'Données projet'!$B$62,AI17+AH18-AQ17)))</f>
        <v>35.117482952196561</v>
      </c>
      <c r="AJ18" s="14">
        <f>AI18*VLOOKUP('Données projet'!$B$10,Paramètres!$A$1:$I$89,3,0)*VLOOKUP('Données projet'!$B$10,Paramètres!$A$1:$I$89,5,0)</f>
        <v>16.434982021627992</v>
      </c>
      <c r="AK18" s="14">
        <f t="shared" si="35"/>
        <v>5.4677136175486121</v>
      </c>
      <c r="AL18" s="22">
        <f t="shared" si="4"/>
        <v>38.147194904899251</v>
      </c>
      <c r="AM18" s="62">
        <f t="shared" si="5"/>
        <v>313.14719490489927</v>
      </c>
      <c r="AN18" s="62">
        <f ca="1">AVERAGE(OFFSET($AM$3,0,0,'Données projet'!$E$10+1,1))-AVERAGE(OFFSET($H$3,0,0,'Données projet'!$E$10+1,1))</f>
        <v>259.74478933784656</v>
      </c>
      <c r="AO18" s="62">
        <f t="shared" si="36"/>
        <v>223.74038909289646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5.5909090909090908</v>
      </c>
      <c r="N19" s="14">
        <f>IF('Données projet'!$A$36&gt;35,N18+M19-V18,IF(A19&lt;'Données projet'!$A$36,$K$205^A19,IF(A19='Données projet'!$A$36,'Données projet'!$B$36,N18+M19-V18)))</f>
        <v>33.107850856996748</v>
      </c>
      <c r="O19" s="14">
        <f>N19*VLOOKUP('Données projet'!$B$9,Paramètres!$A$1:$I$89,3,0)*VLOOKUP('Données projet'!$B$9,Paramètres!$A$1:$I$89,5,0)</f>
        <v>19.798494812484059</v>
      </c>
      <c r="P19" s="14">
        <f t="shared" si="33"/>
        <v>6.4454946747588586</v>
      </c>
      <c r="Q19" s="22">
        <f t="shared" si="2"/>
        <v>45.70828169028141</v>
      </c>
      <c r="R19" s="62">
        <f t="shared" si="0"/>
        <v>321.93050391250364</v>
      </c>
      <c r="S19" s="62">
        <f ca="1">AVERAGE(OFFSET($R$3,0,0,'Données projet'!$E$9+1,1))-AVERAGE(OFFSET($H$3,0,0,'Données projet'!$E$9+1,1))</f>
        <v>362.81292020448933</v>
      </c>
      <c r="T19" s="62">
        <f t="shared" si="34"/>
        <v>292.26503163353146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5.75</v>
      </c>
      <c r="AI19" s="14">
        <f>IF('Données projet'!$A$62&gt;35,AI18+AH19-AQ18,IF(A19&lt;'Données projet'!$A$62,$AF$205^A19,IF(A19='Données projet'!$A$62,'Données projet'!$B$62,AI18+AH19-AQ18)))</f>
        <v>44.52031948927695</v>
      </c>
      <c r="AJ19" s="14">
        <f>AI19*VLOOKUP('Données projet'!$B$10,Paramètres!$A$1:$I$89,3,0)*VLOOKUP('Données projet'!$B$10,Paramètres!$A$1:$I$89,5,0)</f>
        <v>20.835509520981613</v>
      </c>
      <c r="AK19" s="14">
        <f t="shared" si="35"/>
        <v>6.7429104192276883</v>
      </c>
      <c r="AL19" s="22">
        <f t="shared" si="4"/>
        <v>48.03241472919786</v>
      </c>
      <c r="AM19" s="62">
        <f t="shared" si="5"/>
        <v>324.25463695142008</v>
      </c>
      <c r="AN19" s="62">
        <f ca="1">AVERAGE(OFFSET($AM$3,0,0,'Données projet'!$E$10+1,1))-AVERAGE(OFFSET($H$3,0,0,'Données projet'!$E$10+1,1))</f>
        <v>259.74478933784656</v>
      </c>
      <c r="AO19" s="62">
        <f t="shared" si="36"/>
        <v>223.74038909289646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5.5909090909090908</v>
      </c>
      <c r="N20" s="14">
        <f>IF('Données projet'!$A$36&gt;35,N19+M20-V19,IF(A20&lt;'Données projet'!$A$36,$K$205^A20,IF(A20='Données projet'!$A$36,'Données projet'!$B$36,N19+M20-V19)))</f>
        <v>41.202794955809431</v>
      </c>
      <c r="O20" s="14">
        <f>N20*VLOOKUP('Données projet'!$B$9,Paramètres!$A$1:$I$89,3,0)*VLOOKUP('Données projet'!$B$9,Paramètres!$A$1:$I$89,5,0)</f>
        <v>24.639271383574041</v>
      </c>
      <c r="P20" s="14">
        <f t="shared" si="33"/>
        <v>7.8197783429910519</v>
      </c>
      <c r="Q20" s="22">
        <f t="shared" si="2"/>
        <v>56.532844940434195</v>
      </c>
      <c r="R20" s="62">
        <f t="shared" si="0"/>
        <v>333.97728938487865</v>
      </c>
      <c r="S20" s="62">
        <f ca="1">AVERAGE(OFFSET($R$3,0,0,'Données projet'!$E$9+1,1))-AVERAGE(OFFSET($H$3,0,0,'Données projet'!$E$9+1,1))</f>
        <v>362.81292020448933</v>
      </c>
      <c r="T20" s="62">
        <f t="shared" si="34"/>
        <v>292.26503163353146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5.75</v>
      </c>
      <c r="AI20" s="14">
        <f>IF('Données projet'!$A$62&gt;35,AI19+AH20-AQ19,IF(A20&lt;'Données projet'!$A$62,$AF$205^A20,IF(A20='Données projet'!$A$62,'Données projet'!$B$62,AI19+AH20-AQ19)))</f>
        <v>56.440800444763006</v>
      </c>
      <c r="AJ20" s="14">
        <f>AI20*VLOOKUP('Données projet'!$B$10,Paramètres!$A$1:$I$89,3,0)*VLOOKUP('Données projet'!$B$10,Paramètres!$A$1:$I$89,5,0)</f>
        <v>26.414294608149088</v>
      </c>
      <c r="AK20" s="14">
        <f t="shared" si="35"/>
        <v>8.3155124979120405</v>
      </c>
      <c r="AL20" s="22">
        <f t="shared" si="4"/>
        <v>60.487747376389791</v>
      </c>
      <c r="AM20" s="62">
        <f t="shared" si="5"/>
        <v>337.93219182083425</v>
      </c>
      <c r="AN20" s="62">
        <f ca="1">AVERAGE(OFFSET($AM$3,0,0,'Données projet'!$E$10+1,1))-AVERAGE(OFFSET($H$3,0,0,'Données projet'!$E$10+1,1))</f>
        <v>259.74478933784656</v>
      </c>
      <c r="AO20" s="62">
        <f t="shared" si="36"/>
        <v>223.74038909289646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5.5909090909090908</v>
      </c>
      <c r="N21" s="14">
        <f>IF('Données projet'!$A$36&gt;35,N20+M21-V20,IF(A21&lt;'Données projet'!$A$36,$K$205^A21,IF(A21='Données projet'!$A$36,'Données projet'!$B$36,N20+M21-V20)))</f>
        <v>51.276971117915458</v>
      </c>
      <c r="O21" s="14">
        <f>N21*VLOOKUP('Données projet'!$B$9,Paramètres!$A$1:$I$89,3,0)*VLOOKUP('Données projet'!$B$9,Paramètres!$A$1:$I$89,5,0)</f>
        <v>30.663628728513448</v>
      </c>
      <c r="P21" s="14">
        <f t="shared" si="33"/>
        <v>9.4870815071768995</v>
      </c>
      <c r="Q21" s="22">
        <f t="shared" si="2"/>
        <v>69.929153660494023</v>
      </c>
      <c r="R21" s="62">
        <f t="shared" si="0"/>
        <v>348.59582032716071</v>
      </c>
      <c r="S21" s="62">
        <f ca="1">AVERAGE(OFFSET($R$3,0,0,'Données projet'!$E$9+1,1))-AVERAGE(OFFSET($H$3,0,0,'Données projet'!$E$9+1,1))</f>
        <v>362.81292020448933</v>
      </c>
      <c r="T21" s="62">
        <f t="shared" si="34"/>
        <v>292.26503163353146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5.75</v>
      </c>
      <c r="AI21" s="14">
        <f>IF('Données projet'!$A$62&gt;35,AI20+AH21-AQ20,IF(A21&lt;'Données projet'!$A$62,$AF$205^A21,IF(A21='Données projet'!$A$62,'Données projet'!$B$62,AI20+AH21-AQ20)))</f>
        <v>71.55303446582019</v>
      </c>
      <c r="AJ21" s="14">
        <f>AI21*VLOOKUP('Données projet'!$B$10,Paramètres!$A$1:$I$89,3,0)*VLOOKUP('Données projet'!$B$10,Paramètres!$A$1:$I$89,5,0)</f>
        <v>33.486820130003849</v>
      </c>
      <c r="AK21" s="14">
        <f t="shared" si="35"/>
        <v>10.254881616957807</v>
      </c>
      <c r="AL21" s="22">
        <f t="shared" si="4"/>
        <v>76.183463875958196</v>
      </c>
      <c r="AM21" s="62">
        <f t="shared" si="5"/>
        <v>354.85013054262487</v>
      </c>
      <c r="AN21" s="62">
        <f ca="1">AVERAGE(OFFSET($AM$3,0,0,'Données projet'!$E$10+1,1))-AVERAGE(OFFSET($H$3,0,0,'Données projet'!$E$10+1,1))</f>
        <v>259.74478933784656</v>
      </c>
      <c r="AO21" s="62">
        <f t="shared" si="36"/>
        <v>223.74038909289646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5.5909090909090908</v>
      </c>
      <c r="N22" s="14">
        <f>IF('Données projet'!$A$36&gt;35,N21+M22-V21,IF(A22&lt;'Données projet'!$A$36,$K$205^A22,IF(A22='Données projet'!$A$36,'Données projet'!$B$36,N21+M22-V21)))</f>
        <v>63.814306040343304</v>
      </c>
      <c r="O22" s="14">
        <f>N22*VLOOKUP('Données projet'!$B$9,Paramètres!$A$1:$I$89,3,0)*VLOOKUP('Données projet'!$B$9,Paramètres!$A$1:$I$89,5,0)</f>
        <v>38.160955012125299</v>
      </c>
      <c r="P22" s="14">
        <f t="shared" si="33"/>
        <v>11.509880661066306</v>
      </c>
      <c r="Q22" s="22">
        <f t="shared" si="2"/>
        <v>86.510038797475374</v>
      </c>
      <c r="R22" s="62">
        <f t="shared" si="0"/>
        <v>366.39892768636423</v>
      </c>
      <c r="S22" s="62">
        <f ca="1">AVERAGE(OFFSET($R$3,0,0,'Données projet'!$E$9+1,1))-AVERAGE(OFFSET($H$3,0,0,'Données projet'!$E$9+1,1))</f>
        <v>362.81292020448933</v>
      </c>
      <c r="T22" s="62">
        <f t="shared" si="34"/>
        <v>292.26503163353146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5.75</v>
      </c>
      <c r="AI22" s="14">
        <f>IF('Données projet'!$A$62&gt;35,AI21+AH22-AQ21,IF(A22&lt;'Données projet'!$A$62,$AF$205^A22,IF(A22='Données projet'!$A$62,'Données projet'!$B$62,AI21+AH22-AQ21)))</f>
        <v>90.711625294497551</v>
      </c>
      <c r="AJ22" s="14">
        <f>AI22*VLOOKUP('Données projet'!$B$10,Paramètres!$A$1:$I$89,3,0)*VLOOKUP('Données projet'!$B$10,Paramètres!$A$1:$I$89,5,0)</f>
        <v>42.453040637824856</v>
      </c>
      <c r="AK22" s="14">
        <f t="shared" si="35"/>
        <v>12.646556301156998</v>
      </c>
      <c r="AL22" s="22">
        <f t="shared" si="4"/>
        <v>95.96513133539338</v>
      </c>
      <c r="AM22" s="62">
        <f t="shared" si="5"/>
        <v>375.85402022428224</v>
      </c>
      <c r="AN22" s="62">
        <f ca="1">AVERAGE(OFFSET($AM$3,0,0,'Données projet'!$E$10+1,1))-AVERAGE(OFFSET($H$3,0,0,'Données projet'!$E$10+1,1))</f>
        <v>259.74478933784656</v>
      </c>
      <c r="AO22" s="62">
        <f t="shared" si="36"/>
        <v>223.74038909289646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5.5909090909090908</v>
      </c>
      <c r="N23" s="14">
        <f>IF('Données projet'!$A$36&gt;35,N22+M23-V22,IF(A23&lt;'Données projet'!$A$36,$K$205^A23,IF(A23='Données projet'!$A$36,'Données projet'!$B$36,N22+M23-V22)))</f>
        <v>79.417047587426694</v>
      </c>
      <c r="O23" s="14">
        <f>N23*VLOOKUP('Données projet'!$B$9,Paramètres!$A$1:$I$89,3,0)*VLOOKUP('Données projet'!$B$9,Paramètres!$A$1:$I$89,5,0)</f>
        <v>47.49139445728116</v>
      </c>
      <c r="P23" s="14">
        <f t="shared" si="33"/>
        <v>13.96397329692701</v>
      </c>
      <c r="Q23" s="22">
        <f t="shared" si="2"/>
        <v>107.03476550524589</v>
      </c>
      <c r="R23" s="62">
        <f t="shared" si="0"/>
        <v>388.14587661635704</v>
      </c>
      <c r="S23" s="62">
        <f ca="1">AVERAGE(OFFSET($R$3,0,0,'Données projet'!$E$9+1,1))-AVERAGE(OFFSET($H$3,0,0,'Données projet'!$E$9+1,1))</f>
        <v>362.81292020448933</v>
      </c>
      <c r="T23" s="62">
        <f t="shared" si="34"/>
        <v>292.26503163353146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115</v>
      </c>
      <c r="AG23" s="13">
        <f>VLOOKUP(A23,'Données projet'!$A$61:$I$81,9,0)</f>
        <v>5.75</v>
      </c>
      <c r="AH23" s="13">
        <f t="array" ref="AH23">INDEX(AG:AG,MIN(IF(ISNUMBER(AG23:AG219),ROW(AG23:AG219),"")))</f>
        <v>5.75</v>
      </c>
      <c r="AI23" s="14">
        <f>IF('Données projet'!$A$62&gt;35,AI22+AH23-AQ22,IF(A23&lt;'Données projet'!$A$62,$AF$205^A23,IF(A23='Données projet'!$A$62,'Données projet'!$B$62,AI22+AH23-AQ22)))</f>
        <v>115</v>
      </c>
      <c r="AJ23" s="14">
        <f>AI23*VLOOKUP('Données projet'!$B$10,Paramètres!$A$1:$I$89,3,0)*VLOOKUP('Données projet'!$B$10,Paramètres!$A$1:$I$89,5,0)</f>
        <v>53.82</v>
      </c>
      <c r="AK23" s="14">
        <f t="shared" si="35"/>
        <v>15.596024630246266</v>
      </c>
      <c r="AL23" s="22">
        <f t="shared" si="4"/>
        <v>120.89957623101225</v>
      </c>
      <c r="AM23" s="62">
        <f t="shared" si="5"/>
        <v>402.01068734212339</v>
      </c>
      <c r="AN23" s="62">
        <f ca="1">AVERAGE(OFFSET($AM$3,0,0,'Données projet'!$E$10+1,1))-AVERAGE(OFFSET($H$3,0,0,'Données projet'!$E$10+1,1))</f>
        <v>259.74478933784656</v>
      </c>
      <c r="AO23" s="62">
        <f t="shared" si="36"/>
        <v>223.74038909289646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5.5909090909090908</v>
      </c>
      <c r="N24" s="14">
        <f>IF('Données projet'!$A$36&gt;35,N23+M24-V23,IF(A24&lt;'Données projet'!$A$36,$K$205^A24,IF(A24='Données projet'!$A$36,'Données projet'!$B$36,N23+M24-V23)))</f>
        <v>98.834694582689295</v>
      </c>
      <c r="O24" s="14">
        <f>N24*VLOOKUP('Données projet'!$B$9,Paramètres!$A$1:$I$89,3,0)*VLOOKUP('Données projet'!$B$9,Paramètres!$A$1:$I$89,5,0)</f>
        <v>59.103147360448204</v>
      </c>
      <c r="P24" s="14">
        <f t="shared" si="33"/>
        <v>16.94131815778756</v>
      </c>
      <c r="Q24" s="22">
        <f t="shared" si="2"/>
        <v>132.44411077759398</v>
      </c>
      <c r="R24" s="62">
        <f t="shared" si="0"/>
        <v>414.77744411092726</v>
      </c>
      <c r="S24" s="62">
        <f ca="1">AVERAGE(OFFSET($R$3,0,0,'Données projet'!$E$9+1,1))-AVERAGE(OFFSET($H$3,0,0,'Données projet'!$E$9+1,1))</f>
        <v>362.81292020448933</v>
      </c>
      <c r="T24" s="62">
        <f t="shared" si="34"/>
        <v>292.26503163353146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6.5</v>
      </c>
      <c r="AI24" s="14">
        <f>IF('Données projet'!$A$62&gt;35,AI23+AH24-AQ23,IF(A24&lt;'Données projet'!$A$62,$AF$205^A24,IF(A24='Données projet'!$A$62,'Données projet'!$B$62,AI23+AH24-AQ23)))</f>
        <v>121.5</v>
      </c>
      <c r="AJ24" s="14">
        <f>AI24*VLOOKUP('Données projet'!$B$10,Paramètres!$A$1:$I$89,3,0)*VLOOKUP('Données projet'!$B$10,Paramètres!$A$1:$I$89,5,0)</f>
        <v>56.861999999999995</v>
      </c>
      <c r="AK24" s="14">
        <f t="shared" si="35"/>
        <v>16.372420859571687</v>
      </c>
      <c r="AL24" s="22">
        <f t="shared" si="4"/>
        <v>127.54994966375402</v>
      </c>
      <c r="AM24" s="62">
        <f t="shared" si="5"/>
        <v>409.88328299708735</v>
      </c>
      <c r="AN24" s="62">
        <f ca="1">AVERAGE(OFFSET($AM$3,0,0,'Données projet'!$E$10+1,1))-AVERAGE(OFFSET($H$3,0,0,'Données projet'!$E$10+1,1))</f>
        <v>259.74478933784656</v>
      </c>
      <c r="AO24" s="62">
        <f t="shared" si="36"/>
        <v>223.74038909289646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123</v>
      </c>
      <c r="L25" s="13">
        <f>VLOOKUP(A25,'Données projet'!$A$35:$I$55,9,0)</f>
        <v>5.5909090909090908</v>
      </c>
      <c r="M25" s="13">
        <f t="array" ref="M25">INDEX(L:L,MIN(IF(ISNUMBER(L25:L221),ROW(L25:L221),"")))</f>
        <v>5.5909090909090908</v>
      </c>
      <c r="N25" s="14">
        <f>IF('Données projet'!$A$36&gt;35,N24+M25-V24,IF(A25&lt;'Données projet'!$A$36,$K$205^A25,IF(A25='Données projet'!$A$36,'Données projet'!$B$36,N24+M25-V24)))</f>
        <v>123</v>
      </c>
      <c r="O25" s="14">
        <f>N25*VLOOKUP('Données projet'!$B$9,Paramètres!$A$1:$I$89,3,0)*VLOOKUP('Données projet'!$B$9,Paramètres!$A$1:$I$89,5,0)</f>
        <v>73.554000000000016</v>
      </c>
      <c r="P25" s="14">
        <f t="shared" si="33"/>
        <v>20.553481077376691</v>
      </c>
      <c r="Q25" s="22">
        <f t="shared" si="2"/>
        <v>163.90386287643108</v>
      </c>
      <c r="R25" s="62">
        <f t="shared" si="0"/>
        <v>447.45941843198659</v>
      </c>
      <c r="S25" s="62">
        <f ca="1">AVERAGE(OFFSET($R$3,0,0,'Données projet'!$E$9+1,1))-AVERAGE(OFFSET($H$3,0,0,'Données projet'!$E$9+1,1))</f>
        <v>362.81292020448933</v>
      </c>
      <c r="T25" s="62">
        <f t="shared" si="34"/>
        <v>292.26503163353146</v>
      </c>
      <c r="U25" s="16">
        <f>IF(ISNA(VLOOKUP(A25,'Données projet'!$A$35:$I$55,3,0)),0,VLOOKUP(A25,'Données projet'!$A$35:$I$55,3,0))</f>
        <v>1</v>
      </c>
      <c r="V25" s="16">
        <f>IF(ISNA(VLOOKUP(A25,'Données projet'!$A$35:$I$55,4,0)),0,VLOOKUP(A25,'Données projet'!$A$35:$I$55,4,0))</f>
        <v>16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1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10.833198622733226</v>
      </c>
      <c r="AC25" s="24">
        <f t="shared" si="3"/>
        <v>10.833198622733226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6.5</v>
      </c>
      <c r="AI25" s="14">
        <f>IF('Données projet'!$A$62&gt;35,AI24+AH25-AQ24,IF(A25&lt;'Données projet'!$A$62,$AF$205^A25,IF(A25='Données projet'!$A$62,'Données projet'!$B$62,AI24+AH25-AQ24)))</f>
        <v>128</v>
      </c>
      <c r="AJ25" s="14">
        <f>AI25*VLOOKUP('Données projet'!$B$10,Paramètres!$A$1:$I$89,3,0)*VLOOKUP('Données projet'!$B$10,Paramètres!$A$1:$I$89,5,0)</f>
        <v>59.903999999999996</v>
      </c>
      <c r="AK25" s="14">
        <f t="shared" si="35"/>
        <v>17.143994938960184</v>
      </c>
      <c r="AL25" s="22">
        <f t="shared" si="4"/>
        <v>134.19192451868898</v>
      </c>
      <c r="AM25" s="62">
        <f t="shared" si="5"/>
        <v>417.74748007424455</v>
      </c>
      <c r="AN25" s="62">
        <f ca="1">AVERAGE(OFFSET($AM$3,0,0,'Données projet'!$E$10+1,1))-AVERAGE(OFFSET($H$3,0,0,'Données projet'!$E$10+1,1))</f>
        <v>259.74478933784656</v>
      </c>
      <c r="AO25" s="62">
        <f t="shared" si="36"/>
        <v>223.74038909289646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12.333333333333334</v>
      </c>
      <c r="N26" s="14">
        <f>IF('Données projet'!$A$36&gt;35,N25+M26-V25,IF(A26&lt;'Données projet'!$A$36,$K$205^A26,IF(A26='Données projet'!$A$36,'Données projet'!$B$36,N25+M26-V25)))</f>
        <v>119.33333333333334</v>
      </c>
      <c r="O26" s="14">
        <f>N26*VLOOKUP('Données projet'!$B$9,Paramètres!$A$1:$I$89,3,0)*VLOOKUP('Données projet'!$B$9,Paramètres!$A$1:$I$89,5,0)</f>
        <v>71.361333333333349</v>
      </c>
      <c r="P26" s="14">
        <f t="shared" si="33"/>
        <v>20.011144716858571</v>
      </c>
      <c r="Q26" s="22">
        <f t="shared" si="2"/>
        <v>159.14039927075092</v>
      </c>
      <c r="R26" s="62">
        <f t="shared" si="0"/>
        <v>443.91817704852872</v>
      </c>
      <c r="S26" s="62">
        <f ca="1">AVERAGE(OFFSET($R$3,0,0,'Données projet'!$E$9+1,1))-AVERAGE(OFFSET($H$3,0,0,'Données projet'!$E$9+1,1))</f>
        <v>362.81292020448933</v>
      </c>
      <c r="T26" s="62">
        <f t="shared" si="34"/>
        <v>292.26503163353146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7.6602282080754316</v>
      </c>
      <c r="AC26" s="24">
        <f t="shared" si="3"/>
        <v>7.6602282080754316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6.5</v>
      </c>
      <c r="AI26" s="14">
        <f>IF('Données projet'!$A$62&gt;35,AI25+AH26-AQ25,IF(A26&lt;'Données projet'!$A$62,$AF$205^A26,IF(A26='Données projet'!$A$62,'Données projet'!$B$62,AI25+AH26-AQ25)))</f>
        <v>134.5</v>
      </c>
      <c r="AJ26" s="14">
        <f>AI26*VLOOKUP('Données projet'!$B$10,Paramètres!$A$1:$I$89,3,0)*VLOOKUP('Données projet'!$B$10,Paramètres!$A$1:$I$89,5,0)</f>
        <v>62.946000000000005</v>
      </c>
      <c r="AK26" s="14">
        <f t="shared" si="35"/>
        <v>17.911019680519331</v>
      </c>
      <c r="AL26" s="22">
        <f t="shared" si="4"/>
        <v>140.82597594357114</v>
      </c>
      <c r="AM26" s="62">
        <f t="shared" si="5"/>
        <v>425.60375372134888</v>
      </c>
      <c r="AN26" s="62">
        <f ca="1">AVERAGE(OFFSET($AM$3,0,0,'Données projet'!$E$10+1,1))-AVERAGE(OFFSET($H$3,0,0,'Données projet'!$E$10+1,1))</f>
        <v>259.74478933784656</v>
      </c>
      <c r="AO26" s="62">
        <f t="shared" si="36"/>
        <v>223.74038909289646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12.333333333333334</v>
      </c>
      <c r="N27" s="14">
        <f>IF('Données projet'!$A$36&gt;35,N26+M27-V26,IF(A27&lt;'Données projet'!$A$36,$K$205^A27,IF(A27='Données projet'!$A$36,'Données projet'!$B$36,N26+M27-V26)))</f>
        <v>131.66666666666669</v>
      </c>
      <c r="O27" s="14">
        <f>N27*VLOOKUP('Données projet'!$B$9,Paramètres!$A$1:$I$89,3,0)*VLOOKUP('Données projet'!$B$9,Paramètres!$A$1:$I$89,5,0)</f>
        <v>78.736666666666679</v>
      </c>
      <c r="P27" s="14">
        <f t="shared" si="33"/>
        <v>21.828006984037064</v>
      </c>
      <c r="Q27" s="22">
        <f t="shared" si="2"/>
        <v>175.15013994164235</v>
      </c>
      <c r="R27" s="62">
        <f t="shared" si="0"/>
        <v>461.15013994164235</v>
      </c>
      <c r="S27" s="62">
        <f ca="1">AVERAGE(OFFSET($R$3,0,0,'Données projet'!$E$9+1,1))-AVERAGE(OFFSET($H$3,0,0,'Données projet'!$E$9+1,1))</f>
        <v>362.81292020448933</v>
      </c>
      <c r="T27" s="62">
        <f t="shared" si="34"/>
        <v>292.26503163353146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5.416599311366614</v>
      </c>
      <c r="AC27" s="24">
        <f t="shared" si="3"/>
        <v>5.416599311366614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6.5</v>
      </c>
      <c r="AI27" s="14">
        <f>IF('Données projet'!$A$62&gt;35,AI26+AH27-AQ26,IF(A27&lt;'Données projet'!$A$62,$AF$205^A27,IF(A27='Données projet'!$A$62,'Données projet'!$B$62,AI26+AH27-AQ26)))</f>
        <v>141</v>
      </c>
      <c r="AJ27" s="14">
        <f>AI27*VLOOKUP('Données projet'!$B$10,Paramètres!$A$1:$I$89,3,0)*VLOOKUP('Données projet'!$B$10,Paramètres!$A$1:$I$89,5,0)</f>
        <v>65.988</v>
      </c>
      <c r="AK27" s="14">
        <f t="shared" si="35"/>
        <v>18.67374003807944</v>
      </c>
      <c r="AL27" s="22">
        <f t="shared" si="4"/>
        <v>147.45253056632168</v>
      </c>
      <c r="AM27" s="62">
        <f t="shared" si="5"/>
        <v>433.45253056632168</v>
      </c>
      <c r="AN27" s="62">
        <f ca="1">AVERAGE(OFFSET($AM$3,0,0,'Données projet'!$E$10+1,1))-AVERAGE(OFFSET($H$3,0,0,'Données projet'!$E$10+1,1))</f>
        <v>259.74478933784656</v>
      </c>
      <c r="AO27" s="62">
        <f t="shared" si="36"/>
        <v>223.74038909289646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144</v>
      </c>
      <c r="L28" s="13">
        <f>VLOOKUP(A28,'Données projet'!$A$35:$I$55,9,0)</f>
        <v>12.333333333333334</v>
      </c>
      <c r="M28" s="13">
        <f t="array" ref="M28">INDEX(L:L,MIN(IF(ISNUMBER(L28:L224),ROW(L28:L224),"")))</f>
        <v>12.333333333333334</v>
      </c>
      <c r="N28" s="14">
        <f>IF('Données projet'!$A$36&gt;35,N27+M28-V27,IF(A28&lt;'Données projet'!$A$36,$K$205^A28,IF(A28='Données projet'!$A$36,'Données projet'!$B$36,N27+M28-V27)))</f>
        <v>144.00000000000003</v>
      </c>
      <c r="O28" s="14">
        <f>N28*VLOOKUP('Données projet'!$B$9,Paramètres!$A$1:$I$89,3,0)*VLOOKUP('Données projet'!$B$9,Paramètres!$A$1:$I$89,5,0)</f>
        <v>86.112000000000009</v>
      </c>
      <c r="P28" s="14">
        <f t="shared" si="33"/>
        <v>23.625136642852297</v>
      </c>
      <c r="Q28" s="22">
        <f t="shared" si="2"/>
        <v>191.12551298630106</v>
      </c>
      <c r="R28" s="62">
        <f t="shared" si="0"/>
        <v>478.34773520852332</v>
      </c>
      <c r="S28" s="62">
        <f ca="1">AVERAGE(OFFSET($R$3,0,0,'Données projet'!$E$9+1,1))-AVERAGE(OFFSET($H$3,0,0,'Données projet'!$E$9+1,1))</f>
        <v>362.81292020448933</v>
      </c>
      <c r="T28" s="62">
        <f t="shared" si="34"/>
        <v>292.26503163353146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17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1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15.34038764069177</v>
      </c>
      <c r="AC28" s="24">
        <f t="shared" si="3"/>
        <v>15.34038764069177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6.5</v>
      </c>
      <c r="AI28" s="14">
        <f>IF('Données projet'!$A$62&gt;35,AI27+AH28-AQ27,IF(A28&lt;'Données projet'!$A$62,$AF$205^A28,IF(A28='Données projet'!$A$62,'Données projet'!$B$62,AI27+AH28-AQ27)))</f>
        <v>147.5</v>
      </c>
      <c r="AJ28" s="14">
        <f>AI28*VLOOKUP('Données projet'!$B$10,Paramètres!$A$1:$I$89,3,0)*VLOOKUP('Données projet'!$B$10,Paramètres!$A$1:$I$89,5,0)</f>
        <v>69.03</v>
      </c>
      <c r="AK28" s="14">
        <f t="shared" si="35"/>
        <v>19.432377104615718</v>
      </c>
      <c r="AL28" s="22">
        <f t="shared" si="4"/>
        <v>154.0719734572057</v>
      </c>
      <c r="AM28" s="62">
        <f t="shared" si="5"/>
        <v>441.29419567942796</v>
      </c>
      <c r="AN28" s="62">
        <f ca="1">AVERAGE(OFFSET($AM$3,0,0,'Données projet'!$E$10+1,1))-AVERAGE(OFFSET($H$3,0,0,'Données projet'!$E$10+1,1))</f>
        <v>259.74478933784656</v>
      </c>
      <c r="AO28" s="62">
        <f t="shared" si="36"/>
        <v>223.74038909289646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13.4</v>
      </c>
      <c r="N29" s="14">
        <f>IF('Données projet'!$A$36&gt;35,N28+M29-V28,IF(A29&lt;'Données projet'!$A$36,$K$205^A29,IF(A29='Données projet'!$A$36,'Données projet'!$B$36,N28+M29-V28)))</f>
        <v>140.40000000000003</v>
      </c>
      <c r="O29" s="14">
        <f>N29*VLOOKUP('Données projet'!$B$9,Paramètres!$A$1:$I$89,3,0)*VLOOKUP('Données projet'!$B$9,Paramètres!$A$1:$I$89,5,0)</f>
        <v>83.959200000000024</v>
      </c>
      <c r="P29" s="14">
        <f t="shared" si="33"/>
        <v>23.102490880810642</v>
      </c>
      <c r="Q29" s="22">
        <f t="shared" si="2"/>
        <v>186.46577828407854</v>
      </c>
      <c r="R29" s="62">
        <f t="shared" si="0"/>
        <v>474.91022272852297</v>
      </c>
      <c r="S29" s="62">
        <f ca="1">AVERAGE(OFFSET($R$3,0,0,'Données projet'!$E$9+1,1))-AVERAGE(OFFSET($H$3,0,0,'Données projet'!$E$9+1,1))</f>
        <v>362.81292020448933</v>
      </c>
      <c r="T29" s="62">
        <f t="shared" si="34"/>
        <v>292.26503163353146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10.847292126763454</v>
      </c>
      <c r="AC29" s="24">
        <f t="shared" si="3"/>
        <v>10.847292126763454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6.5</v>
      </c>
      <c r="AI29" s="14">
        <f>IF('Données projet'!$A$62&gt;35,AI28+AH29-AQ28,IF(A29&lt;'Données projet'!$A$62,$AF$205^A29,IF(A29='Données projet'!$A$62,'Données projet'!$B$62,AI28+AH29-AQ28)))</f>
        <v>154</v>
      </c>
      <c r="AJ29" s="14">
        <f>AI29*VLOOKUP('Données projet'!$B$10,Paramètres!$A$1:$I$89,3,0)*VLOOKUP('Données projet'!$B$10,Paramètres!$A$1:$I$89,5,0)</f>
        <v>72.072000000000003</v>
      </c>
      <c r="AK29" s="14">
        <f t="shared" si="35"/>
        <v>20.187131385147271</v>
      </c>
      <c r="AL29" s="22">
        <f t="shared" si="4"/>
        <v>160.68465382913149</v>
      </c>
      <c r="AM29" s="62">
        <f t="shared" si="5"/>
        <v>449.12909827357595</v>
      </c>
      <c r="AN29" s="62">
        <f ca="1">AVERAGE(OFFSET($AM$3,0,0,'Données projet'!$E$10+1,1))-AVERAGE(OFFSET($H$3,0,0,'Données projet'!$E$10+1,1))</f>
        <v>259.74478933784656</v>
      </c>
      <c r="AO29" s="62">
        <f t="shared" si="36"/>
        <v>223.74038909289646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13.4</v>
      </c>
      <c r="N30" s="14">
        <f>IF('Données projet'!$A$36&gt;35,N29+M30-V29,IF(A30&lt;'Données projet'!$A$36,$K$205^A30,IF(A30='Données projet'!$A$36,'Données projet'!$B$36,N29+M30-V29)))</f>
        <v>153.80000000000004</v>
      </c>
      <c r="O30" s="14">
        <f>N30*VLOOKUP('Données projet'!$B$9,Paramètres!$A$1:$I$89,3,0)*VLOOKUP('Données projet'!$B$9,Paramètres!$A$1:$I$89,5,0)</f>
        <v>91.972400000000022</v>
      </c>
      <c r="P30" s="14">
        <f t="shared" si="33"/>
        <v>25.040318527820091</v>
      </c>
      <c r="Q30" s="22">
        <f t="shared" si="2"/>
        <v>203.79715143595334</v>
      </c>
      <c r="R30" s="62">
        <f t="shared" si="0"/>
        <v>493.46381810262005</v>
      </c>
      <c r="S30" s="62">
        <f ca="1">AVERAGE(OFFSET($R$3,0,0,'Données projet'!$E$9+1,1))-AVERAGE(OFFSET($H$3,0,0,'Données projet'!$E$9+1,1))</f>
        <v>362.81292020448933</v>
      </c>
      <c r="T30" s="62">
        <f t="shared" si="34"/>
        <v>292.26503163353146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7.6701938203458866</v>
      </c>
      <c r="AC30" s="24">
        <f t="shared" si="3"/>
        <v>7.6701938203458866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6.5</v>
      </c>
      <c r="AI30" s="14">
        <f>IF('Données projet'!$A$62&gt;35,AI29+AH30-AQ29,IF(A30&lt;'Données projet'!$A$62,$AF$205^A30,IF(A30='Données projet'!$A$62,'Données projet'!$B$62,AI29+AH30-AQ29)))</f>
        <v>160.5</v>
      </c>
      <c r="AJ30" s="14">
        <f>AI30*VLOOKUP('Données projet'!$B$10,Paramètres!$A$1:$I$89,3,0)*VLOOKUP('Données projet'!$B$10,Paramètres!$A$1:$I$89,5,0)</f>
        <v>75.114000000000004</v>
      </c>
      <c r="AK30" s="14">
        <f t="shared" si="35"/>
        <v>20.938185501492693</v>
      </c>
      <c r="AL30" s="22">
        <f t="shared" si="4"/>
        <v>167.2908897484331</v>
      </c>
      <c r="AM30" s="62">
        <f t="shared" si="5"/>
        <v>456.95755641509982</v>
      </c>
      <c r="AN30" s="62">
        <f ca="1">AVERAGE(OFFSET($AM$3,0,0,'Données projet'!$E$10+1,1))-AVERAGE(OFFSET($H$3,0,0,'Données projet'!$E$10+1,1))</f>
        <v>259.74478933784656</v>
      </c>
      <c r="AO30" s="62">
        <f t="shared" si="36"/>
        <v>223.74038909289646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13.4</v>
      </c>
      <c r="N31" s="14">
        <f>IF('Données projet'!$A$36&gt;35,N30+M31-V30,IF(A31&lt;'Données projet'!$A$36,$K$205^A31,IF(A31='Données projet'!$A$36,'Données projet'!$B$36,N30+M31-V30)))</f>
        <v>167.20000000000005</v>
      </c>
      <c r="O31" s="14">
        <f>N31*VLOOKUP('Données projet'!$B$9,Paramètres!$A$1:$I$89,3,0)*VLOOKUP('Données projet'!$B$9,Paramètres!$A$1:$I$89,5,0)</f>
        <v>99.985600000000034</v>
      </c>
      <c r="P31" s="14">
        <f t="shared" si="33"/>
        <v>26.958566918169435</v>
      </c>
      <c r="Q31" s="22">
        <f t="shared" si="2"/>
        <v>221.09442404914515</v>
      </c>
      <c r="R31" s="62">
        <f t="shared" si="0"/>
        <v>511.98331293803403</v>
      </c>
      <c r="S31" s="62">
        <f ca="1">AVERAGE(OFFSET($R$3,0,0,'Données projet'!$E$9+1,1))-AVERAGE(OFFSET($H$3,0,0,'Données projet'!$E$9+1,1))</f>
        <v>362.81292020448933</v>
      </c>
      <c r="T31" s="62">
        <f t="shared" si="34"/>
        <v>292.26503163353146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5.4236460633817281</v>
      </c>
      <c r="AC31" s="24">
        <f t="shared" si="3"/>
        <v>5.4236460633817281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6.5</v>
      </c>
      <c r="AI31" s="14">
        <f>IF('Données projet'!$A$62&gt;35,AI30+AH31-AQ30,IF(A31&lt;'Données projet'!$A$62,$AF$205^A31,IF(A31='Données projet'!$A$62,'Données projet'!$B$62,AI30+AH31-AQ30)))</f>
        <v>167</v>
      </c>
      <c r="AJ31" s="14">
        <f>AI31*VLOOKUP('Données projet'!$B$10,Paramètres!$A$1:$I$89,3,0)*VLOOKUP('Données projet'!$B$10,Paramètres!$A$1:$I$89,5,0)</f>
        <v>78.156000000000006</v>
      </c>
      <c r="AK31" s="14">
        <f t="shared" si="35"/>
        <v>21.685706446534809</v>
      </c>
      <c r="AL31" s="22">
        <f t="shared" si="4"/>
        <v>173.89097206104813</v>
      </c>
      <c r="AM31" s="62">
        <f t="shared" si="5"/>
        <v>464.77986094993696</v>
      </c>
      <c r="AN31" s="62">
        <f ca="1">AVERAGE(OFFSET($AM$3,0,0,'Données projet'!$E$10+1,1))-AVERAGE(OFFSET($H$3,0,0,'Données projet'!$E$10+1,1))</f>
        <v>259.74478933784656</v>
      </c>
      <c r="AO31" s="62">
        <f t="shared" si="36"/>
        <v>223.74038909289646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13.4</v>
      </c>
      <c r="N32" s="14">
        <f>IF('Données projet'!$A$36&gt;35,N31+M32-V31,IF(A32&lt;'Données projet'!$A$36,$K$205^A32,IF(A32='Données projet'!$A$36,'Données projet'!$B$36,N31+M32-V31)))</f>
        <v>180.60000000000005</v>
      </c>
      <c r="O32" s="14">
        <f>N32*VLOOKUP('Données projet'!$B$9,Paramètres!$A$1:$I$89,3,0)*VLOOKUP('Données projet'!$B$9,Paramètres!$A$1:$I$89,5,0)</f>
        <v>107.99880000000003</v>
      </c>
      <c r="P32" s="14">
        <f t="shared" si="33"/>
        <v>28.85898360070161</v>
      </c>
      <c r="Q32" s="22">
        <f t="shared" si="2"/>
        <v>238.36063977122203</v>
      </c>
      <c r="R32" s="62">
        <f t="shared" si="0"/>
        <v>530.47175088233314</v>
      </c>
      <c r="S32" s="62">
        <f ca="1">AVERAGE(OFFSET($R$3,0,0,'Données projet'!$E$9+1,1))-AVERAGE(OFFSET($H$3,0,0,'Données projet'!$E$9+1,1))</f>
        <v>362.81292020448933</v>
      </c>
      <c r="T32" s="62">
        <f t="shared" si="34"/>
        <v>292.26503163353146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3.8350969101729437</v>
      </c>
      <c r="AC32" s="24">
        <f t="shared" si="3"/>
        <v>3.8350969101729437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6.5</v>
      </c>
      <c r="AI32" s="14">
        <f>IF('Données projet'!$A$62&gt;35,AI31+AH32-AQ31,IF(A32&lt;'Données projet'!$A$62,$AF$205^A32,IF(A32='Données projet'!$A$62,'Données projet'!$B$62,AI31+AH32-AQ31)))</f>
        <v>173.5</v>
      </c>
      <c r="AJ32" s="14">
        <f>AI32*VLOOKUP('Données projet'!$B$10,Paramètres!$A$1:$I$89,3,0)*VLOOKUP('Données projet'!$B$10,Paramètres!$A$1:$I$89,5,0)</f>
        <v>81.198000000000008</v>
      </c>
      <c r="AK32" s="14">
        <f t="shared" si="35"/>
        <v>22.429847477648512</v>
      </c>
      <c r="AL32" s="22">
        <f t="shared" si="4"/>
        <v>180.48516769023783</v>
      </c>
      <c r="AM32" s="62">
        <f t="shared" si="5"/>
        <v>472.59627880134894</v>
      </c>
      <c r="AN32" s="62">
        <f ca="1">AVERAGE(OFFSET($AM$3,0,0,'Données projet'!$E$10+1,1))-AVERAGE(OFFSET($H$3,0,0,'Données projet'!$E$10+1,1))</f>
        <v>259.74478933784656</v>
      </c>
      <c r="AO32" s="62">
        <f t="shared" si="36"/>
        <v>223.74038909289646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194</v>
      </c>
      <c r="L33" s="13">
        <f>VLOOKUP(A33,'Données projet'!$A$35:$I$55,9,0)</f>
        <v>13.4</v>
      </c>
      <c r="M33" s="13">
        <f t="array" ref="M33">INDEX(L:L,MIN(IF(ISNUMBER(L33:L229),ROW(L33:L229),"")))</f>
        <v>13.4</v>
      </c>
      <c r="N33" s="14">
        <f>IF('Données projet'!$A$36&gt;35,N32+M33-V32,IF(A33&lt;'Données projet'!$A$36,$K$205^A33,IF(A33='Données projet'!$A$36,'Données projet'!$B$36,N32+M33-V32)))</f>
        <v>194.00000000000006</v>
      </c>
      <c r="O33" s="14">
        <f>N33*VLOOKUP('Données projet'!$B$9,Paramètres!$A$1:$I$89,3,0)*VLOOKUP('Données projet'!$B$9,Paramètres!$A$1:$I$89,5,0)</f>
        <v>116.01200000000003</v>
      </c>
      <c r="P33" s="14">
        <f t="shared" si="33"/>
        <v>30.743042086238173</v>
      </c>
      <c r="Q33" s="22">
        <f t="shared" si="2"/>
        <v>255.59836496686489</v>
      </c>
      <c r="R33" s="62">
        <f t="shared" si="0"/>
        <v>548.93169830019815</v>
      </c>
      <c r="S33" s="62">
        <f ca="1">AVERAGE(OFFSET($R$3,0,0,'Données projet'!$E$9+1,1))-AVERAGE(OFFSET($H$3,0,0,'Données projet'!$E$9+1,1))</f>
        <v>362.81292020448933</v>
      </c>
      <c r="T33" s="62">
        <f t="shared" si="34"/>
        <v>292.26503163353146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34</v>
      </c>
      <c r="W33" s="17">
        <f>IF(ISNA(VLOOKUP(A33,'Données projet'!$A$35:$I$55,5,0)),0%,VLOOKUP(A33,'Données projet'!$A$35:$I$55,5,0)*VLOOKUP('Données projet'!$B$9,Paramètres!$A$1:$I$89,7,0))</f>
        <v>6.7500000000000004E-2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0.45</v>
      </c>
      <c r="Z33" s="23">
        <f>EXP(-LN(2)/35)*Z32+(1-EXP(-LN(2)/35))/(LN(2)/35)*V33*W33*VLOOKUP('Données projet'!$B$9,Paramètres!$A$1:$I$89,3,0)*0.475*44/12</f>
        <v>1.8205903242897794</v>
      </c>
      <c r="AA33" s="23">
        <f>EXP(-LN(2)/25)*AA32+(1-EXP(-LN(2)/25))/(LN(2)/25)*Calculateur!V33*Calculateur!X33*VLOOKUP('Données projet'!$B$9,Paramètres!$A$1:$I$89,3,0)*0.475*44/12</f>
        <v>4.8357919106233389</v>
      </c>
      <c r="AB33" s="23">
        <f>EXP(-LN(2)/2)*AB32+(1-EXP(-LN(2)/2))/(LN(2)/2)*V33*Y33*VLOOKUP('Données projet'!$B$9,Paramètres!$A$1:$I$89,3,0)*0.475*44/12</f>
        <v>13.071069214679511</v>
      </c>
      <c r="AC33" s="24">
        <f t="shared" si="3"/>
        <v>19.727451449592628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180</v>
      </c>
      <c r="AG33" s="13">
        <f>VLOOKUP(A33,'Données projet'!$A$61:$I$81,9,0)</f>
        <v>6.5</v>
      </c>
      <c r="AH33" s="13">
        <f t="array" ref="AH33">INDEX(AG:AG,MIN(IF(ISNUMBER(AG33:AG229),ROW(AG33:AG229),"")))</f>
        <v>6.5</v>
      </c>
      <c r="AI33" s="14">
        <f>IF('Données projet'!$A$62&gt;35,AI32+AH33-AQ32,IF(A33&lt;'Données projet'!$A$62,$AF$205^A33,IF(A33='Données projet'!$A$62,'Données projet'!$B$62,AI32+AH33-AQ32)))</f>
        <v>180</v>
      </c>
      <c r="AJ33" s="14">
        <f>AI33*VLOOKUP('Données projet'!$B$10,Paramètres!$A$1:$I$89,3,0)*VLOOKUP('Données projet'!$B$10,Paramètres!$A$1:$I$89,5,0)</f>
        <v>84.24</v>
      </c>
      <c r="AK33" s="14">
        <f t="shared" si="35"/>
        <v>23.170749718409468</v>
      </c>
      <c r="AL33" s="22">
        <f t="shared" si="4"/>
        <v>187.07372242622981</v>
      </c>
      <c r="AM33" s="62">
        <f t="shared" si="5"/>
        <v>480.40705575956315</v>
      </c>
      <c r="AN33" s="62">
        <f ca="1">AVERAGE(OFFSET($AM$3,0,0,'Données projet'!$E$10+1,1))-AVERAGE(OFFSET($H$3,0,0,'Données projet'!$E$10+1,1))</f>
        <v>259.74478933784656</v>
      </c>
      <c r="AO33" s="62">
        <f t="shared" si="36"/>
        <v>223.74038909289646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14.6</v>
      </c>
      <c r="N34" s="14">
        <f>IF('Données projet'!$A$36&gt;35,N33+M34-V33,IF(A34&lt;'Données projet'!$A$36,$K$205^A34,IF(A34='Données projet'!$A$36,'Données projet'!$B$36,N33+M34-V33)))</f>
        <v>174.60000000000005</v>
      </c>
      <c r="O34" s="14">
        <f>N34*VLOOKUP('Données projet'!$B$9,Paramètres!$A$1:$I$89,3,0)*VLOOKUP('Données projet'!$B$9,Paramètres!$A$1:$I$89,5,0)</f>
        <v>104.41080000000004</v>
      </c>
      <c r="P34" s="14">
        <f t="shared" si="33"/>
        <v>28.010155571424168</v>
      </c>
      <c r="Q34" s="22">
        <f t="shared" si="2"/>
        <v>230.63316428689714</v>
      </c>
      <c r="R34" s="62">
        <f t="shared" si="0"/>
        <v>523.96649762023048</v>
      </c>
      <c r="S34" s="62">
        <f ca="1">AVERAGE(OFFSET($R$3,0,0,'Données projet'!$E$9+1,1))-AVERAGE(OFFSET($H$3,0,0,'Données projet'!$E$9+1,1))</f>
        <v>362.81292020448933</v>
      </c>
      <c r="T34" s="62">
        <f t="shared" si="34"/>
        <v>292.26503163353146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1.7848896584809069</v>
      </c>
      <c r="AA34" s="23">
        <f>EXP(-LN(2)/25)*AA33+(1-EXP(-LN(2)/25))/(LN(2)/25)*Calculateur!V34*Calculateur!X34*VLOOKUP('Données projet'!$B$9,Paramètres!$A$1:$I$89,3,0)*0.475*44/12</f>
        <v>4.7035569265240991</v>
      </c>
      <c r="AB34" s="23">
        <f>EXP(-LN(2)/2)*AB33+(1-EXP(-LN(2)/2))/(LN(2)/2)*V34*Y34*VLOOKUP('Données projet'!$B$9,Paramètres!$A$1:$I$89,3,0)*0.475*44/12</f>
        <v>9.2426416790586039</v>
      </c>
      <c r="AC34" s="24">
        <f t="shared" si="3"/>
        <v>15.73108826406361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7</v>
      </c>
      <c r="AI34" s="14">
        <f>IF('Données projet'!$A$62&gt;35,AI33+AH34-AQ33,IF(A34&lt;'Données projet'!$A$62,$AF$205^A34,IF(A34='Données projet'!$A$62,'Données projet'!$B$62,AI33+AH34-AQ33)))</f>
        <v>187</v>
      </c>
      <c r="AJ34" s="14">
        <f>AI34*VLOOKUP('Données projet'!$B$10,Paramètres!$A$1:$I$89,3,0)*VLOOKUP('Données projet'!$B$10,Paramètres!$A$1:$I$89,5,0)</f>
        <v>87.515999999999991</v>
      </c>
      <c r="AK34" s="14">
        <f t="shared" si="35"/>
        <v>23.965171662037644</v>
      </c>
      <c r="AL34" s="22">
        <f t="shared" si="4"/>
        <v>194.16304064471555</v>
      </c>
      <c r="AM34" s="62">
        <f t="shared" si="5"/>
        <v>487.49637397804884</v>
      </c>
      <c r="AN34" s="62">
        <f ca="1">AVERAGE(OFFSET($AM$3,0,0,'Données projet'!$E$10+1,1))-AVERAGE(OFFSET($H$3,0,0,'Données projet'!$E$10+1,1))</f>
        <v>259.74478933784656</v>
      </c>
      <c r="AO34" s="62">
        <f t="shared" si="36"/>
        <v>223.74038909289646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14.6</v>
      </c>
      <c r="N35" s="14">
        <f>IF('Données projet'!$A$36&gt;35,N34+M35-V34,IF(A35&lt;'Données projet'!$A$36,$K$205^A35,IF(A35='Données projet'!$A$36,'Données projet'!$B$36,N34+M35-V34)))</f>
        <v>189.20000000000005</v>
      </c>
      <c r="O35" s="14">
        <f>N35*VLOOKUP('Données projet'!$B$9,Paramètres!$A$1:$I$89,3,0)*VLOOKUP('Données projet'!$B$9,Paramètres!$A$1:$I$89,5,0)</f>
        <v>113.14160000000004</v>
      </c>
      <c r="P35" s="14">
        <f t="shared" si="33"/>
        <v>30.069952587742019</v>
      </c>
      <c r="Q35" s="22">
        <f t="shared" ref="Q35:Q66" si="53">(O35+P35)*0.475*44/12</f>
        <v>249.42678742365072</v>
      </c>
      <c r="R35" s="62">
        <f t="shared" si="0"/>
        <v>542.76012075698407</v>
      </c>
      <c r="S35" s="62">
        <f ca="1">AVERAGE(OFFSET($R$3,0,0,'Données projet'!$E$9+1,1))-AVERAGE(OFFSET($H$3,0,0,'Données projet'!$E$9+1,1))</f>
        <v>362.81292020448933</v>
      </c>
      <c r="T35" s="62">
        <f t="shared" si="34"/>
        <v>292.26503163353146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1.7498890609532902</v>
      </c>
      <c r="AA35" s="23">
        <f>EXP(-LN(2)/25)*AA34+(1-EXP(-LN(2)/25))/(LN(2)/25)*Calculateur!V35*Calculateur!X35*VLOOKUP('Données projet'!$B$9,Paramètres!$A$1:$I$89,3,0)*0.475*44/12</f>
        <v>4.5749379150189888</v>
      </c>
      <c r="AB35" s="23">
        <f>EXP(-LN(2)/2)*AB34+(1-EXP(-LN(2)/2))/(LN(2)/2)*V35*Y35*VLOOKUP('Données projet'!$B$9,Paramètres!$A$1:$I$89,3,0)*0.475*44/12</f>
        <v>6.5355346073397564</v>
      </c>
      <c r="AC35" s="24">
        <f t="shared" si="3"/>
        <v>12.860361583312034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7</v>
      </c>
      <c r="AI35" s="14">
        <f>IF('Données projet'!$A$62&gt;35,AI34+AH35-AQ34,IF(A35&lt;'Données projet'!$A$62,$AF$205^A35,IF(A35='Données projet'!$A$62,'Données projet'!$B$62,AI34+AH35-AQ34)))</f>
        <v>194</v>
      </c>
      <c r="AJ35" s="14">
        <f>AI35*VLOOKUP('Données projet'!$B$10,Paramètres!$A$1:$I$89,3,0)*VLOOKUP('Données projet'!$B$10,Paramètres!$A$1:$I$89,5,0)</f>
        <v>90.792000000000002</v>
      </c>
      <c r="AK35" s="14">
        <f t="shared" si="35"/>
        <v>24.756138813110173</v>
      </c>
      <c r="AL35" s="22">
        <f t="shared" si="4"/>
        <v>201.24634176616689</v>
      </c>
      <c r="AM35" s="62">
        <f t="shared" si="5"/>
        <v>494.57967509950021</v>
      </c>
      <c r="AN35" s="62">
        <f ca="1">AVERAGE(OFFSET($AM$3,0,0,'Données projet'!$E$10+1,1))-AVERAGE(OFFSET($H$3,0,0,'Données projet'!$E$10+1,1))</f>
        <v>259.74478933784656</v>
      </c>
      <c r="AO35" s="62">
        <f t="shared" si="36"/>
        <v>223.74038909289646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14.6</v>
      </c>
      <c r="N36" s="14">
        <f>IF('Données projet'!$A$36&gt;35,N35+M36-V35,IF(A36&lt;'Données projet'!$A$36,$K$205^A36,IF(A36='Données projet'!$A$36,'Données projet'!$B$36,N35+M36-V35)))</f>
        <v>203.80000000000004</v>
      </c>
      <c r="O36" s="14">
        <f>N36*VLOOKUP('Données projet'!$B$9,Paramètres!$A$1:$I$89,3,0)*VLOOKUP('Données projet'!$B$9,Paramètres!$A$1:$I$89,5,0)</f>
        <v>121.87240000000003</v>
      </c>
      <c r="P36" s="14">
        <f t="shared" si="33"/>
        <v>32.111311550408985</v>
      </c>
      <c r="Q36" s="22">
        <f t="shared" si="53"/>
        <v>268.1882976169623</v>
      </c>
      <c r="R36" s="62">
        <f t="shared" si="0"/>
        <v>561.52163095029562</v>
      </c>
      <c r="S36" s="62">
        <f ca="1">AVERAGE(OFFSET($R$3,0,0,'Données projet'!$E$9+1,1))-AVERAGE(OFFSET($H$3,0,0,'Données projet'!$E$9+1,1))</f>
        <v>362.81292020448933</v>
      </c>
      <c r="T36" s="62">
        <f t="shared" si="34"/>
        <v>292.26503163353146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1.7155748037949337</v>
      </c>
      <c r="AA36" s="23">
        <f>EXP(-LN(2)/25)*AA35+(1-EXP(-LN(2)/25))/(LN(2)/25)*Calculateur!V36*Calculateur!X36*VLOOKUP('Données projet'!$B$9,Paramètres!$A$1:$I$89,3,0)*0.475*44/12</f>
        <v>4.4498359971472654</v>
      </c>
      <c r="AB36" s="23">
        <f>EXP(-LN(2)/2)*AB35+(1-EXP(-LN(2)/2))/(LN(2)/2)*V36*Y36*VLOOKUP('Données projet'!$B$9,Paramètres!$A$1:$I$89,3,0)*0.475*44/12</f>
        <v>4.6213208395293019</v>
      </c>
      <c r="AC36" s="24">
        <f t="shared" si="3"/>
        <v>10.786731640471501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7</v>
      </c>
      <c r="AI36" s="14">
        <f>IF('Données projet'!$A$62&gt;35,AI35+AH36-AQ35,IF(A36&lt;'Données projet'!$A$62,$AF$205^A36,IF(A36='Données projet'!$A$62,'Données projet'!$B$62,AI35+AH36-AQ35)))</f>
        <v>201</v>
      </c>
      <c r="AJ36" s="14">
        <f>AI36*VLOOKUP('Données projet'!$B$10,Paramètres!$A$1:$I$89,3,0)*VLOOKUP('Données projet'!$B$10,Paramètres!$A$1:$I$89,5,0)</f>
        <v>94.067999999999998</v>
      </c>
      <c r="AK36" s="14">
        <f t="shared" si="35"/>
        <v>25.543790108694029</v>
      </c>
      <c r="AL36" s="22">
        <f t="shared" si="4"/>
        <v>208.32386777264207</v>
      </c>
      <c r="AM36" s="62">
        <f t="shared" si="5"/>
        <v>501.65720110597539</v>
      </c>
      <c r="AN36" s="62">
        <f ca="1">AVERAGE(OFFSET($AM$3,0,0,'Données projet'!$E$10+1,1))-AVERAGE(OFFSET($H$3,0,0,'Données projet'!$E$10+1,1))</f>
        <v>259.74478933784656</v>
      </c>
      <c r="AO36" s="62">
        <f t="shared" si="36"/>
        <v>223.74038909289646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14.6</v>
      </c>
      <c r="N37" s="14">
        <f>IF('Données projet'!$A$36&gt;35,N36+M37-V36,IF(A37&lt;'Données projet'!$A$36,$K$205^A37,IF(A37='Données projet'!$A$36,'Données projet'!$B$36,N36+M37-V36)))</f>
        <v>218.40000000000003</v>
      </c>
      <c r="O37" s="14">
        <f>N37*VLOOKUP('Données projet'!$B$9,Paramètres!$A$1:$I$89,3,0)*VLOOKUP('Données projet'!$B$9,Paramètres!$A$1:$I$89,5,0)</f>
        <v>130.60320000000004</v>
      </c>
      <c r="P37" s="14">
        <f t="shared" si="33"/>
        <v>34.135703567016428</v>
      </c>
      <c r="Q37" s="22">
        <f t="shared" si="53"/>
        <v>286.92025704588701</v>
      </c>
      <c r="R37" s="62">
        <f t="shared" si="0"/>
        <v>580.25359037922033</v>
      </c>
      <c r="S37" s="62">
        <f ca="1">AVERAGE(OFFSET($R$3,0,0,'Données projet'!$E$9+1,1))-AVERAGE(OFFSET($H$3,0,0,'Données projet'!$E$9+1,1))</f>
        <v>362.81292020448933</v>
      </c>
      <c r="T37" s="62">
        <f t="shared" si="34"/>
        <v>292.26503163353146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1.6819334282898222</v>
      </c>
      <c r="AA37" s="23">
        <f>EXP(-LN(2)/25)*AA36+(1-EXP(-LN(2)/25))/(LN(2)/25)*Calculateur!V37*Calculateur!X37*VLOOKUP('Données projet'!$B$9,Paramètres!$A$1:$I$89,3,0)*0.475*44/12</f>
        <v>4.3281549977985687</v>
      </c>
      <c r="AB37" s="23">
        <f>EXP(-LN(2)/2)*AB36+(1-EXP(-LN(2)/2))/(LN(2)/2)*V37*Y37*VLOOKUP('Données projet'!$B$9,Paramètres!$A$1:$I$89,3,0)*0.475*44/12</f>
        <v>3.2677673036698782</v>
      </c>
      <c r="AC37" s="24">
        <f t="shared" si="3"/>
        <v>9.2778557297582687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7</v>
      </c>
      <c r="AI37" s="14">
        <f>IF('Données projet'!$A$62&gt;35,AI36+AH37-AQ36,IF(A37&lt;'Données projet'!$A$62,$AF$205^A37,IF(A37='Données projet'!$A$62,'Données projet'!$B$62,AI36+AH37-AQ36)))</f>
        <v>208</v>
      </c>
      <c r="AJ37" s="14">
        <f>AI37*VLOOKUP('Données projet'!$B$10,Paramètres!$A$1:$I$89,3,0)*VLOOKUP('Données projet'!$B$10,Paramètres!$A$1:$I$89,5,0)</f>
        <v>97.343999999999994</v>
      </c>
      <c r="AK37" s="14">
        <f t="shared" si="35"/>
        <v>26.328254259866451</v>
      </c>
      <c r="AL37" s="22">
        <f t="shared" si="4"/>
        <v>215.39584283593408</v>
      </c>
      <c r="AM37" s="62">
        <f t="shared" si="5"/>
        <v>508.72917616926736</v>
      </c>
      <c r="AN37" s="62">
        <f ca="1">AVERAGE(OFFSET($AM$3,0,0,'Données projet'!$E$10+1,1))-AVERAGE(OFFSET($H$3,0,0,'Données projet'!$E$10+1,1))</f>
        <v>259.74478933784656</v>
      </c>
      <c r="AO37" s="62">
        <f t="shared" si="36"/>
        <v>223.74038909289646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233</v>
      </c>
      <c r="L38" s="13">
        <f>VLOOKUP(A38,'Données projet'!$A$35:$I$55,9,0)</f>
        <v>14.6</v>
      </c>
      <c r="M38" s="13">
        <f t="array" ref="M38">INDEX(L:L,MIN(IF(ISNUMBER(L38:L234),ROW(L38:L234),"")))</f>
        <v>14.6</v>
      </c>
      <c r="N38" s="14">
        <f>IF('Données projet'!$A$36&gt;35,N37+M38-V37,IF(A38&lt;'Données projet'!$A$36,$K$205^A38,IF(A38='Données projet'!$A$36,'Données projet'!$B$36,N37+M38-V37)))</f>
        <v>233.00000000000003</v>
      </c>
      <c r="O38" s="14">
        <f>N38*VLOOKUP('Données projet'!$B$9,Paramètres!$A$1:$I$89,3,0)*VLOOKUP('Données projet'!$B$9,Paramètres!$A$1:$I$89,5,0)</f>
        <v>139.33400000000003</v>
      </c>
      <c r="P38" s="14">
        <f t="shared" si="33"/>
        <v>36.144391930570897</v>
      </c>
      <c r="Q38" s="22">
        <f t="shared" si="53"/>
        <v>305.62486594574438</v>
      </c>
      <c r="R38" s="62">
        <f t="shared" si="0"/>
        <v>598.95819927907769</v>
      </c>
      <c r="S38" s="62">
        <f ca="1">AVERAGE(OFFSET($R$3,0,0,'Données projet'!$E$9+1,1))-AVERAGE(OFFSET($H$3,0,0,'Données projet'!$E$9+1,1))</f>
        <v>362.81292020448933</v>
      </c>
      <c r="T38" s="62">
        <f t="shared" si="34"/>
        <v>292.26503163353146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41</v>
      </c>
      <c r="W38" s="17">
        <f>IF(ISNA(VLOOKUP(A38,'Données projet'!$A$35:$I$55,5,0)),0%,VLOOKUP(A38,'Données projet'!$A$35:$I$55,5,0)*VLOOKUP('Données projet'!$B$9,Paramètres!$A$1:$I$89,7,0))</f>
        <v>9.0000000000000011E-2</v>
      </c>
      <c r="X38" s="17">
        <f>IF(ISNA(VLOOKUP(A38,'Données projet'!$A$35:$I$55,6,0)),0%,VLOOKUP(A38,'Données projet'!$A$35:$I$55,6,0)*VLOOKUP('Données projet'!$B$9,Paramètres!$A$1:$I$89,7,0))</f>
        <v>0.18000000000000002</v>
      </c>
      <c r="Y38" s="17">
        <f>IF(ISNA(VLOOKUP(A38,'Données projet'!$A$35:$I$55,7,0)),0%,VLOOKUP(A38,'Données projet'!$A$35:$I$55,7,0))</f>
        <v>0.4</v>
      </c>
      <c r="Z38" s="23">
        <f>EXP(-LN(2)/35)*Z37+(1-EXP(-LN(2)/35))/(LN(2)/35)*V38*W38*VLOOKUP('Données projet'!$B$9,Paramètres!$A$1:$I$89,3,0)*0.475*44/12</f>
        <v>4.5761753983011513</v>
      </c>
      <c r="AA38" s="23">
        <f>EXP(-LN(2)/25)*AA37+(1-EXP(-LN(2)/25))/(LN(2)/25)*Calculateur!V38*Calculateur!X38*VLOOKUP('Données projet'!$B$9,Paramètres!$A$1:$I$89,3,0)*0.475*44/12</f>
        <v>10.041197499292366</v>
      </c>
      <c r="AB38" s="23">
        <f>EXP(-LN(2)/2)*AB37+(1-EXP(-LN(2)/2))/(LN(2)/2)*V38*Y38*VLOOKUP('Données projet'!$B$9,Paramètres!$A$1:$I$89,3,0)*0.475*44/12</f>
        <v>13.414689008066208</v>
      </c>
      <c r="AC38" s="24">
        <f t="shared" si="3"/>
        <v>28.032061905659724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7</v>
      </c>
      <c r="AI38" s="14">
        <f>IF('Données projet'!$A$62&gt;35,AI37+AH38-AQ37,IF(A38&lt;'Données projet'!$A$62,$AF$205^A38,IF(A38='Données projet'!$A$62,'Données projet'!$B$62,AI37+AH38-AQ37)))</f>
        <v>215</v>
      </c>
      <c r="AJ38" s="14">
        <f>AI38*VLOOKUP('Données projet'!$B$10,Paramètres!$A$1:$I$89,3,0)*VLOOKUP('Données projet'!$B$10,Paramètres!$A$1:$I$89,5,0)</f>
        <v>100.61999999999999</v>
      </c>
      <c r="AK38" s="14">
        <f t="shared" si="35"/>
        <v>27.10965082293415</v>
      </c>
      <c r="AL38" s="22">
        <f t="shared" si="4"/>
        <v>222.46247518327695</v>
      </c>
      <c r="AM38" s="62">
        <f t="shared" si="5"/>
        <v>515.79580851661024</v>
      </c>
      <c r="AN38" s="62">
        <f ca="1">AVERAGE(OFFSET($AM$3,0,0,'Données projet'!$E$10+1,1))-AVERAGE(OFFSET($H$3,0,0,'Données projet'!$E$10+1,1))</f>
        <v>259.74478933784656</v>
      </c>
      <c r="AO38" s="62">
        <f t="shared" si="36"/>
        <v>223.74038909289646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14.4</v>
      </c>
      <c r="N39" s="14">
        <f>IF('Données projet'!$A$36&gt;35,N38+M39-V38,IF(A39&lt;'Données projet'!$A$36,$K$205^A39,IF(A39='Données projet'!$A$36,'Données projet'!$B$36,N38+M39-V38)))</f>
        <v>206.40000000000003</v>
      </c>
      <c r="O39" s="14">
        <f>N39*VLOOKUP('Données projet'!$B$9,Paramètres!$A$1:$I$89,3,0)*VLOOKUP('Données projet'!$B$9,Paramètres!$A$1:$I$89,5,0)</f>
        <v>123.42720000000003</v>
      </c>
      <c r="P39" s="14">
        <f t="shared" si="33"/>
        <v>32.473022671122074</v>
      </c>
      <c r="Q39" s="22">
        <f t="shared" si="53"/>
        <v>271.5262211522043</v>
      </c>
      <c r="R39" s="62">
        <f t="shared" si="0"/>
        <v>564.85955448553761</v>
      </c>
      <c r="S39" s="62">
        <f ca="1">AVERAGE(OFFSET($R$3,0,0,'Données projet'!$E$9+1,1))-AVERAGE(OFFSET($H$3,0,0,'Données projet'!$E$9+1,1))</f>
        <v>362.81292020448933</v>
      </c>
      <c r="T39" s="62">
        <f t="shared" si="34"/>
        <v>292.26503163353146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4.4864393899318511</v>
      </c>
      <c r="AA39" s="23">
        <f>EXP(-LN(2)/25)*AA38+(1-EXP(-LN(2)/25))/(LN(2)/25)*Calculateur!V39*Calculateur!X39*VLOOKUP('Données projet'!$B$9,Paramètres!$A$1:$I$89,3,0)*0.475*44/12</f>
        <v>9.76662042563059</v>
      </c>
      <c r="AB39" s="23">
        <f>EXP(-LN(2)/2)*AB38+(1-EXP(-LN(2)/2))/(LN(2)/2)*V39*Y39*VLOOKUP('Données projet'!$B$9,Paramètres!$A$1:$I$89,3,0)*0.475*44/12</f>
        <v>9.485617565112257</v>
      </c>
      <c r="AC39" s="24">
        <f t="shared" si="3"/>
        <v>23.738677380674698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7</v>
      </c>
      <c r="AI39" s="14">
        <f>IF('Données projet'!$A$62&gt;35,AI38+AH39-AQ38,IF(A39&lt;'Données projet'!$A$62,$AF$205^A39,IF(A39='Données projet'!$A$62,'Données projet'!$B$62,AI38+AH39-AQ38)))</f>
        <v>222</v>
      </c>
      <c r="AJ39" s="14">
        <f>AI39*VLOOKUP('Données projet'!$B$10,Paramètres!$A$1:$I$89,3,0)*VLOOKUP('Données projet'!$B$10,Paramètres!$A$1:$I$89,5,0)</f>
        <v>103.896</v>
      </c>
      <c r="AK39" s="14">
        <f t="shared" si="35"/>
        <v>27.888091127225799</v>
      </c>
      <c r="AL39" s="22">
        <f t="shared" si="4"/>
        <v>229.52395871325157</v>
      </c>
      <c r="AM39" s="62">
        <f t="shared" si="5"/>
        <v>522.85729204658492</v>
      </c>
      <c r="AN39" s="62">
        <f ca="1">AVERAGE(OFFSET($AM$3,0,0,'Données projet'!$E$10+1,1))-AVERAGE(OFFSET($H$3,0,0,'Données projet'!$E$10+1,1))</f>
        <v>259.74478933784656</v>
      </c>
      <c r="AO39" s="62">
        <f t="shared" si="36"/>
        <v>223.74038909289646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14.4</v>
      </c>
      <c r="N40" s="14">
        <f>IF('Données projet'!$A$36&gt;35,N39+M40-V39,IF(A40&lt;'Données projet'!$A$36,$K$205^A40,IF(A40='Données projet'!$A$36,'Données projet'!$B$36,N39+M40-V39)))</f>
        <v>220.80000000000004</v>
      </c>
      <c r="O40" s="14">
        <f>N40*VLOOKUP('Données projet'!$B$9,Paramètres!$A$1:$I$89,3,0)*VLOOKUP('Données projet'!$B$9,Paramètres!$A$1:$I$89,5,0)</f>
        <v>132.03840000000005</v>
      </c>
      <c r="P40" s="14">
        <f t="shared" si="33"/>
        <v>34.466946374534373</v>
      </c>
      <c r="Q40" s="22">
        <f t="shared" si="53"/>
        <v>289.99681160231415</v>
      </c>
      <c r="R40" s="62">
        <f t="shared" si="0"/>
        <v>583.33014493564747</v>
      </c>
      <c r="S40" s="62">
        <f ca="1">AVERAGE(OFFSET($R$3,0,0,'Données projet'!$E$9+1,1))-AVERAGE(OFFSET($H$3,0,0,'Données projet'!$E$9+1,1))</f>
        <v>362.81292020448933</v>
      </c>
      <c r="T40" s="62">
        <f t="shared" si="34"/>
        <v>292.26503163353146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4.3984630499531123</v>
      </c>
      <c r="AA40" s="23">
        <f>EXP(-LN(2)/25)*AA39+(1-EXP(-LN(2)/25))/(LN(2)/25)*Calculateur!V40*Calculateur!X40*VLOOKUP('Données projet'!$B$9,Paramètres!$A$1:$I$89,3,0)*0.475*44/12</f>
        <v>9.4995516764874743</v>
      </c>
      <c r="AB40" s="23">
        <f>EXP(-LN(2)/2)*AB39+(1-EXP(-LN(2)/2))/(LN(2)/2)*V40*Y40*VLOOKUP('Données projet'!$B$9,Paramètres!$A$1:$I$89,3,0)*0.475*44/12</f>
        <v>6.707344504033105</v>
      </c>
      <c r="AC40" s="24">
        <f t="shared" si="3"/>
        <v>20.605359230473692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7</v>
      </c>
      <c r="AI40" s="14">
        <f>IF('Données projet'!$A$62&gt;35,AI39+AH40-AQ39,IF(A40&lt;'Données projet'!$A$62,$AF$205^A40,IF(A40='Données projet'!$A$62,'Données projet'!$B$62,AI39+AH40-AQ39)))</f>
        <v>229</v>
      </c>
      <c r="AJ40" s="14">
        <f>AI40*VLOOKUP('Données projet'!$B$10,Paramètres!$A$1:$I$89,3,0)*VLOOKUP('Données projet'!$B$10,Paramètres!$A$1:$I$89,5,0)</f>
        <v>107.172</v>
      </c>
      <c r="AK40" s="14">
        <f t="shared" si="35"/>
        <v>28.663679082578788</v>
      </c>
      <c r="AL40" s="22">
        <f t="shared" si="4"/>
        <v>236.58047440215805</v>
      </c>
      <c r="AM40" s="62">
        <f t="shared" si="5"/>
        <v>529.91380773549133</v>
      </c>
      <c r="AN40" s="62">
        <f ca="1">AVERAGE(OFFSET($AM$3,0,0,'Données projet'!$E$10+1,1))-AVERAGE(OFFSET($H$3,0,0,'Données projet'!$E$10+1,1))</f>
        <v>259.74478933784656</v>
      </c>
      <c r="AO40" s="62">
        <f t="shared" si="36"/>
        <v>223.74038909289646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14.4</v>
      </c>
      <c r="N41" s="14">
        <f>IF('Données projet'!$A$36&gt;35,N40+M41-V40,IF(A41&lt;'Données projet'!$A$36,$K$205^A41,IF(A41='Données projet'!$A$36,'Données projet'!$B$36,N40+M41-V40)))</f>
        <v>235.20000000000005</v>
      </c>
      <c r="O41" s="14">
        <f>N41*VLOOKUP('Données projet'!$B$9,Paramètres!$A$1:$I$89,3,0)*VLOOKUP('Données projet'!$B$9,Paramètres!$A$1:$I$89,5,0)</f>
        <v>140.64960000000002</v>
      </c>
      <c r="P41" s="14">
        <f t="shared" si="33"/>
        <v>36.445779615258601</v>
      </c>
      <c r="Q41" s="22">
        <f t="shared" si="53"/>
        <v>308.44111949657542</v>
      </c>
      <c r="R41" s="62">
        <f t="shared" si="0"/>
        <v>601.7744528299088</v>
      </c>
      <c r="S41" s="62">
        <f ca="1">AVERAGE(OFFSET($R$3,0,0,'Données projet'!$E$9+1,1))-AVERAGE(OFFSET($H$3,0,0,'Données projet'!$E$9+1,1))</f>
        <v>362.81292020448933</v>
      </c>
      <c r="T41" s="62">
        <f t="shared" si="34"/>
        <v>292.26503163353146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4.3122118723410878</v>
      </c>
      <c r="AA41" s="23">
        <f>EXP(-LN(2)/25)*AA40+(1-EXP(-LN(2)/25))/(LN(2)/25)*Calculateur!V41*Calculateur!X41*VLOOKUP('Données projet'!$B$9,Paramètres!$A$1:$I$89,3,0)*0.475*44/12</f>
        <v>9.2397859363342132</v>
      </c>
      <c r="AB41" s="23">
        <f>EXP(-LN(2)/2)*AB40+(1-EXP(-LN(2)/2))/(LN(2)/2)*V41*Y41*VLOOKUP('Données projet'!$B$9,Paramètres!$A$1:$I$89,3,0)*0.475*44/12</f>
        <v>4.7428087825561294</v>
      </c>
      <c r="AC41" s="24">
        <f t="shared" si="3"/>
        <v>18.294806591231431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7</v>
      </c>
      <c r="AI41" s="14">
        <f>IF('Données projet'!$A$62&gt;35,AI40+AH41-AQ40,IF(A41&lt;'Données projet'!$A$62,$AF$205^A41,IF(A41='Données projet'!$A$62,'Données projet'!$B$62,AI40+AH41-AQ40)))</f>
        <v>236</v>
      </c>
      <c r="AJ41" s="14">
        <f>AI41*VLOOKUP('Données projet'!$B$10,Paramètres!$A$1:$I$89,3,0)*VLOOKUP('Données projet'!$B$10,Paramètres!$A$1:$I$89,5,0)</f>
        <v>110.44799999999999</v>
      </c>
      <c r="AK41" s="14">
        <f t="shared" si="35"/>
        <v>29.436511885319565</v>
      </c>
      <c r="AL41" s="22">
        <f t="shared" si="4"/>
        <v>243.63219153359822</v>
      </c>
      <c r="AM41" s="62">
        <f t="shared" si="5"/>
        <v>536.96552486693156</v>
      </c>
      <c r="AN41" s="62">
        <f ca="1">AVERAGE(OFFSET($AM$3,0,0,'Données projet'!$E$10+1,1))-AVERAGE(OFFSET($H$3,0,0,'Données projet'!$E$10+1,1))</f>
        <v>259.74478933784656</v>
      </c>
      <c r="AO41" s="62">
        <f t="shared" si="36"/>
        <v>223.74038909289646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14.4</v>
      </c>
      <c r="N42" s="14">
        <f>IF('Données projet'!$A$36&gt;35,N41+M42-V41,IF(A42&lt;'Données projet'!$A$36,$K$205^A42,IF(A42='Données projet'!$A$36,'Données projet'!$B$36,N41+M42-V41)))</f>
        <v>249.60000000000005</v>
      </c>
      <c r="O42" s="14">
        <f>N42*VLOOKUP('Données projet'!$B$9,Paramètres!$A$1:$I$89,3,0)*VLOOKUP('Données projet'!$B$9,Paramètres!$A$1:$I$89,5,0)</f>
        <v>149.26080000000005</v>
      </c>
      <c r="P42" s="14">
        <f t="shared" si="33"/>
        <v>38.410551499792909</v>
      </c>
      <c r="Q42" s="22">
        <f t="shared" si="53"/>
        <v>326.86093719547273</v>
      </c>
      <c r="R42" s="62">
        <f t="shared" si="0"/>
        <v>620.1942705288061</v>
      </c>
      <c r="S42" s="62">
        <f ca="1">AVERAGE(OFFSET($R$3,0,0,'Données projet'!$E$9+1,1))-AVERAGE(OFFSET($H$3,0,0,'Données projet'!$E$9+1,1))</f>
        <v>362.81292020448933</v>
      </c>
      <c r="T42" s="62">
        <f t="shared" si="34"/>
        <v>292.26503163353146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4.2276520277140115</v>
      </c>
      <c r="AA42" s="23">
        <f>EXP(-LN(2)/25)*AA41+(1-EXP(-LN(2)/25))/(LN(2)/25)*Calculateur!V42*Calculateur!X42*VLOOKUP('Données projet'!$B$9,Paramètres!$A$1:$I$89,3,0)*0.475*44/12</f>
        <v>8.987123504005929</v>
      </c>
      <c r="AB42" s="23">
        <f>EXP(-LN(2)/2)*AB41+(1-EXP(-LN(2)/2))/(LN(2)/2)*V42*Y42*VLOOKUP('Données projet'!$B$9,Paramètres!$A$1:$I$89,3,0)*0.475*44/12</f>
        <v>3.3536722520165529</v>
      </c>
      <c r="AC42" s="24">
        <f t="shared" si="3"/>
        <v>16.568447783736495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7</v>
      </c>
      <c r="AI42" s="14">
        <f>IF('Données projet'!$A$62&gt;35,AI41+AH42-AQ41,IF(A42&lt;'Données projet'!$A$62,$AF$205^A42,IF(A42='Données projet'!$A$62,'Données projet'!$B$62,AI41+AH42-AQ41)))</f>
        <v>243</v>
      </c>
      <c r="AJ42" s="14">
        <f>AI42*VLOOKUP('Données projet'!$B$10,Paramètres!$A$1:$I$89,3,0)*VLOOKUP('Données projet'!$B$10,Paramètres!$A$1:$I$89,5,0)</f>
        <v>113.72399999999999</v>
      </c>
      <c r="AK42" s="14">
        <f t="shared" si="35"/>
        <v>30.206680638130489</v>
      </c>
      <c r="AL42" s="22">
        <f t="shared" si="4"/>
        <v>250.67926877807722</v>
      </c>
      <c r="AM42" s="62">
        <f t="shared" si="5"/>
        <v>544.0126021114105</v>
      </c>
      <c r="AN42" s="62">
        <f ca="1">AVERAGE(OFFSET($AM$3,0,0,'Données projet'!$E$10+1,1))-AVERAGE(OFFSET($H$3,0,0,'Données projet'!$E$10+1,1))</f>
        <v>259.74478933784656</v>
      </c>
      <c r="AO42" s="62">
        <f t="shared" si="36"/>
        <v>223.74038909289646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264</v>
      </c>
      <c r="L43" s="13">
        <f>VLOOKUP(A43,'Données projet'!$A$35:$I$55,9,0)</f>
        <v>14.4</v>
      </c>
      <c r="M43" s="13">
        <f t="array" ref="M43">INDEX(L:L,MIN(IF(ISNUMBER(L43:L239),ROW(L43:L239),"")))</f>
        <v>14.4</v>
      </c>
      <c r="N43" s="14">
        <f>IF('Données projet'!$A$36&gt;35,N42+M43-V42,IF(A43&lt;'Données projet'!$A$36,$K$205^A43,IF(A43='Données projet'!$A$36,'Données projet'!$B$36,N42+M43-V42)))</f>
        <v>264.00000000000006</v>
      </c>
      <c r="O43" s="14">
        <f>N43*VLOOKUP('Données projet'!$B$9,Paramètres!$A$1:$I$89,3,0)*VLOOKUP('Données projet'!$B$9,Paramètres!$A$1:$I$89,5,0)</f>
        <v>157.87200000000004</v>
      </c>
      <c r="P43" s="14">
        <f t="shared" si="33"/>
        <v>40.362165684361159</v>
      </c>
      <c r="Q43" s="22">
        <f t="shared" si="53"/>
        <v>345.25783856692902</v>
      </c>
      <c r="R43" s="62">
        <f t="shared" si="0"/>
        <v>638.59117190026234</v>
      </c>
      <c r="S43" s="62">
        <f ca="1">AVERAGE(OFFSET($R$3,0,0,'Données projet'!$E$9+1,1))-AVERAGE(OFFSET($H$3,0,0,'Données projet'!$E$9+1,1))</f>
        <v>362.81292020448933</v>
      </c>
      <c r="T43" s="62">
        <f t="shared" si="34"/>
        <v>292.26503163353146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41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4.14475035006366</v>
      </c>
      <c r="AA43" s="23">
        <f>EXP(-LN(2)/25)*AA42+(1-EXP(-LN(2)/25))/(LN(2)/25)*Calculateur!V43*Calculateur!X43*VLOOKUP('Données projet'!$B$9,Paramètres!$A$1:$I$89,3,0)*0.475*44/12</f>
        <v>8.7413701391766025</v>
      </c>
      <c r="AB43" s="23">
        <f>EXP(-LN(2)/2)*AB42+(1-EXP(-LN(2)/2))/(LN(2)/2)*V43*Y43*VLOOKUP('Données projet'!$B$9,Paramètres!$A$1:$I$89,3,0)*0.475*44/12</f>
        <v>2.3714043912780651</v>
      </c>
      <c r="AC43" s="24">
        <f t="shared" si="3"/>
        <v>15.257524880518329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250</v>
      </c>
      <c r="AG43" s="13">
        <f>VLOOKUP(A43,'Données projet'!$A$61:$I$81,9,0)</f>
        <v>7</v>
      </c>
      <c r="AH43" s="13">
        <f t="array" ref="AH43">INDEX(AG:AG,MIN(IF(ISNUMBER(AG43:AG239),ROW(AG43:AG239),"")))</f>
        <v>7</v>
      </c>
      <c r="AI43" s="14">
        <f>IF('Données projet'!$A$62&gt;35,AI42+AH43-AQ42,IF(A43&lt;'Données projet'!$A$62,$AF$205^A43,IF(A43='Données projet'!$A$62,'Données projet'!$B$62,AI42+AH43-AQ42)))</f>
        <v>250</v>
      </c>
      <c r="AJ43" s="14">
        <f>AI43*VLOOKUP('Données projet'!$B$10,Paramètres!$A$1:$I$89,3,0)*VLOOKUP('Données projet'!$B$10,Paramètres!$A$1:$I$89,5,0)</f>
        <v>117</v>
      </c>
      <c r="AK43" s="14">
        <f t="shared" si="35"/>
        <v>30.974270896484146</v>
      </c>
      <c r="AL43" s="22">
        <f t="shared" si="4"/>
        <v>257.72185514470988</v>
      </c>
      <c r="AM43" s="62">
        <f t="shared" si="5"/>
        <v>551.05518847804319</v>
      </c>
      <c r="AN43" s="62">
        <f ca="1">AVERAGE(OFFSET($AM$3,0,0,'Données projet'!$E$10+1,1))-AVERAGE(OFFSET($H$3,0,0,'Données projet'!$E$10+1,1))</f>
        <v>259.74478933784656</v>
      </c>
      <c r="AO43" s="62">
        <f t="shared" si="36"/>
        <v>223.74038909289646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63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16.600000000000001</v>
      </c>
      <c r="N44" s="14">
        <f>IF('Données projet'!$A$36&gt;35,N43+M44-V43,IF(A44&lt;'Données projet'!$A$36,$K$205^A44,IF(A44='Données projet'!$A$36,'Données projet'!$B$36,N43+M44-V43)))</f>
        <v>239.60000000000008</v>
      </c>
      <c r="O44" s="14">
        <f>N44*VLOOKUP('Données projet'!$B$9,Paramètres!$A$1:$I$89,3,0)*VLOOKUP('Données projet'!$B$9,Paramètres!$A$1:$I$89,5,0)</f>
        <v>143.28080000000006</v>
      </c>
      <c r="P44" s="14">
        <f t="shared" si="33"/>
        <v>37.047574465948976</v>
      </c>
      <c r="Q44" s="22">
        <f t="shared" si="53"/>
        <v>314.07191886152788</v>
      </c>
      <c r="R44" s="62">
        <f t="shared" si="0"/>
        <v>607.40525219486119</v>
      </c>
      <c r="S44" s="62">
        <f ca="1">AVERAGE(OFFSET($R$3,0,0,'Données projet'!$E$9+1,1))-AVERAGE(OFFSET($H$3,0,0,'Données projet'!$E$9+1,1))</f>
        <v>362.81292020448933</v>
      </c>
      <c r="T44" s="62">
        <f t="shared" si="34"/>
        <v>292.26503163353146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4.063474323747001</v>
      </c>
      <c r="AA44" s="23">
        <f>EXP(-LN(2)/25)*AA43+(1-EXP(-LN(2)/25))/(LN(2)/25)*Calculateur!V44*Calculateur!X44*VLOOKUP('Données projet'!$B$9,Paramètres!$A$1:$I$89,3,0)*0.475*44/12</f>
        <v>8.502336913032142</v>
      </c>
      <c r="AB44" s="23">
        <f>EXP(-LN(2)/2)*AB43+(1-EXP(-LN(2)/2))/(LN(2)/2)*V44*Y44*VLOOKUP('Données projet'!$B$9,Paramètres!$A$1:$I$89,3,0)*0.475*44/12</f>
        <v>1.6768361260082769</v>
      </c>
      <c r="AC44" s="24">
        <f t="shared" si="3"/>
        <v>14.242647362787421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7</v>
      </c>
      <c r="AI44" s="14">
        <f>IF('Données projet'!$A$62&gt;35,AI43+AH44-AQ43,IF(A44&lt;'Données projet'!$A$62,$AF$205^A44,IF(A44='Données projet'!$A$62,'Données projet'!$B$62,AI43+AH44-AQ43)))</f>
        <v>194</v>
      </c>
      <c r="AJ44" s="14">
        <f>AI44*VLOOKUP('Données projet'!$B$10,Paramètres!$A$1:$I$89,3,0)*VLOOKUP('Données projet'!$B$10,Paramètres!$A$1:$I$89,5,0)</f>
        <v>90.792000000000002</v>
      </c>
      <c r="AK44" s="14">
        <f t="shared" si="35"/>
        <v>24.756138813110173</v>
      </c>
      <c r="AL44" s="22">
        <f t="shared" si="4"/>
        <v>201.24634176616689</v>
      </c>
      <c r="AM44" s="62">
        <f t="shared" si="5"/>
        <v>494.57967509950021</v>
      </c>
      <c r="AN44" s="62">
        <f ca="1">AVERAGE(OFFSET($AM$3,0,0,'Données projet'!$E$10+1,1))-AVERAGE(OFFSET($H$3,0,0,'Données projet'!$E$10+1,1))</f>
        <v>259.74478933784656</v>
      </c>
      <c r="AO44" s="62">
        <f t="shared" si="36"/>
        <v>223.74038909289646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16.600000000000001</v>
      </c>
      <c r="N45" s="14">
        <f>IF('Données projet'!$A$36&gt;35,N44+M45-V44,IF(A45&lt;'Données projet'!$A$36,$K$205^A45,IF(A45='Données projet'!$A$36,'Données projet'!$B$36,N44+M45-V44)))</f>
        <v>256.2000000000001</v>
      </c>
      <c r="O45" s="14">
        <f>N45*VLOOKUP('Données projet'!$B$9,Paramètres!$A$1:$I$89,3,0)*VLOOKUP('Données projet'!$B$9,Paramètres!$A$1:$I$89,5,0)</f>
        <v>153.20760000000007</v>
      </c>
      <c r="P45" s="14">
        <f t="shared" si="33"/>
        <v>39.306624169832133</v>
      </c>
      <c r="Q45" s="22">
        <f t="shared" si="53"/>
        <v>335.29560709579107</v>
      </c>
      <c r="R45" s="62">
        <f t="shared" si="0"/>
        <v>628.62894042912444</v>
      </c>
      <c r="S45" s="62">
        <f ca="1">AVERAGE(OFFSET($R$3,0,0,'Données projet'!$E$9+1,1))-AVERAGE(OFFSET($H$3,0,0,'Données projet'!$E$9+1,1))</f>
        <v>362.81292020448933</v>
      </c>
      <c r="T45" s="62">
        <f t="shared" si="34"/>
        <v>292.26503163353146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3.9837920707329308</v>
      </c>
      <c r="AA45" s="23">
        <f>EXP(-LN(2)/25)*AA44+(1-EXP(-LN(2)/25))/(LN(2)/25)*Calculateur!V45*Calculateur!X45*VLOOKUP('Données projet'!$B$9,Paramètres!$A$1:$I$89,3,0)*0.475*44/12</f>
        <v>8.2698400630268125</v>
      </c>
      <c r="AB45" s="23">
        <f>EXP(-LN(2)/2)*AB44+(1-EXP(-LN(2)/2))/(LN(2)/2)*V45*Y45*VLOOKUP('Données projet'!$B$9,Paramètres!$A$1:$I$89,3,0)*0.475*44/12</f>
        <v>1.1857021956390328</v>
      </c>
      <c r="AC45" s="24">
        <f t="shared" si="3"/>
        <v>13.439334329398777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7</v>
      </c>
      <c r="AI45" s="14">
        <f>IF('Données projet'!$A$62&gt;35,AI44+AH45-AQ44,IF(A45&lt;'Données projet'!$A$62,$AF$205^A45,IF(A45='Données projet'!$A$62,'Données projet'!$B$62,AI44+AH45-AQ44)))</f>
        <v>201</v>
      </c>
      <c r="AJ45" s="14">
        <f>AI45*VLOOKUP('Données projet'!$B$10,Paramètres!$A$1:$I$89,3,0)*VLOOKUP('Données projet'!$B$10,Paramètres!$A$1:$I$89,5,0)</f>
        <v>94.067999999999998</v>
      </c>
      <c r="AK45" s="14">
        <f t="shared" si="35"/>
        <v>25.543790108694029</v>
      </c>
      <c r="AL45" s="22">
        <f t="shared" si="4"/>
        <v>208.32386777264207</v>
      </c>
      <c r="AM45" s="62">
        <f t="shared" si="5"/>
        <v>501.65720110597539</v>
      </c>
      <c r="AN45" s="62">
        <f ca="1">AVERAGE(OFFSET($AM$3,0,0,'Données projet'!$E$10+1,1))-AVERAGE(OFFSET($H$3,0,0,'Données projet'!$E$10+1,1))</f>
        <v>259.74478933784656</v>
      </c>
      <c r="AO45" s="62">
        <f t="shared" si="36"/>
        <v>223.74038909289646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16.600000000000001</v>
      </c>
      <c r="N46" s="14">
        <f>IF('Données projet'!$A$36&gt;35,N45+M46-V45,IF(A46&lt;'Données projet'!$A$36,$K$205^A46,IF(A46='Données projet'!$A$36,'Données projet'!$B$36,N45+M46-V45)))</f>
        <v>272.80000000000013</v>
      </c>
      <c r="O46" s="14">
        <f>N46*VLOOKUP('Données projet'!$B$9,Paramètres!$A$1:$I$89,3,0)*VLOOKUP('Données projet'!$B$9,Paramètres!$A$1:$I$89,5,0)</f>
        <v>163.13440000000008</v>
      </c>
      <c r="P46" s="14">
        <f t="shared" si="33"/>
        <v>41.548687845426002</v>
      </c>
      <c r="Q46" s="22">
        <f t="shared" si="53"/>
        <v>356.48971133078379</v>
      </c>
      <c r="R46" s="62">
        <f t="shared" si="0"/>
        <v>649.82304466411711</v>
      </c>
      <c r="S46" s="62">
        <f ca="1">AVERAGE(OFFSET($R$3,0,0,'Données projet'!$E$9+1,1))-AVERAGE(OFFSET($H$3,0,0,'Données projet'!$E$9+1,1))</f>
        <v>362.81292020448933</v>
      </c>
      <c r="T46" s="62">
        <f t="shared" si="34"/>
        <v>292.26503163353146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3.905672338099091</v>
      </c>
      <c r="AA46" s="23">
        <f>EXP(-LN(2)/25)*AA45+(1-EXP(-LN(2)/25))/(LN(2)/25)*Calculateur!V46*Calculateur!X46*VLOOKUP('Données projet'!$B$9,Paramètres!$A$1:$I$89,3,0)*0.475*44/12</f>
        <v>8.0437008516113568</v>
      </c>
      <c r="AB46" s="23">
        <f>EXP(-LN(2)/2)*AB45+(1-EXP(-LN(2)/2))/(LN(2)/2)*V46*Y46*VLOOKUP('Données projet'!$B$9,Paramètres!$A$1:$I$89,3,0)*0.475*44/12</f>
        <v>0.83841806300413857</v>
      </c>
      <c r="AC46" s="24">
        <f t="shared" si="3"/>
        <v>12.787791252714586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7</v>
      </c>
      <c r="AI46" s="14">
        <f>IF('Données projet'!$A$62&gt;35,AI45+AH46-AQ45,IF(A46&lt;'Données projet'!$A$62,$AF$205^A46,IF(A46='Données projet'!$A$62,'Données projet'!$B$62,AI45+AH46-AQ45)))</f>
        <v>208</v>
      </c>
      <c r="AJ46" s="14">
        <f>AI46*VLOOKUP('Données projet'!$B$10,Paramètres!$A$1:$I$89,3,0)*VLOOKUP('Données projet'!$B$10,Paramètres!$A$1:$I$89,5,0)</f>
        <v>97.343999999999994</v>
      </c>
      <c r="AK46" s="14">
        <f t="shared" si="35"/>
        <v>26.328254259866451</v>
      </c>
      <c r="AL46" s="22">
        <f t="shared" si="4"/>
        <v>215.39584283593408</v>
      </c>
      <c r="AM46" s="62">
        <f t="shared" si="5"/>
        <v>508.72917616926736</v>
      </c>
      <c r="AN46" s="62">
        <f ca="1">AVERAGE(OFFSET($AM$3,0,0,'Données projet'!$E$10+1,1))-AVERAGE(OFFSET($H$3,0,0,'Données projet'!$E$10+1,1))</f>
        <v>259.74478933784656</v>
      </c>
      <c r="AO46" s="62">
        <f t="shared" si="36"/>
        <v>223.74038909289646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16.600000000000001</v>
      </c>
      <c r="N47" s="14">
        <f>IF('Données projet'!$A$36&gt;35,N46+M47-V46,IF(A47&lt;'Données projet'!$A$36,$K$205^A47,IF(A47='Données projet'!$A$36,'Données projet'!$B$36,N46+M47-V46)))</f>
        <v>289.40000000000015</v>
      </c>
      <c r="O47" s="14">
        <f>N47*VLOOKUP('Données projet'!$B$9,Paramètres!$A$1:$I$89,3,0)*VLOOKUP('Données projet'!$B$9,Paramètres!$A$1:$I$89,5,0)</f>
        <v>173.0612000000001</v>
      </c>
      <c r="P47" s="14">
        <f t="shared" si="33"/>
        <v>43.774916798471111</v>
      </c>
      <c r="Q47" s="22">
        <f t="shared" si="53"/>
        <v>377.65623675733735</v>
      </c>
      <c r="R47" s="62">
        <f t="shared" si="0"/>
        <v>670.98957009067067</v>
      </c>
      <c r="S47" s="62">
        <f ca="1">AVERAGE(OFFSET($R$3,0,0,'Données projet'!$E$9+1,1))-AVERAGE(OFFSET($H$3,0,0,'Données projet'!$E$9+1,1))</f>
        <v>362.81292020448933</v>
      </c>
      <c r="T47" s="62">
        <f t="shared" si="34"/>
        <v>292.26503163353146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3.8290844857738691</v>
      </c>
      <c r="AA47" s="23">
        <f>EXP(-LN(2)/25)*AA46+(1-EXP(-LN(2)/25))/(LN(2)/25)*Calculateur!V47*Calculateur!X47*VLOOKUP('Données projet'!$B$9,Paramètres!$A$1:$I$89,3,0)*0.475*44/12</f>
        <v>7.8237454288242008</v>
      </c>
      <c r="AB47" s="23">
        <f>EXP(-LN(2)/2)*AB46+(1-EXP(-LN(2)/2))/(LN(2)/2)*V47*Y47*VLOOKUP('Données projet'!$B$9,Paramètres!$A$1:$I$89,3,0)*0.475*44/12</f>
        <v>0.5928510978195165</v>
      </c>
      <c r="AC47" s="24">
        <f t="shared" si="3"/>
        <v>12.245681012417585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7</v>
      </c>
      <c r="AI47" s="14">
        <f>IF('Données projet'!$A$62&gt;35,AI46+AH47-AQ46,IF(A47&lt;'Données projet'!$A$62,$AF$205^A47,IF(A47='Données projet'!$A$62,'Données projet'!$B$62,AI46+AH47-AQ46)))</f>
        <v>215</v>
      </c>
      <c r="AJ47" s="14">
        <f>AI47*VLOOKUP('Données projet'!$B$10,Paramètres!$A$1:$I$89,3,0)*VLOOKUP('Données projet'!$B$10,Paramètres!$A$1:$I$89,5,0)</f>
        <v>100.61999999999999</v>
      </c>
      <c r="AK47" s="14">
        <f t="shared" si="35"/>
        <v>27.10965082293415</v>
      </c>
      <c r="AL47" s="22">
        <f t="shared" si="4"/>
        <v>222.46247518327695</v>
      </c>
      <c r="AM47" s="62">
        <f t="shared" si="5"/>
        <v>515.79580851661024</v>
      </c>
      <c r="AN47" s="62">
        <f ca="1">AVERAGE(OFFSET($AM$3,0,0,'Données projet'!$E$10+1,1))-AVERAGE(OFFSET($H$3,0,0,'Données projet'!$E$10+1,1))</f>
        <v>259.74478933784656</v>
      </c>
      <c r="AO47" s="62">
        <f t="shared" si="36"/>
        <v>223.74038909289646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306</v>
      </c>
      <c r="L48" s="13">
        <f>VLOOKUP(A48,'Données projet'!$A$35:$I$55,9,0)</f>
        <v>16.600000000000001</v>
      </c>
      <c r="M48" s="13">
        <f t="array" ref="M48">INDEX(L:L,MIN(IF(ISNUMBER(L48:L244),ROW(L48:L244),"")))</f>
        <v>16.600000000000001</v>
      </c>
      <c r="N48" s="14">
        <f>IF('Données projet'!$A$36&gt;35,N47+M48-V47,IF(A48&lt;'Données projet'!$A$36,$K$205^A48,IF(A48='Données projet'!$A$36,'Données projet'!$B$36,N47+M48-V47)))</f>
        <v>306.00000000000017</v>
      </c>
      <c r="O48" s="14">
        <f>N48*VLOOKUP('Données projet'!$B$9,Paramètres!$A$1:$I$89,3,0)*VLOOKUP('Données projet'!$B$9,Paramètres!$A$1:$I$89,5,0)</f>
        <v>182.98800000000011</v>
      </c>
      <c r="P48" s="14">
        <f t="shared" si="33"/>
        <v>45.986322796524874</v>
      </c>
      <c r="Q48" s="22">
        <f t="shared" si="53"/>
        <v>398.79694553728103</v>
      </c>
      <c r="R48" s="62">
        <f t="shared" si="0"/>
        <v>692.13027887061435</v>
      </c>
      <c r="S48" s="62">
        <f ca="1">AVERAGE(OFFSET($R$3,0,0,'Données projet'!$E$9+1,1))-AVERAGE(OFFSET($H$3,0,0,'Données projet'!$E$9+1,1))</f>
        <v>362.81292020448933</v>
      </c>
      <c r="T48" s="62">
        <f t="shared" si="34"/>
        <v>292.26503163353146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53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3.7539984745187671</v>
      </c>
      <c r="AA48" s="23">
        <f>EXP(-LN(2)/25)*AA47+(1-EXP(-LN(2)/25))/(LN(2)/25)*Calculateur!V48*Calculateur!X48*VLOOKUP('Données projet'!$B$9,Paramètres!$A$1:$I$89,3,0)*0.475*44/12</f>
        <v>7.6098046986401124</v>
      </c>
      <c r="AB48" s="23">
        <f>EXP(-LN(2)/2)*AB47+(1-EXP(-LN(2)/2))/(LN(2)/2)*V48*Y48*VLOOKUP('Données projet'!$B$9,Paramètres!$A$1:$I$89,3,0)*0.475*44/12</f>
        <v>0.41920903150206934</v>
      </c>
      <c r="AC48" s="24">
        <f t="shared" si="3"/>
        <v>11.783012204660949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7</v>
      </c>
      <c r="AI48" s="14">
        <f>IF('Données projet'!$A$62&gt;35,AI47+AH48-AQ47,IF(A48&lt;'Données projet'!$A$62,$AF$205^A48,IF(A48='Données projet'!$A$62,'Données projet'!$B$62,AI47+AH48-AQ47)))</f>
        <v>222</v>
      </c>
      <c r="AJ48" s="14">
        <f>AI48*VLOOKUP('Données projet'!$B$10,Paramètres!$A$1:$I$89,3,0)*VLOOKUP('Données projet'!$B$10,Paramètres!$A$1:$I$89,5,0)</f>
        <v>103.896</v>
      </c>
      <c r="AK48" s="14">
        <f t="shared" si="35"/>
        <v>27.888091127225799</v>
      </c>
      <c r="AL48" s="22">
        <f t="shared" si="4"/>
        <v>229.52395871325157</v>
      </c>
      <c r="AM48" s="62">
        <f t="shared" si="5"/>
        <v>522.85729204658492</v>
      </c>
      <c r="AN48" s="62">
        <f ca="1">AVERAGE(OFFSET($AM$3,0,0,'Données projet'!$E$10+1,1))-AVERAGE(OFFSET($H$3,0,0,'Données projet'!$E$10+1,1))</f>
        <v>259.74478933784656</v>
      </c>
      <c r="AO48" s="62">
        <f t="shared" si="36"/>
        <v>223.74038909289646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17.399999999999999</v>
      </c>
      <c r="N49" s="14">
        <f>IF('Données projet'!$A$36&gt;35,N48+M49-V48,IF(A49&lt;'Données projet'!$A$36,$K$205^A49,IF(A49='Données projet'!$A$36,'Données projet'!$B$36,N48+M49-V48)))</f>
        <v>270.40000000000015</v>
      </c>
      <c r="O49" s="14">
        <f>N49*VLOOKUP('Données projet'!$B$9,Paramètres!$A$1:$I$89,3,0)*VLOOKUP('Données projet'!$B$9,Paramètres!$A$1:$I$89,5,0)</f>
        <v>161.6992000000001</v>
      </c>
      <c r="P49" s="14">
        <f t="shared" si="33"/>
        <v>41.225538754249229</v>
      </c>
      <c r="Q49" s="22">
        <f t="shared" si="53"/>
        <v>353.42725333031763</v>
      </c>
      <c r="R49" s="62">
        <f t="shared" si="0"/>
        <v>646.76058666365088</v>
      </c>
      <c r="S49" s="62">
        <f ca="1">AVERAGE(OFFSET($R$3,0,0,'Données projet'!$E$9+1,1))-AVERAGE(OFFSET($H$3,0,0,'Données projet'!$E$9+1,1))</f>
        <v>362.81292020448933</v>
      </c>
      <c r="T49" s="62">
        <f t="shared" si="34"/>
        <v>292.26503163353146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3.6803848541464332</v>
      </c>
      <c r="AA49" s="23">
        <f>EXP(-LN(2)/25)*AA48+(1-EXP(-LN(2)/25))/(LN(2)/25)*Calculateur!V49*Calculateur!X49*VLOOKUP('Données projet'!$B$9,Paramètres!$A$1:$I$89,3,0)*0.475*44/12</f>
        <v>7.4017141889735623</v>
      </c>
      <c r="AB49" s="23">
        <f>EXP(-LN(2)/2)*AB48+(1-EXP(-LN(2)/2))/(LN(2)/2)*V49*Y49*VLOOKUP('Données projet'!$B$9,Paramètres!$A$1:$I$89,3,0)*0.475*44/12</f>
        <v>0.29642554890975825</v>
      </c>
      <c r="AC49" s="24">
        <f t="shared" si="3"/>
        <v>11.378524592029754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7</v>
      </c>
      <c r="AI49" s="14">
        <f>IF('Données projet'!$A$62&gt;35,AI48+AH49-AQ48,IF(A49&lt;'Données projet'!$A$62,$AF$205^A49,IF(A49='Données projet'!$A$62,'Données projet'!$B$62,AI48+AH49-AQ48)))</f>
        <v>229</v>
      </c>
      <c r="AJ49" s="14">
        <f>AI49*VLOOKUP('Données projet'!$B$10,Paramètres!$A$1:$I$89,3,0)*VLOOKUP('Données projet'!$B$10,Paramètres!$A$1:$I$89,5,0)</f>
        <v>107.172</v>
      </c>
      <c r="AK49" s="14">
        <f t="shared" si="35"/>
        <v>28.663679082578788</v>
      </c>
      <c r="AL49" s="22">
        <f t="shared" si="4"/>
        <v>236.58047440215805</v>
      </c>
      <c r="AM49" s="62">
        <f t="shared" si="5"/>
        <v>529.91380773549133</v>
      </c>
      <c r="AN49" s="62">
        <f ca="1">AVERAGE(OFFSET($AM$3,0,0,'Données projet'!$E$10+1,1))-AVERAGE(OFFSET($H$3,0,0,'Données projet'!$E$10+1,1))</f>
        <v>259.74478933784656</v>
      </c>
      <c r="AO49" s="62">
        <f t="shared" si="36"/>
        <v>223.74038909289646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17.399999999999999</v>
      </c>
      <c r="N50" s="14">
        <f>IF('Données projet'!$A$36&gt;35,N49+M50-V49,IF(A50&lt;'Données projet'!$A$36,$K$205^A50,IF(A50='Données projet'!$A$36,'Données projet'!$B$36,N49+M50-V49)))</f>
        <v>287.80000000000013</v>
      </c>
      <c r="O50" s="14">
        <f>N50*VLOOKUP('Données projet'!$B$9,Paramètres!$A$1:$I$89,3,0)*VLOOKUP('Données projet'!$B$9,Paramètres!$A$1:$I$89,5,0)</f>
        <v>172.10440000000008</v>
      </c>
      <c r="P50" s="14">
        <f t="shared" si="33"/>
        <v>43.561001176960559</v>
      </c>
      <c r="Q50" s="22">
        <f t="shared" si="53"/>
        <v>375.61724038320648</v>
      </c>
      <c r="R50" s="62">
        <f t="shared" si="0"/>
        <v>668.95057371653979</v>
      </c>
      <c r="S50" s="62">
        <f ca="1">AVERAGE(OFFSET($R$3,0,0,'Données projet'!$E$9+1,1))-AVERAGE(OFFSET($H$3,0,0,'Données projet'!$E$9+1,1))</f>
        <v>362.81292020448933</v>
      </c>
      <c r="T50" s="62">
        <f t="shared" si="34"/>
        <v>292.26503163353146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3.6082147519697259</v>
      </c>
      <c r="AA50" s="23">
        <f>EXP(-LN(2)/25)*AA49+(1-EXP(-LN(2)/25))/(LN(2)/25)*Calculateur!V50*Calculateur!X50*VLOOKUP('Données projet'!$B$9,Paramètres!$A$1:$I$89,3,0)*0.475*44/12</f>
        <v>7.1993139252368481</v>
      </c>
      <c r="AB50" s="23">
        <f>EXP(-LN(2)/2)*AB49+(1-EXP(-LN(2)/2))/(LN(2)/2)*V50*Y50*VLOOKUP('Données projet'!$B$9,Paramètres!$A$1:$I$89,3,0)*0.475*44/12</f>
        <v>0.20960451575103467</v>
      </c>
      <c r="AC50" s="24">
        <f t="shared" si="3"/>
        <v>11.017133192957608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7</v>
      </c>
      <c r="AI50" s="14">
        <f>IF('Données projet'!$A$62&gt;35,AI49+AH50-AQ49,IF(A50&lt;'Données projet'!$A$62,$AF$205^A50,IF(A50='Données projet'!$A$62,'Données projet'!$B$62,AI49+AH50-AQ49)))</f>
        <v>236</v>
      </c>
      <c r="AJ50" s="14">
        <f>AI50*VLOOKUP('Données projet'!$B$10,Paramètres!$A$1:$I$89,3,0)*VLOOKUP('Données projet'!$B$10,Paramètres!$A$1:$I$89,5,0)</f>
        <v>110.44799999999999</v>
      </c>
      <c r="AK50" s="14">
        <f t="shared" si="35"/>
        <v>29.436511885319565</v>
      </c>
      <c r="AL50" s="22">
        <f t="shared" si="4"/>
        <v>243.63219153359822</v>
      </c>
      <c r="AM50" s="62">
        <f t="shared" si="5"/>
        <v>536.96552486693156</v>
      </c>
      <c r="AN50" s="62">
        <f ca="1">AVERAGE(OFFSET($AM$3,0,0,'Données projet'!$E$10+1,1))-AVERAGE(OFFSET($H$3,0,0,'Données projet'!$E$10+1,1))</f>
        <v>259.74478933784656</v>
      </c>
      <c r="AO50" s="62">
        <f t="shared" si="36"/>
        <v>223.74038909289646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17.399999999999999</v>
      </c>
      <c r="N51" s="14">
        <f>IF('Données projet'!$A$36&gt;35,N50+M51-V50,IF(A51&lt;'Données projet'!$A$36,$K$205^A51,IF(A51='Données projet'!$A$36,'Données projet'!$B$36,N50+M51-V50)))</f>
        <v>305.2000000000001</v>
      </c>
      <c r="O51" s="14">
        <f>N51*VLOOKUP('Données projet'!$B$9,Paramètres!$A$1:$I$89,3,0)*VLOOKUP('Données projet'!$B$9,Paramètres!$A$1:$I$89,5,0)</f>
        <v>182.50960000000006</v>
      </c>
      <c r="P51" s="14">
        <f t="shared" si="33"/>
        <v>45.880075205637056</v>
      </c>
      <c r="Q51" s="22">
        <f t="shared" si="53"/>
        <v>397.77868431648454</v>
      </c>
      <c r="R51" s="62">
        <f t="shared" si="0"/>
        <v>691.11201764981786</v>
      </c>
      <c r="S51" s="62">
        <f ca="1">AVERAGE(OFFSET($R$3,0,0,'Données projet'!$E$9+1,1))-AVERAGE(OFFSET($H$3,0,0,'Données projet'!$E$9+1,1))</f>
        <v>362.81292020448933</v>
      </c>
      <c r="T51" s="62">
        <f t="shared" si="34"/>
        <v>292.26503163353146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3.5374598614772879</v>
      </c>
      <c r="AA51" s="23">
        <f>EXP(-LN(2)/25)*AA50+(1-EXP(-LN(2)/25))/(LN(2)/25)*Calculateur!V51*Calculateur!X51*VLOOKUP('Données projet'!$B$9,Paramètres!$A$1:$I$89,3,0)*0.475*44/12</f>
        <v>7.0024483073557811</v>
      </c>
      <c r="AB51" s="23">
        <f>EXP(-LN(2)/2)*AB50+(1-EXP(-LN(2)/2))/(LN(2)/2)*V51*Y51*VLOOKUP('Données projet'!$B$9,Paramètres!$A$1:$I$89,3,0)*0.475*44/12</f>
        <v>0.14821277445487913</v>
      </c>
      <c r="AC51" s="24">
        <f t="shared" si="3"/>
        <v>10.688120943287949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7</v>
      </c>
      <c r="AI51" s="14">
        <f>IF('Données projet'!$A$62&gt;35,AI50+AH51-AQ50,IF(A51&lt;'Données projet'!$A$62,$AF$205^A51,IF(A51='Données projet'!$A$62,'Données projet'!$B$62,AI50+AH51-AQ50)))</f>
        <v>243</v>
      </c>
      <c r="AJ51" s="14">
        <f>AI51*VLOOKUP('Données projet'!$B$10,Paramètres!$A$1:$I$89,3,0)*VLOOKUP('Données projet'!$B$10,Paramètres!$A$1:$I$89,5,0)</f>
        <v>113.72399999999999</v>
      </c>
      <c r="AK51" s="14">
        <f t="shared" si="35"/>
        <v>30.206680638130489</v>
      </c>
      <c r="AL51" s="22">
        <f t="shared" si="4"/>
        <v>250.67926877807722</v>
      </c>
      <c r="AM51" s="62">
        <f t="shared" si="5"/>
        <v>544.0126021114105</v>
      </c>
      <c r="AN51" s="62">
        <f ca="1">AVERAGE(OFFSET($AM$3,0,0,'Données projet'!$E$10+1,1))-AVERAGE(OFFSET($H$3,0,0,'Données projet'!$E$10+1,1))</f>
        <v>259.74478933784656</v>
      </c>
      <c r="AO51" s="62">
        <f t="shared" si="36"/>
        <v>223.74038909289646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17.399999999999999</v>
      </c>
      <c r="N52" s="14">
        <f>IF('Données projet'!$A$36&gt;35,N51+M52-V51,IF(A52&lt;'Données projet'!$A$36,$K$205^A52,IF(A52='Données projet'!$A$36,'Données projet'!$B$36,N51+M52-V51)))</f>
        <v>322.60000000000008</v>
      </c>
      <c r="O52" s="14">
        <f>N52*VLOOKUP('Données projet'!$B$9,Paramètres!$A$1:$I$89,3,0)*VLOOKUP('Données projet'!$B$9,Paramètres!$A$1:$I$89,5,0)</f>
        <v>192.91480000000007</v>
      </c>
      <c r="P52" s="14">
        <f t="shared" si="33"/>
        <v>48.18380163388656</v>
      </c>
      <c r="Q52" s="22">
        <f t="shared" si="53"/>
        <v>419.91339784568589</v>
      </c>
      <c r="R52" s="62">
        <f t="shared" si="0"/>
        <v>713.24673117901921</v>
      </c>
      <c r="S52" s="62">
        <f ca="1">AVERAGE(OFFSET($R$3,0,0,'Données projet'!$E$9+1,1))-AVERAGE(OFFSET($H$3,0,0,'Données projet'!$E$9+1,1))</f>
        <v>362.81292020448933</v>
      </c>
      <c r="T52" s="62">
        <f t="shared" si="34"/>
        <v>292.26503163353146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3.4680924312311849</v>
      </c>
      <c r="AA52" s="23">
        <f>EXP(-LN(2)/25)*AA51+(1-EXP(-LN(2)/25))/(LN(2)/25)*Calculateur!V52*Calculateur!X52*VLOOKUP('Données projet'!$B$9,Paramètres!$A$1:$I$89,3,0)*0.475*44/12</f>
        <v>6.810965990148385</v>
      </c>
      <c r="AB52" s="23">
        <f>EXP(-LN(2)/2)*AB51+(1-EXP(-LN(2)/2))/(LN(2)/2)*V52*Y52*VLOOKUP('Données projet'!$B$9,Paramètres!$A$1:$I$89,3,0)*0.475*44/12</f>
        <v>0.10480225787551734</v>
      </c>
      <c r="AC52" s="24">
        <f t="shared" si="3"/>
        <v>10.383860679255088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7</v>
      </c>
      <c r="AI52" s="14">
        <f>IF('Données projet'!$A$62&gt;35,AI51+AH52-AQ51,IF(A52&lt;'Données projet'!$A$62,$AF$205^A52,IF(A52='Données projet'!$A$62,'Données projet'!$B$62,AI51+AH52-AQ51)))</f>
        <v>250</v>
      </c>
      <c r="AJ52" s="14">
        <f>AI52*VLOOKUP('Données projet'!$B$10,Paramètres!$A$1:$I$89,3,0)*VLOOKUP('Données projet'!$B$10,Paramètres!$A$1:$I$89,5,0)</f>
        <v>117</v>
      </c>
      <c r="AK52" s="14">
        <f t="shared" si="35"/>
        <v>30.974270896484146</v>
      </c>
      <c r="AL52" s="22">
        <f t="shared" si="4"/>
        <v>257.72185514470988</v>
      </c>
      <c r="AM52" s="62">
        <f t="shared" si="5"/>
        <v>551.05518847804319</v>
      </c>
      <c r="AN52" s="62">
        <f ca="1">AVERAGE(OFFSET($AM$3,0,0,'Données projet'!$E$10+1,1))-AVERAGE(OFFSET($H$3,0,0,'Données projet'!$E$10+1,1))</f>
        <v>259.74478933784656</v>
      </c>
      <c r="AO52" s="62">
        <f t="shared" si="36"/>
        <v>223.74038909289646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340</v>
      </c>
      <c r="L53" s="13">
        <f>VLOOKUP(A53,'Données projet'!$A$35:$I$55,9,0)</f>
        <v>17.399999999999999</v>
      </c>
      <c r="M53" s="13">
        <f t="array" ref="M53">INDEX(L:L,MIN(IF(ISNUMBER(L53:L249),ROW(L53:L249),"")))</f>
        <v>17.399999999999999</v>
      </c>
      <c r="N53" s="14">
        <f>IF('Données projet'!$A$36&gt;35,N52+M53-V52,IF(A53&lt;'Données projet'!$A$36,$K$205^A53,IF(A53='Données projet'!$A$36,'Données projet'!$B$36,N52+M53-V52)))</f>
        <v>340.00000000000006</v>
      </c>
      <c r="O53" s="14">
        <f>N53*VLOOKUP('Données projet'!$B$9,Paramètres!$A$1:$I$89,3,0)*VLOOKUP('Données projet'!$B$9,Paramètres!$A$1:$I$89,5,0)</f>
        <v>203.32000000000005</v>
      </c>
      <c r="P53" s="14">
        <f t="shared" si="33"/>
        <v>50.473102640215579</v>
      </c>
      <c r="Q53" s="22">
        <f t="shared" si="53"/>
        <v>442.02298709837555</v>
      </c>
      <c r="R53" s="62">
        <f t="shared" si="0"/>
        <v>735.35632043170881</v>
      </c>
      <c r="S53" s="62">
        <f ca="1">AVERAGE(OFFSET($R$3,0,0,'Données projet'!$E$9+1,1))-AVERAGE(OFFSET($H$3,0,0,'Données projet'!$E$9+1,1))</f>
        <v>362.81292020448933</v>
      </c>
      <c r="T53" s="62">
        <f t="shared" si="34"/>
        <v>292.26503163353146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53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3.4000852539822533</v>
      </c>
      <c r="AA53" s="23">
        <f>EXP(-LN(2)/25)*AA52+(1-EXP(-LN(2)/25))/(LN(2)/25)*Calculateur!V53*Calculateur!X53*VLOOKUP('Données projet'!$B$9,Paramètres!$A$1:$I$89,3,0)*0.475*44/12</f>
        <v>6.6247197669746427</v>
      </c>
      <c r="AB53" s="23">
        <f>EXP(-LN(2)/2)*AB52+(1-EXP(-LN(2)/2))/(LN(2)/2)*V53*Y53*VLOOKUP('Données projet'!$B$9,Paramètres!$A$1:$I$89,3,0)*0.475*44/12</f>
        <v>7.4106387227439563E-2</v>
      </c>
      <c r="AC53" s="24">
        <f t="shared" si="3"/>
        <v>10.098911408184335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257</v>
      </c>
      <c r="AG53" s="13">
        <f>VLOOKUP(A53,'Données projet'!$A$61:$I$81,9,0)</f>
        <v>7</v>
      </c>
      <c r="AH53" s="13">
        <f t="array" ref="AH53">INDEX(AG:AG,MIN(IF(ISNUMBER(AG53:AG249),ROW(AG53:AG249),"")))</f>
        <v>7</v>
      </c>
      <c r="AI53" s="14">
        <f>IF('Données projet'!$A$62&gt;35,AI52+AH53-AQ52,IF(A53&lt;'Données projet'!$A$62,$AF$205^A53,IF(A53='Données projet'!$A$62,'Données projet'!$B$62,AI52+AH53-AQ52)))</f>
        <v>257</v>
      </c>
      <c r="AJ53" s="14">
        <f>AI53*VLOOKUP('Données projet'!$B$10,Paramètres!$A$1:$I$89,3,0)*VLOOKUP('Données projet'!$B$10,Paramètres!$A$1:$I$89,5,0)</f>
        <v>120.276</v>
      </c>
      <c r="AK53" s="14">
        <f t="shared" si="35"/>
        <v>31.739363152156315</v>
      </c>
      <c r="AL53" s="22">
        <f t="shared" si="4"/>
        <v>264.76009082333889</v>
      </c>
      <c r="AM53" s="62">
        <f t="shared" si="5"/>
        <v>558.0934241566722</v>
      </c>
      <c r="AN53" s="62">
        <f ca="1">AVERAGE(OFFSET($AM$3,0,0,'Données projet'!$E$10+1,1))-AVERAGE(OFFSET($H$3,0,0,'Données projet'!$E$10+1,1))</f>
        <v>259.74478933784656</v>
      </c>
      <c r="AO53" s="62">
        <f t="shared" si="36"/>
        <v>223.74038909289646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17.625</v>
      </c>
      <c r="N54" s="14">
        <f>IF('Données projet'!$A$36&gt;35,N53+M54-V53,IF(A54&lt;'Données projet'!$A$36,$K$205^A54,IF(A54='Données projet'!$A$36,'Données projet'!$B$36,N53+M54-V53)))</f>
        <v>304.62500000000006</v>
      </c>
      <c r="O54" s="14">
        <f>N54*VLOOKUP('Données projet'!$B$9,Paramètres!$A$1:$I$89,3,0)*VLOOKUP('Données projet'!$B$9,Paramètres!$A$1:$I$89,5,0)</f>
        <v>182.16575000000003</v>
      </c>
      <c r="P54" s="14">
        <f t="shared" si="33"/>
        <v>45.803689728693968</v>
      </c>
      <c r="Q54" s="22">
        <f t="shared" si="53"/>
        <v>397.04677419414202</v>
      </c>
      <c r="R54" s="62">
        <f t="shared" si="0"/>
        <v>690.38010752747527</v>
      </c>
      <c r="S54" s="62">
        <f ca="1">AVERAGE(OFFSET($R$3,0,0,'Données projet'!$E$9+1,1))-AVERAGE(OFFSET($H$3,0,0,'Données projet'!$E$9+1,1))</f>
        <v>362.81292020448933</v>
      </c>
      <c r="T54" s="62">
        <f t="shared" si="34"/>
        <v>292.26503163353146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3.3334116559988907</v>
      </c>
      <c r="AA54" s="23">
        <f>EXP(-LN(2)/25)*AA53+(1-EXP(-LN(2)/25))/(LN(2)/25)*Calculateur!V54*Calculateur!X54*VLOOKUP('Données projet'!$B$9,Paramètres!$A$1:$I$89,3,0)*0.475*44/12</f>
        <v>6.4435664565678499</v>
      </c>
      <c r="AB54" s="23">
        <f>EXP(-LN(2)/2)*AB53+(1-EXP(-LN(2)/2))/(LN(2)/2)*V54*Y54*VLOOKUP('Données projet'!$B$9,Paramètres!$A$1:$I$89,3,0)*0.475*44/12</f>
        <v>5.2401128937758668E-2</v>
      </c>
      <c r="AC54" s="24">
        <f t="shared" si="3"/>
        <v>9.8293792415044994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265</v>
      </c>
      <c r="AJ54" s="14">
        <f>AI54*VLOOKUP('Données projet'!$B$10,Paramètres!$A$1:$I$89,3,0)*VLOOKUP('Données projet'!$B$10,Paramètres!$A$1:$I$89,5,0)</f>
        <v>124.02</v>
      </c>
      <c r="AK54" s="14">
        <f t="shared" si="35"/>
        <v>32.610792634958898</v>
      </c>
      <c r="AL54" s="22">
        <f t="shared" si="4"/>
        <v>272.79863050588671</v>
      </c>
      <c r="AM54" s="62">
        <f t="shared" si="5"/>
        <v>566.13196383922002</v>
      </c>
      <c r="AN54" s="62">
        <f ca="1">AVERAGE(OFFSET($AM$3,0,0,'Données projet'!$E$10+1,1))-AVERAGE(OFFSET($H$3,0,0,'Données projet'!$E$10+1,1))</f>
        <v>259.74478933784656</v>
      </c>
      <c r="AO54" s="62">
        <f t="shared" si="36"/>
        <v>223.74038909289646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17.625</v>
      </c>
      <c r="N55" s="14">
        <f>IF('Données projet'!$A$36&gt;35,N54+M55-V54,IF(A55&lt;'Données projet'!$A$36,$K$205^A55,IF(A55='Données projet'!$A$36,'Données projet'!$B$36,N54+M55-V54)))</f>
        <v>322.25000000000006</v>
      </c>
      <c r="O55" s="14">
        <f>N55*VLOOKUP('Données projet'!$B$9,Paramètres!$A$1:$I$89,3,0)*VLOOKUP('Données projet'!$B$9,Paramètres!$A$1:$I$89,5,0)</f>
        <v>192.70550000000006</v>
      </c>
      <c r="P55" s="14">
        <f t="shared" si="33"/>
        <v>48.137607387789963</v>
      </c>
      <c r="Q55" s="22">
        <f t="shared" si="53"/>
        <v>419.46841203373424</v>
      </c>
      <c r="R55" s="62">
        <f t="shared" si="0"/>
        <v>712.8017453670675</v>
      </c>
      <c r="S55" s="62">
        <f ca="1">AVERAGE(OFFSET($R$3,0,0,'Données projet'!$E$9+1,1))-AVERAGE(OFFSET($H$3,0,0,'Données projet'!$E$9+1,1))</f>
        <v>362.81292020448933</v>
      </c>
      <c r="T55" s="62">
        <f t="shared" si="34"/>
        <v>292.26503163353146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3.2680454866051027</v>
      </c>
      <c r="AA55" s="23">
        <f>EXP(-LN(2)/25)*AA54+(1-EXP(-LN(2)/25))/(LN(2)/25)*Calculateur!V55*Calculateur!X55*VLOOKUP('Données projet'!$B$9,Paramètres!$A$1:$I$89,3,0)*0.475*44/12</f>
        <v>6.2673667929605692</v>
      </c>
      <c r="AB55" s="23">
        <f>EXP(-LN(2)/2)*AB54+(1-EXP(-LN(2)/2))/(LN(2)/2)*V55*Y55*VLOOKUP('Données projet'!$B$9,Paramètres!$A$1:$I$89,3,0)*0.475*44/12</f>
        <v>3.7053193613719781E-2</v>
      </c>
      <c r="AC55" s="24">
        <f t="shared" si="3"/>
        <v>9.5724654731793919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273</v>
      </c>
      <c r="AJ55" s="14">
        <f>AI55*VLOOKUP('Données projet'!$B$10,Paramètres!$A$1:$I$89,3,0)*VLOOKUP('Données projet'!$B$10,Paramètres!$A$1:$I$89,5,0)</f>
        <v>127.76400000000001</v>
      </c>
      <c r="AK55" s="14">
        <f t="shared" si="35"/>
        <v>33.479164830670051</v>
      </c>
      <c r="AL55" s="22">
        <f t="shared" si="4"/>
        <v>280.83184541341694</v>
      </c>
      <c r="AM55" s="62">
        <f t="shared" si="5"/>
        <v>574.16517874675026</v>
      </c>
      <c r="AN55" s="62">
        <f ca="1">AVERAGE(OFFSET($AM$3,0,0,'Données projet'!$E$10+1,1))-AVERAGE(OFFSET($H$3,0,0,'Données projet'!$E$10+1,1))</f>
        <v>259.74478933784656</v>
      </c>
      <c r="AO55" s="62">
        <f t="shared" si="36"/>
        <v>223.74038909289646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17.625</v>
      </c>
      <c r="N56" s="14">
        <f>IF('Données projet'!$A$36&gt;35,N55+M56-V55,IF(A56&lt;'Données projet'!$A$36,$K$205^A56,IF(A56='Données projet'!$A$36,'Données projet'!$B$36,N55+M56-V55)))</f>
        <v>339.87500000000006</v>
      </c>
      <c r="O56" s="14">
        <f>N56*VLOOKUP('Données projet'!$B$9,Paramètres!$A$1:$I$89,3,0)*VLOOKUP('Données projet'!$B$9,Paramètres!$A$1:$I$89,5,0)</f>
        <v>203.24525000000006</v>
      </c>
      <c r="P56" s="14">
        <f t="shared" si="33"/>
        <v>50.45670595349123</v>
      </c>
      <c r="Q56" s="22">
        <f t="shared" si="53"/>
        <v>441.86423995233059</v>
      </c>
      <c r="R56" s="62">
        <f t="shared" si="0"/>
        <v>735.19757328566391</v>
      </c>
      <c r="S56" s="62">
        <f ca="1">AVERAGE(OFFSET($R$3,0,0,'Données projet'!$E$9+1,1))-AVERAGE(OFFSET($H$3,0,0,'Données projet'!$E$9+1,1))</f>
        <v>362.81292020448933</v>
      </c>
      <c r="T56" s="62">
        <f t="shared" si="34"/>
        <v>292.26503163353146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3.2039611079237003</v>
      </c>
      <c r="AA56" s="23">
        <f>EXP(-LN(2)/25)*AA55+(1-EXP(-LN(2)/25))/(LN(2)/25)*Calculateur!V56*Calculateur!X56*VLOOKUP('Données projet'!$B$9,Paramètres!$A$1:$I$89,3,0)*0.475*44/12</f>
        <v>6.095985318420567</v>
      </c>
      <c r="AB56" s="23">
        <f>EXP(-LN(2)/2)*AB55+(1-EXP(-LN(2)/2))/(LN(2)/2)*V56*Y56*VLOOKUP('Données projet'!$B$9,Paramètres!$A$1:$I$89,3,0)*0.475*44/12</f>
        <v>2.6200564468879334E-2</v>
      </c>
      <c r="AC56" s="24">
        <f t="shared" si="3"/>
        <v>9.3261469908131467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281</v>
      </c>
      <c r="AJ56" s="14">
        <f>AI56*VLOOKUP('Données projet'!$B$10,Paramètres!$A$1:$I$89,3,0)*VLOOKUP('Données projet'!$B$10,Paramètres!$A$1:$I$89,5,0)</f>
        <v>131.50800000000001</v>
      </c>
      <c r="AK56" s="14">
        <f t="shared" si="35"/>
        <v>34.344579617082509</v>
      </c>
      <c r="AL56" s="22">
        <f t="shared" si="4"/>
        <v>288.85990949975201</v>
      </c>
      <c r="AM56" s="62">
        <f t="shared" si="5"/>
        <v>582.19324283308538</v>
      </c>
      <c r="AN56" s="62">
        <f ca="1">AVERAGE(OFFSET($AM$3,0,0,'Données projet'!$E$10+1,1))-AVERAGE(OFFSET($H$3,0,0,'Données projet'!$E$10+1,1))</f>
        <v>259.74478933784656</v>
      </c>
      <c r="AO56" s="62">
        <f t="shared" si="36"/>
        <v>223.74038909289646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17.625</v>
      </c>
      <c r="N57" s="14">
        <f>IF('Données projet'!$A$36&gt;35,N56+M57-V56,IF(A57&lt;'Données projet'!$A$36,$K$205^A57,IF(A57='Données projet'!$A$36,'Données projet'!$B$36,N56+M57-V56)))</f>
        <v>357.50000000000006</v>
      </c>
      <c r="O57" s="14">
        <f>N57*VLOOKUP('Données projet'!$B$9,Paramètres!$A$1:$I$89,3,0)*VLOOKUP('Données projet'!$B$9,Paramètres!$A$1:$I$89,5,0)</f>
        <v>213.78500000000005</v>
      </c>
      <c r="P57" s="14">
        <f t="shared" si="33"/>
        <v>52.761841557402377</v>
      </c>
      <c r="Q57" s="22">
        <f t="shared" si="53"/>
        <v>464.2357490458092</v>
      </c>
      <c r="R57" s="62">
        <f t="shared" si="0"/>
        <v>757.56908237914251</v>
      </c>
      <c r="S57" s="62">
        <f ca="1">AVERAGE(OFFSET($R$3,0,0,'Données projet'!$E$9+1,1))-AVERAGE(OFFSET($H$3,0,0,'Données projet'!$E$9+1,1))</f>
        <v>362.81292020448933</v>
      </c>
      <c r="T57" s="62">
        <f t="shared" si="34"/>
        <v>292.26503163353146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3.1411333848206286</v>
      </c>
      <c r="AA57" s="23">
        <f>EXP(-LN(2)/25)*AA56+(1-EXP(-LN(2)/25))/(LN(2)/25)*Calculateur!V57*Calculateur!X57*VLOOKUP('Données projet'!$B$9,Paramètres!$A$1:$I$89,3,0)*0.475*44/12</f>
        <v>5.9292902793144213</v>
      </c>
      <c r="AB57" s="23">
        <f>EXP(-LN(2)/2)*AB56+(1-EXP(-LN(2)/2))/(LN(2)/2)*V57*Y57*VLOOKUP('Données projet'!$B$9,Paramètres!$A$1:$I$89,3,0)*0.475*44/12</f>
        <v>1.8526596806859891E-2</v>
      </c>
      <c r="AC57" s="24">
        <f t="shared" si="3"/>
        <v>9.0889502609419086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289</v>
      </c>
      <c r="AJ57" s="14">
        <f>AI57*VLOOKUP('Données projet'!$B$10,Paramètres!$A$1:$I$89,3,0)*VLOOKUP('Données projet'!$B$10,Paramètres!$A$1:$I$89,5,0)</f>
        <v>135.25199999999998</v>
      </c>
      <c r="AK57" s="14">
        <f t="shared" si="35"/>
        <v>35.207130861518152</v>
      </c>
      <c r="AL57" s="22">
        <f t="shared" si="4"/>
        <v>296.88298625047742</v>
      </c>
      <c r="AM57" s="62">
        <f t="shared" si="5"/>
        <v>590.21631958381067</v>
      </c>
      <c r="AN57" s="62">
        <f ca="1">AVERAGE(OFFSET($AM$3,0,0,'Données projet'!$E$10+1,1))-AVERAGE(OFFSET($H$3,0,0,'Données projet'!$E$10+1,1))</f>
        <v>259.74478933784656</v>
      </c>
      <c r="AO57" s="62">
        <f t="shared" si="36"/>
        <v>223.74038909289646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17.625</v>
      </c>
      <c r="N58" s="14">
        <f>IF('Données projet'!$A$36&gt;35,N57+M58-V57,IF(A58&lt;'Données projet'!$A$36,$K$205^A58,IF(A58='Données projet'!$A$36,'Données projet'!$B$36,N57+M58-V57)))</f>
        <v>375.12500000000006</v>
      </c>
      <c r="O58" s="14">
        <f>N58*VLOOKUP('Données projet'!$B$9,Paramètres!$A$1:$I$89,3,0)*VLOOKUP('Données projet'!$B$9,Paramètres!$A$1:$I$89,5,0)</f>
        <v>224.32475000000005</v>
      </c>
      <c r="P58" s="14">
        <f t="shared" si="33"/>
        <v>55.053781146410472</v>
      </c>
      <c r="Q58" s="22">
        <f t="shared" si="53"/>
        <v>486.58427507999835</v>
      </c>
      <c r="R58" s="62">
        <f t="shared" si="0"/>
        <v>779.91760841333166</v>
      </c>
      <c r="S58" s="62">
        <f ca="1">AVERAGE(OFFSET($R$3,0,0,'Données projet'!$E$9+1,1))-AVERAGE(OFFSET($H$3,0,0,'Données projet'!$E$9+1,1))</f>
        <v>362.81292020448933</v>
      </c>
      <c r="T58" s="62">
        <f t="shared" si="34"/>
        <v>292.26503163353146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3.0795376750464811</v>
      </c>
      <c r="AA58" s="23">
        <f>EXP(-LN(2)/25)*AA57+(1-EXP(-LN(2)/25))/(LN(2)/25)*Calculateur!V58*Calculateur!X58*VLOOKUP('Données projet'!$B$9,Paramètres!$A$1:$I$89,3,0)*0.475*44/12</f>
        <v>5.7671535248187444</v>
      </c>
      <c r="AB58" s="23">
        <f>EXP(-LN(2)/2)*AB57+(1-EXP(-LN(2)/2))/(LN(2)/2)*V58*Y58*VLOOKUP('Données projet'!$B$9,Paramètres!$A$1:$I$89,3,0)*0.475*44/12</f>
        <v>1.3100282234439667E-2</v>
      </c>
      <c r="AC58" s="24">
        <f t="shared" si="3"/>
        <v>8.8597914820996664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297</v>
      </c>
      <c r="AJ58" s="14">
        <f>AI58*VLOOKUP('Données projet'!$B$10,Paramètres!$A$1:$I$89,3,0)*VLOOKUP('Données projet'!$B$10,Paramètres!$A$1:$I$89,5,0)</f>
        <v>138.99600000000001</v>
      </c>
      <c r="AK58" s="14">
        <f t="shared" si="35"/>
        <v>36.066906938767758</v>
      </c>
      <c r="AL58" s="22">
        <f t="shared" si="4"/>
        <v>304.90122958502047</v>
      </c>
      <c r="AM58" s="62">
        <f t="shared" si="5"/>
        <v>598.23456291835373</v>
      </c>
      <c r="AN58" s="62">
        <f ca="1">AVERAGE(OFFSET($AM$3,0,0,'Données projet'!$E$10+1,1))-AVERAGE(OFFSET($H$3,0,0,'Données projet'!$E$10+1,1))</f>
        <v>259.74478933784656</v>
      </c>
      <c r="AO58" s="62">
        <f t="shared" si="36"/>
        <v>223.74038909289646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17.625</v>
      </c>
      <c r="N59" s="14">
        <f>IF('Données projet'!$A$36&gt;35,N58+M59-V58,IF(A59&lt;'Données projet'!$A$36,$K$205^A59,IF(A59='Données projet'!$A$36,'Données projet'!$B$36,N58+M59-V58)))</f>
        <v>392.75000000000006</v>
      </c>
      <c r="O59" s="14">
        <f>N59*VLOOKUP('Données projet'!$B$9,Paramètres!$A$1:$I$89,3,0)*VLOOKUP('Données projet'!$B$9,Paramètres!$A$1:$I$89,5,0)</f>
        <v>234.86450000000002</v>
      </c>
      <c r="P59" s="14">
        <f t="shared" si="33"/>
        <v>57.33321552572081</v>
      </c>
      <c r="Q59" s="22">
        <f t="shared" si="53"/>
        <v>508.9110212072971</v>
      </c>
      <c r="R59" s="62">
        <f t="shared" si="0"/>
        <v>802.24435454063041</v>
      </c>
      <c r="S59" s="62">
        <f ca="1">AVERAGE(OFFSET($R$3,0,0,'Données projet'!$E$9+1,1))-AVERAGE(OFFSET($H$3,0,0,'Données projet'!$E$9+1,1))</f>
        <v>362.81292020448933</v>
      </c>
      <c r="T59" s="62">
        <f t="shared" si="34"/>
        <v>292.26503163353146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3.0191498195713313</v>
      </c>
      <c r="AA59" s="23">
        <f>EXP(-LN(2)/25)*AA58+(1-EXP(-LN(2)/25))/(LN(2)/25)*Calculateur!V59*Calculateur!X59*VLOOKUP('Données projet'!$B$9,Paramètres!$A$1:$I$89,3,0)*0.475*44/12</f>
        <v>5.6094504084011527</v>
      </c>
      <c r="AB59" s="23">
        <f>EXP(-LN(2)/2)*AB58+(1-EXP(-LN(2)/2))/(LN(2)/2)*V59*Y59*VLOOKUP('Données projet'!$B$9,Paramètres!$A$1:$I$89,3,0)*0.475*44/12</f>
        <v>9.2632984034299454E-3</v>
      </c>
      <c r="AC59" s="24">
        <f t="shared" si="3"/>
        <v>8.6378635263759147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8</v>
      </c>
      <c r="AI59" s="14">
        <f>IF('Données projet'!$A$62&gt;35,AI58+AH59-AQ58,IF(A59&lt;'Données projet'!$A$62,$AF$205^A59,IF(A59='Données projet'!$A$62,'Données projet'!$B$62,AI58+AH59-AQ58)))</f>
        <v>305</v>
      </c>
      <c r="AJ59" s="14">
        <f>AI59*VLOOKUP('Données projet'!$B$10,Paramètres!$A$1:$I$89,3,0)*VLOOKUP('Données projet'!$B$10,Paramètres!$A$1:$I$89,5,0)</f>
        <v>142.74</v>
      </c>
      <c r="AK59" s="14">
        <f t="shared" si="35"/>
        <v>36.923991191656064</v>
      </c>
      <c r="AL59" s="22">
        <f t="shared" si="4"/>
        <v>312.91478465880101</v>
      </c>
      <c r="AM59" s="62">
        <f t="shared" si="5"/>
        <v>606.24811799213433</v>
      </c>
      <c r="AN59" s="62">
        <f ca="1">AVERAGE(OFFSET($AM$3,0,0,'Données projet'!$E$10+1,1))-AVERAGE(OFFSET($H$3,0,0,'Données projet'!$E$10+1,1))</f>
        <v>259.74478933784656</v>
      </c>
      <c r="AO59" s="62">
        <f t="shared" si="36"/>
        <v>223.74038909289646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17.625</v>
      </c>
      <c r="N60" s="14">
        <f>IF('Données projet'!$A$36&gt;35,N59+M60-V59,IF(A60&lt;'Données projet'!$A$36,$K$205^A60,IF(A60='Données projet'!$A$36,'Données projet'!$B$36,N59+M60-V59)))</f>
        <v>410.37500000000006</v>
      </c>
      <c r="O60" s="14">
        <f>N60*VLOOKUP('Données projet'!$B$9,Paramètres!$A$1:$I$89,3,0)*VLOOKUP('Données projet'!$B$9,Paramètres!$A$1:$I$89,5,0)</f>
        <v>245.40425000000005</v>
      </c>
      <c r="P60" s="14">
        <f t="shared" si="33"/>
        <v>59.60076999447687</v>
      </c>
      <c r="Q60" s="22">
        <f t="shared" si="53"/>
        <v>531.21707649038069</v>
      </c>
      <c r="R60" s="62">
        <f t="shared" si="0"/>
        <v>824.55040982371406</v>
      </c>
      <c r="S60" s="62">
        <f ca="1">AVERAGE(OFFSET($R$3,0,0,'Données projet'!$E$9+1,1))-AVERAGE(OFFSET($H$3,0,0,'Données projet'!$E$9+1,1))</f>
        <v>362.81292020448933</v>
      </c>
      <c r="T60" s="62">
        <f t="shared" si="34"/>
        <v>292.26503163353146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2.9599461331090944</v>
      </c>
      <c r="AA60" s="23">
        <f>EXP(-LN(2)/25)*AA59+(1-EXP(-LN(2)/25))/(LN(2)/25)*Calculateur!V60*Calculateur!X60*VLOOKUP('Données projet'!$B$9,Paramètres!$A$1:$I$89,3,0)*0.475*44/12</f>
        <v>5.4560596919952467</v>
      </c>
      <c r="AB60" s="23">
        <f>EXP(-LN(2)/2)*AB59+(1-EXP(-LN(2)/2))/(LN(2)/2)*V60*Y60*VLOOKUP('Données projet'!$B$9,Paramètres!$A$1:$I$89,3,0)*0.475*44/12</f>
        <v>6.5501411172198334E-3</v>
      </c>
      <c r="AC60" s="24">
        <f t="shared" si="3"/>
        <v>8.4225559662215606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8</v>
      </c>
      <c r="AI60" s="14">
        <f>IF('Données projet'!$A$62&gt;35,AI59+AH60-AQ59,IF(A60&lt;'Données projet'!$A$62,$AF$205^A60,IF(A60='Données projet'!$A$62,'Données projet'!$B$62,AI59+AH60-AQ59)))</f>
        <v>313</v>
      </c>
      <c r="AJ60" s="14">
        <f>AI60*VLOOKUP('Données projet'!$B$10,Paramètres!$A$1:$I$89,3,0)*VLOOKUP('Données projet'!$B$10,Paramètres!$A$1:$I$89,5,0)</f>
        <v>146.48400000000001</v>
      </c>
      <c r="AK60" s="14">
        <f t="shared" si="35"/>
        <v>37.778462341926023</v>
      </c>
      <c r="AL60" s="22">
        <f t="shared" si="4"/>
        <v>320.9237885788545</v>
      </c>
      <c r="AM60" s="62">
        <f t="shared" si="5"/>
        <v>614.25712191218781</v>
      </c>
      <c r="AN60" s="62">
        <f ca="1">AVERAGE(OFFSET($AM$3,0,0,'Données projet'!$E$10+1,1))-AVERAGE(OFFSET($H$3,0,0,'Données projet'!$E$10+1,1))</f>
        <v>259.74478933784656</v>
      </c>
      <c r="AO60" s="62">
        <f t="shared" si="36"/>
        <v>223.74038909289646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>
        <f>VLOOKUP(A61,'Données projet'!$A$35:$I$55,2,0)</f>
        <v>428</v>
      </c>
      <c r="L61" s="13">
        <f>VLOOKUP(A61,'Données projet'!$A$35:$I$55,9,0)</f>
        <v>17.625</v>
      </c>
      <c r="M61" s="13">
        <f t="array" ref="M61">INDEX(L:L,MIN(IF(ISNUMBER(L61:L257),ROW(L61:L257),"")))</f>
        <v>17.625</v>
      </c>
      <c r="N61" s="14">
        <f>IF('Données projet'!$A$36&gt;35,N60+M61-V60,IF(A61&lt;'Données projet'!$A$36,$K$205^A61,IF(A61='Données projet'!$A$36,'Données projet'!$B$36,N60+M61-V60)))</f>
        <v>428.00000000000006</v>
      </c>
      <c r="O61" s="14">
        <f>N61*VLOOKUP('Données projet'!$B$9,Paramètres!$A$1:$I$89,3,0)*VLOOKUP('Données projet'!$B$9,Paramètres!$A$1:$I$89,5,0)</f>
        <v>255.94400000000005</v>
      </c>
      <c r="P61" s="14">
        <f t="shared" si="33"/>
        <v>61.857013102708898</v>
      </c>
      <c r="Q61" s="22">
        <f t="shared" si="53"/>
        <v>553.50343115388478</v>
      </c>
      <c r="R61" s="62">
        <f t="shared" si="0"/>
        <v>846.83676448721803</v>
      </c>
      <c r="S61" s="62">
        <f ca="1">AVERAGE(OFFSET($R$3,0,0,'Données projet'!$E$9+1,1))-AVERAGE(OFFSET($H$3,0,0,'Données projet'!$E$9+1,1))</f>
        <v>362.81292020448933</v>
      </c>
      <c r="T61" s="62">
        <f t="shared" si="34"/>
        <v>292.26503163353146</v>
      </c>
      <c r="U61" s="16">
        <f>IF(ISNA(VLOOKUP(A61,'Données projet'!$A$35:$I$55,3,0)),0,VLOOKUP(A61,'Données projet'!$A$35:$I$55,3,0))</f>
        <v>8</v>
      </c>
      <c r="V61" s="16">
        <f>IF(ISNA(VLOOKUP(A61,'Données projet'!$A$35:$I$55,4,0)),0,VLOOKUP(A61,'Données projet'!$A$35:$I$55,4,0))</f>
        <v>78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2.9019033948276989</v>
      </c>
      <c r="AA61" s="23">
        <f>EXP(-LN(2)/25)*AA60+(1-EXP(-LN(2)/25))/(LN(2)/25)*Calculateur!V61*Calculateur!X61*VLOOKUP('Données projet'!$B$9,Paramètres!$A$1:$I$89,3,0)*0.475*44/12</f>
        <v>5.3068634527959277</v>
      </c>
      <c r="AB61" s="23">
        <f>EXP(-LN(2)/2)*AB60+(1-EXP(-LN(2)/2))/(LN(2)/2)*V61*Y61*VLOOKUP('Données projet'!$B$9,Paramètres!$A$1:$I$89,3,0)*0.475*44/12</f>
        <v>4.6316492017149727E-3</v>
      </c>
      <c r="AC61" s="24">
        <f t="shared" si="3"/>
        <v>8.2133984968253415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8</v>
      </c>
      <c r="AI61" s="14">
        <f>IF('Données projet'!$A$62&gt;35,AI60+AH61-AQ60,IF(A61&lt;'Données projet'!$A$62,$AF$205^A61,IF(A61='Données projet'!$A$62,'Données projet'!$B$62,AI60+AH61-AQ60)))</f>
        <v>321</v>
      </c>
      <c r="AJ61" s="14">
        <f>AI61*VLOOKUP('Données projet'!$B$10,Paramètres!$A$1:$I$89,3,0)*VLOOKUP('Données projet'!$B$10,Paramètres!$A$1:$I$89,5,0)</f>
        <v>150.22800000000001</v>
      </c>
      <c r="AK61" s="14">
        <f t="shared" si="35"/>
        <v>38.630394857933659</v>
      </c>
      <c r="AL61" s="22">
        <f t="shared" si="4"/>
        <v>328.92837104423444</v>
      </c>
      <c r="AM61" s="62">
        <f t="shared" si="5"/>
        <v>622.26170437756775</v>
      </c>
      <c r="AN61" s="62">
        <f ca="1">AVERAGE(OFFSET($AM$3,0,0,'Données projet'!$E$10+1,1))-AVERAGE(OFFSET($H$3,0,0,'Données projet'!$E$10+1,1))</f>
        <v>259.74478933784656</v>
      </c>
      <c r="AO61" s="62">
        <f t="shared" si="36"/>
        <v>223.74038909289646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16.625</v>
      </c>
      <c r="N62" s="14">
        <f>IF('Données projet'!$A$36&gt;35,N61+M62-V61,IF(A62&lt;'Données projet'!$A$36,$K$205^A62,IF(A62='Données projet'!$A$36,'Données projet'!$B$36,N61+M62-V61)))</f>
        <v>366.62500000000006</v>
      </c>
      <c r="O62" s="14">
        <f>N62*VLOOKUP('Données projet'!$B$9,Paramètres!$A$1:$I$89,3,0)*VLOOKUP('Données projet'!$B$9,Paramètres!$A$1:$I$89,5,0)</f>
        <v>219.24175000000005</v>
      </c>
      <c r="P62" s="14">
        <f t="shared" si="33"/>
        <v>53.950050729111297</v>
      </c>
      <c r="Q62" s="22">
        <f t="shared" si="53"/>
        <v>475.80905293653558</v>
      </c>
      <c r="R62" s="62">
        <f t="shared" si="0"/>
        <v>769.14238626986889</v>
      </c>
      <c r="S62" s="62">
        <f ca="1">AVERAGE(OFFSET($R$3,0,0,'Données projet'!$E$9+1,1))-AVERAGE(OFFSET($H$3,0,0,'Données projet'!$E$9+1,1))</f>
        <v>362.81292020448933</v>
      </c>
      <c r="T62" s="62">
        <f t="shared" si="34"/>
        <v>292.26503163353146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2.8449988392414269</v>
      </c>
      <c r="AA62" s="23">
        <f>EXP(-LN(2)/25)*AA61+(1-EXP(-LN(2)/25))/(LN(2)/25)*Calculateur!V62*Calculateur!X62*VLOOKUP('Données projet'!$B$9,Paramètres!$A$1:$I$89,3,0)*0.475*44/12</f>
        <v>5.161746992603403</v>
      </c>
      <c r="AB62" s="23">
        <f>EXP(-LN(2)/2)*AB61+(1-EXP(-LN(2)/2))/(LN(2)/2)*V62*Y62*VLOOKUP('Données projet'!$B$9,Paramètres!$A$1:$I$89,3,0)*0.475*44/12</f>
        <v>3.2750705586099167E-3</v>
      </c>
      <c r="AC62" s="24">
        <f t="shared" si="3"/>
        <v>8.0100209024034399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8</v>
      </c>
      <c r="AI62" s="14">
        <f>IF('Données projet'!$A$62&gt;35,AI61+AH62-AQ61,IF(A62&lt;'Données projet'!$A$62,$AF$205^A62,IF(A62='Données projet'!$A$62,'Données projet'!$B$62,AI61+AH62-AQ61)))</f>
        <v>329</v>
      </c>
      <c r="AJ62" s="14">
        <f>AI62*VLOOKUP('Données projet'!$B$10,Paramètres!$A$1:$I$89,3,0)*VLOOKUP('Données projet'!$B$10,Paramètres!$A$1:$I$89,5,0)</f>
        <v>153.97200000000001</v>
      </c>
      <c r="AK62" s="14">
        <f t="shared" si="35"/>
        <v>39.479859284656378</v>
      </c>
      <c r="AL62" s="22">
        <f t="shared" si="4"/>
        <v>336.92865492077652</v>
      </c>
      <c r="AM62" s="62">
        <f t="shared" si="5"/>
        <v>630.26198825410984</v>
      </c>
      <c r="AN62" s="62">
        <f ca="1">AVERAGE(OFFSET($AM$3,0,0,'Données projet'!$E$10+1,1))-AVERAGE(OFFSET($H$3,0,0,'Données projet'!$E$10+1,1))</f>
        <v>259.74478933784656</v>
      </c>
      <c r="AO62" s="62">
        <f t="shared" si="36"/>
        <v>223.74038909289646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16.625</v>
      </c>
      <c r="N63" s="14">
        <f>IF('Données projet'!$A$36&gt;35,N62+M63-V62,IF(A63&lt;'Données projet'!$A$36,$K$205^A63,IF(A63='Données projet'!$A$36,'Données projet'!$B$36,N62+M63-V62)))</f>
        <v>383.25000000000006</v>
      </c>
      <c r="O63" s="14">
        <f>N63*VLOOKUP('Données projet'!$B$9,Paramètres!$A$1:$I$89,3,0)*VLOOKUP('Données projet'!$B$9,Paramètres!$A$1:$I$89,5,0)</f>
        <v>229.18350000000007</v>
      </c>
      <c r="P63" s="14">
        <f t="shared" si="33"/>
        <v>56.106098616839645</v>
      </c>
      <c r="Q63" s="22">
        <f t="shared" si="53"/>
        <v>496.87938425766248</v>
      </c>
      <c r="R63" s="62">
        <f t="shared" si="0"/>
        <v>790.21271759099579</v>
      </c>
      <c r="S63" s="62">
        <f ca="1">AVERAGE(OFFSET($R$3,0,0,'Données projet'!$E$9+1,1))-AVERAGE(OFFSET($H$3,0,0,'Données projet'!$E$9+1,1))</f>
        <v>362.81292020448933</v>
      </c>
      <c r="T63" s="62">
        <f t="shared" si="34"/>
        <v>292.26503163353146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2.78921014728185</v>
      </c>
      <c r="AA63" s="23">
        <f>EXP(-LN(2)/25)*AA62+(1-EXP(-LN(2)/25))/(LN(2)/25)*Calculateur!V63*Calculateur!X63*VLOOKUP('Données projet'!$B$9,Paramètres!$A$1:$I$89,3,0)*0.475*44/12</f>
        <v>5.0205987496461857</v>
      </c>
      <c r="AB63" s="23">
        <f>EXP(-LN(2)/2)*AB62+(1-EXP(-LN(2)/2))/(LN(2)/2)*V63*Y63*VLOOKUP('Données projet'!$B$9,Paramètres!$A$1:$I$89,3,0)*0.475*44/12</f>
        <v>2.3158246008574863E-3</v>
      </c>
      <c r="AC63" s="24">
        <f t="shared" si="3"/>
        <v>7.8121247215288934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337</v>
      </c>
      <c r="AG63" s="13">
        <f>VLOOKUP(A63,'Données projet'!$A$61:$I$81,9,0)</f>
        <v>8</v>
      </c>
      <c r="AH63" s="13">
        <f t="array" ref="AH63">INDEX(AG:AG,MIN(IF(ISNUMBER(AG63:AG259),ROW(AG63:AG259),"")))</f>
        <v>8</v>
      </c>
      <c r="AI63" s="14">
        <f>IF('Données projet'!$A$62&gt;35,AI62+AH63-AQ62,IF(A63&lt;'Données projet'!$A$62,$AF$205^A63,IF(A63='Données projet'!$A$62,'Données projet'!$B$62,AI62+AH63-AQ62)))</f>
        <v>337</v>
      </c>
      <c r="AJ63" s="14">
        <f>AI63*VLOOKUP('Données projet'!$B$10,Paramètres!$A$1:$I$89,3,0)*VLOOKUP('Données projet'!$B$10,Paramètres!$A$1:$I$89,5,0)</f>
        <v>157.71600000000001</v>
      </c>
      <c r="AK63" s="14">
        <f t="shared" si="35"/>
        <v>40.326922540698838</v>
      </c>
      <c r="AL63" s="22">
        <f t="shared" si="4"/>
        <v>344.92475675838381</v>
      </c>
      <c r="AM63" s="62">
        <f t="shared" si="5"/>
        <v>638.25809009171712</v>
      </c>
      <c r="AN63" s="62">
        <f ca="1">AVERAGE(OFFSET($AM$3,0,0,'Données projet'!$E$10+1,1))-AVERAGE(OFFSET($H$3,0,0,'Données projet'!$E$10+1,1))</f>
        <v>259.74478933784656</v>
      </c>
      <c r="AO63" s="62">
        <f t="shared" si="36"/>
        <v>223.74038909289646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67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16.625</v>
      </c>
      <c r="N64" s="14">
        <f>IF('Données projet'!$A$36&gt;35,N63+M64-V63,IF(A64&lt;'Données projet'!$A$36,$K$205^A64,IF(A64='Données projet'!$A$36,'Données projet'!$B$36,N63+M64-V63)))</f>
        <v>399.87500000000006</v>
      </c>
      <c r="O64" s="14">
        <f>N64*VLOOKUP('Données projet'!$B$9,Paramètres!$A$1:$I$89,3,0)*VLOOKUP('Données projet'!$B$9,Paramètres!$A$1:$I$89,5,0)</f>
        <v>239.12525000000005</v>
      </c>
      <c r="P64" s="14">
        <f t="shared" si="33"/>
        <v>58.251283780505084</v>
      </c>
      <c r="Q64" s="22">
        <f t="shared" si="53"/>
        <v>517.93079633437981</v>
      </c>
      <c r="R64" s="62">
        <f t="shared" si="0"/>
        <v>811.26412966771318</v>
      </c>
      <c r="S64" s="62">
        <f ca="1">AVERAGE(OFFSET($R$3,0,0,'Données projet'!$E$9+1,1))-AVERAGE(OFFSET($H$3,0,0,'Données projet'!$E$9+1,1))</f>
        <v>362.81292020448933</v>
      </c>
      <c r="T64" s="62">
        <f t="shared" si="34"/>
        <v>292.26503163353146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2.7345154375438581</v>
      </c>
      <c r="AA64" s="23">
        <f>EXP(-LN(2)/25)*AA63+(1-EXP(-LN(2)/25))/(LN(2)/25)*Calculateur!V64*Calculateur!X64*VLOOKUP('Données projet'!$B$9,Paramètres!$A$1:$I$89,3,0)*0.475*44/12</f>
        <v>4.8833102128152976</v>
      </c>
      <c r="AB64" s="23">
        <f>EXP(-LN(2)/2)*AB63+(1-EXP(-LN(2)/2))/(LN(2)/2)*V64*Y64*VLOOKUP('Données projet'!$B$9,Paramètres!$A$1:$I$89,3,0)*0.475*44/12</f>
        <v>1.6375352793049584E-3</v>
      </c>
      <c r="AC64" s="24">
        <f t="shared" si="3"/>
        <v>7.6194631856384607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7.5</v>
      </c>
      <c r="AI64" s="14">
        <f>IF('Données projet'!$A$62&gt;35,AI63+AH64-AQ63,IF(A64&lt;'Données projet'!$A$62,$AF$205^A64,IF(A64='Données projet'!$A$62,'Données projet'!$B$62,AI63+AH64-AQ63)))</f>
        <v>277.5</v>
      </c>
      <c r="AJ64" s="14">
        <f>AI64*VLOOKUP('Données projet'!$B$10,Paramètres!$A$1:$I$89,3,0)*VLOOKUP('Données projet'!$B$10,Paramètres!$A$1:$I$89,5,0)</f>
        <v>129.87</v>
      </c>
      <c r="AK64" s="14">
        <f t="shared" si="35"/>
        <v>33.966318400312318</v>
      </c>
      <c r="AL64" s="22">
        <f t="shared" si="4"/>
        <v>285.34825454721067</v>
      </c>
      <c r="AM64" s="62">
        <f t="shared" si="5"/>
        <v>578.68158788054393</v>
      </c>
      <c r="AN64" s="62">
        <f ca="1">AVERAGE(OFFSET($AM$3,0,0,'Données projet'!$E$10+1,1))-AVERAGE(OFFSET($H$3,0,0,'Données projet'!$E$10+1,1))</f>
        <v>259.74478933784656</v>
      </c>
      <c r="AO64" s="62">
        <f t="shared" si="36"/>
        <v>223.74038909289646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16.625</v>
      </c>
      <c r="N65" s="14">
        <f>IF('Données projet'!$A$36&gt;35,N64+M65-V64,IF(A65&lt;'Données projet'!$A$36,$K$205^A65,IF(A65='Données projet'!$A$36,'Données projet'!$B$36,N64+M65-V64)))</f>
        <v>416.50000000000006</v>
      </c>
      <c r="O65" s="14">
        <f>N65*VLOOKUP('Données projet'!$B$9,Paramètres!$A$1:$I$89,3,0)*VLOOKUP('Données projet'!$B$9,Paramètres!$A$1:$I$89,5,0)</f>
        <v>249.06700000000004</v>
      </c>
      <c r="P65" s="14">
        <f t="shared" si="33"/>
        <v>60.386109489804014</v>
      </c>
      <c r="Q65" s="22">
        <f t="shared" si="53"/>
        <v>538.96416569474195</v>
      </c>
      <c r="R65" s="62">
        <f t="shared" si="0"/>
        <v>832.29749902807521</v>
      </c>
      <c r="S65" s="62">
        <f ca="1">AVERAGE(OFFSET($R$3,0,0,'Données projet'!$E$9+1,1))-AVERAGE(OFFSET($H$3,0,0,'Données projet'!$E$9+1,1))</f>
        <v>362.81292020448933</v>
      </c>
      <c r="T65" s="62">
        <f t="shared" si="34"/>
        <v>292.26503163353146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2.6808932577033495</v>
      </c>
      <c r="AA65" s="23">
        <f>EXP(-LN(2)/25)*AA64+(1-EXP(-LN(2)/25))/(LN(2)/25)*Calculateur!V65*Calculateur!X65*VLOOKUP('Données projet'!$B$9,Paramètres!$A$1:$I$89,3,0)*0.475*44/12</f>
        <v>4.7497758382437398</v>
      </c>
      <c r="AB65" s="23">
        <f>EXP(-LN(2)/2)*AB64+(1-EXP(-LN(2)/2))/(LN(2)/2)*V65*Y65*VLOOKUP('Données projet'!$B$9,Paramètres!$A$1:$I$89,3,0)*0.475*44/12</f>
        <v>1.1579123004287432E-3</v>
      </c>
      <c r="AC65" s="24">
        <f t="shared" si="3"/>
        <v>7.4318270082475184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7.5</v>
      </c>
      <c r="AI65" s="14">
        <f>IF('Données projet'!$A$62&gt;35,AI64+AH65-AQ64,IF(A65&lt;'Données projet'!$A$62,$AF$205^A65,IF(A65='Données projet'!$A$62,'Données projet'!$B$62,AI64+AH65-AQ64)))</f>
        <v>285</v>
      </c>
      <c r="AJ65" s="14">
        <f>AI65*VLOOKUP('Données projet'!$B$10,Paramètres!$A$1:$I$89,3,0)*VLOOKUP('Données projet'!$B$10,Paramètres!$A$1:$I$89,5,0)</f>
        <v>133.38</v>
      </c>
      <c r="AK65" s="14">
        <f t="shared" si="35"/>
        <v>34.776207535548991</v>
      </c>
      <c r="AL65" s="22">
        <f t="shared" si="4"/>
        <v>292.8720614577478</v>
      </c>
      <c r="AM65" s="62">
        <f t="shared" si="5"/>
        <v>586.20539479108106</v>
      </c>
      <c r="AN65" s="62">
        <f ca="1">AVERAGE(OFFSET($AM$3,0,0,'Données projet'!$E$10+1,1))-AVERAGE(OFFSET($H$3,0,0,'Données projet'!$E$10+1,1))</f>
        <v>259.74478933784656</v>
      </c>
      <c r="AO65" s="62">
        <f t="shared" si="36"/>
        <v>223.74038909289646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16.625</v>
      </c>
      <c r="N66" s="14">
        <f>IF('Données projet'!$A$36&gt;35,N65+M66-V65,IF(A66&lt;'Données projet'!$A$36,$K$205^A66,IF(A66='Données projet'!$A$36,'Données projet'!$B$36,N65+M66-V65)))</f>
        <v>433.12500000000006</v>
      </c>
      <c r="O66" s="14">
        <f>N66*VLOOKUP('Données projet'!$B$9,Paramètres!$A$1:$I$89,3,0)*VLOOKUP('Données projet'!$B$9,Paramètres!$A$1:$I$89,5,0)</f>
        <v>259.00875000000008</v>
      </c>
      <c r="P66" s="14">
        <f t="shared" si="33"/>
        <v>62.511036563235727</v>
      </c>
      <c r="Q66" s="22">
        <f t="shared" si="53"/>
        <v>559.98029493096897</v>
      </c>
      <c r="R66" s="62">
        <f t="shared" si="0"/>
        <v>853.31362826430222</v>
      </c>
      <c r="S66" s="62">
        <f ca="1">AVERAGE(OFFSET($R$3,0,0,'Données projet'!$E$9+1,1))-AVERAGE(OFFSET($H$3,0,0,'Données projet'!$E$9+1,1))</f>
        <v>362.81292020448933</v>
      </c>
      <c r="T66" s="62">
        <f t="shared" si="34"/>
        <v>292.26503163353146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2.628322576103213</v>
      </c>
      <c r="AA66" s="23">
        <f>EXP(-LN(2)/25)*AA65+(1-EXP(-LN(2)/25))/(LN(2)/25)*Calculateur!V66*Calculateur!X66*VLOOKUP('Données projet'!$B$9,Paramètres!$A$1:$I$89,3,0)*0.475*44/12</f>
        <v>4.6198929681671093</v>
      </c>
      <c r="AB66" s="23">
        <f>EXP(-LN(2)/2)*AB65+(1-EXP(-LN(2)/2))/(LN(2)/2)*V66*Y66*VLOOKUP('Données projet'!$B$9,Paramètres!$A$1:$I$89,3,0)*0.475*44/12</f>
        <v>8.1876763965247918E-4</v>
      </c>
      <c r="AC66" s="24">
        <f t="shared" si="3"/>
        <v>7.2490343119099743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7.5</v>
      </c>
      <c r="AI66" s="14">
        <f>IF('Données projet'!$A$62&gt;35,AI65+AH66-AQ65,IF(A66&lt;'Données projet'!$A$62,$AF$205^A66,IF(A66='Données projet'!$A$62,'Données projet'!$B$62,AI65+AH66-AQ65)))</f>
        <v>292.5</v>
      </c>
      <c r="AJ66" s="14">
        <f>AI66*VLOOKUP('Données projet'!$B$10,Paramètres!$A$1:$I$89,3,0)*VLOOKUP('Données projet'!$B$10,Paramètres!$A$1:$I$89,5,0)</f>
        <v>136.89000000000001</v>
      </c>
      <c r="AK66" s="14">
        <f t="shared" si="35"/>
        <v>35.583619346017713</v>
      </c>
      <c r="AL66" s="22">
        <f t="shared" si="4"/>
        <v>300.39155369431421</v>
      </c>
      <c r="AM66" s="62">
        <f t="shared" si="5"/>
        <v>593.72488702764758</v>
      </c>
      <c r="AN66" s="62">
        <f ca="1">AVERAGE(OFFSET($AM$3,0,0,'Données projet'!$E$10+1,1))-AVERAGE(OFFSET($H$3,0,0,'Données projet'!$E$10+1,1))</f>
        <v>259.74478933784656</v>
      </c>
      <c r="AO66" s="62">
        <f t="shared" si="36"/>
        <v>223.74038909289646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16.625</v>
      </c>
      <c r="N67" s="14">
        <f>IF('Données projet'!$A$36&gt;35,N66+M67-V66,IF(A67&lt;'Données projet'!$A$36,$K$205^A67,IF(A67='Données projet'!$A$36,'Données projet'!$B$36,N66+M67-V66)))</f>
        <v>449.75000000000006</v>
      </c>
      <c r="O67" s="14">
        <f>N67*VLOOKUP('Données projet'!$B$9,Paramètres!$A$1:$I$89,3,0)*VLOOKUP('Données projet'!$B$9,Paramètres!$A$1:$I$89,5,0)</f>
        <v>268.95050000000009</v>
      </c>
      <c r="P67" s="14">
        <f t="shared" si="33"/>
        <v>64.626488439895155</v>
      </c>
      <c r="Q67" s="22">
        <f t="shared" ref="Q67:Q98" si="54">(O67+P67)*0.475*44/12</f>
        <v>580.97992153281746</v>
      </c>
      <c r="R67" s="62">
        <f t="shared" ref="R67:R130" si="55">Q67+(I67+J67)*44/12</f>
        <v>874.31325486615083</v>
      </c>
      <c r="S67" s="62">
        <f ca="1">AVERAGE(OFFSET($R$3,0,0,'Données projet'!$E$9+1,1))-AVERAGE(OFFSET($H$3,0,0,'Données projet'!$E$9+1,1))</f>
        <v>362.81292020448933</v>
      </c>
      <c r="T67" s="62">
        <f t="shared" si="34"/>
        <v>292.26503163353146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2.5767827735043056</v>
      </c>
      <c r="AA67" s="23">
        <f>EXP(-LN(2)/25)*AA66+(1-EXP(-LN(2)/25))/(LN(2)/25)*Calculateur!V67*Calculateur!X67*VLOOKUP('Données projet'!$B$9,Paramètres!$A$1:$I$89,3,0)*0.475*44/12</f>
        <v>4.4935617520029671</v>
      </c>
      <c r="AB67" s="23">
        <f>EXP(-LN(2)/2)*AB66+(1-EXP(-LN(2)/2))/(LN(2)/2)*V67*Y67*VLOOKUP('Données projet'!$B$9,Paramètres!$A$1:$I$89,3,0)*0.475*44/12</f>
        <v>5.7895615021437159E-4</v>
      </c>
      <c r="AC67" s="24">
        <f t="shared" si="3"/>
        <v>7.0709234816574869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7.5</v>
      </c>
      <c r="AI67" s="14">
        <f>IF('Données projet'!$A$62&gt;35,AI66+AH67-AQ66,IF(A67&lt;'Données projet'!$A$62,$AF$205^A67,IF(A67='Données projet'!$A$62,'Données projet'!$B$62,AI66+AH67-AQ66)))</f>
        <v>300</v>
      </c>
      <c r="AJ67" s="14">
        <f>AI67*VLOOKUP('Données projet'!$B$10,Paramètres!$A$1:$I$89,3,0)*VLOOKUP('Données projet'!$B$10,Paramètres!$A$1:$I$89,5,0)</f>
        <v>140.4</v>
      </c>
      <c r="AK67" s="14">
        <f t="shared" si="35"/>
        <v>36.388624656711201</v>
      </c>
      <c r="AL67" s="22">
        <f t="shared" si="4"/>
        <v>307.90685461043864</v>
      </c>
      <c r="AM67" s="62">
        <f t="shared" si="5"/>
        <v>601.24018794377196</v>
      </c>
      <c r="AN67" s="62">
        <f ca="1">AVERAGE(OFFSET($AM$3,0,0,'Données projet'!$E$10+1,1))-AVERAGE(OFFSET($H$3,0,0,'Données projet'!$E$10+1,1))</f>
        <v>259.74478933784656</v>
      </c>
      <c r="AO67" s="62">
        <f t="shared" si="36"/>
        <v>223.74038909289646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16.625</v>
      </c>
      <c r="N68" s="14">
        <f>IF('Données projet'!$A$36&gt;35,N67+M68-V67,IF(A68&lt;'Données projet'!$A$36,$K$205^A68,IF(A68='Données projet'!$A$36,'Données projet'!$B$36,N67+M68-V67)))</f>
        <v>466.37500000000006</v>
      </c>
      <c r="O68" s="14">
        <f>N68*VLOOKUP('Données projet'!$B$9,Paramètres!$A$1:$I$89,3,0)*VLOOKUP('Données projet'!$B$9,Paramètres!$A$1:$I$89,5,0)</f>
        <v>278.89225000000005</v>
      </c>
      <c r="P68" s="14">
        <f t="shared" si="33"/>
        <v>66.732855480271084</v>
      </c>
      <c r="Q68" s="22">
        <f t="shared" si="54"/>
        <v>601.96372537813886</v>
      </c>
      <c r="R68" s="62">
        <f t="shared" si="55"/>
        <v>895.29705871147212</v>
      </c>
      <c r="S68" s="62">
        <f ca="1">AVERAGE(OFFSET($R$3,0,0,'Données projet'!$E$9+1,1))-AVERAGE(OFFSET($H$3,0,0,'Données projet'!$E$9+1,1))</f>
        <v>362.81292020448933</v>
      </c>
      <c r="T68" s="62">
        <f t="shared" si="34"/>
        <v>292.26503163353146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2.5262536349981874</v>
      </c>
      <c r="AA68" s="23">
        <f>EXP(-LN(2)/25)*AA67+(1-EXP(-LN(2)/25))/(LN(2)/25)*Calculateur!V68*Calculateur!X68*VLOOKUP('Données projet'!$B$9,Paramètres!$A$1:$I$89,3,0)*0.475*44/12</f>
        <v>4.3706850695883039</v>
      </c>
      <c r="AB68" s="23">
        <f>EXP(-LN(2)/2)*AB67+(1-EXP(-LN(2)/2))/(LN(2)/2)*V68*Y68*VLOOKUP('Données projet'!$B$9,Paramètres!$A$1:$I$89,3,0)*0.475*44/12</f>
        <v>4.0938381982623959E-4</v>
      </c>
      <c r="AC68" s="24">
        <f t="shared" ref="AC68:AC131" si="57">SUM(Z68:AB68)</f>
        <v>6.897348088406317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7.5</v>
      </c>
      <c r="AI68" s="14">
        <f>IF('Données projet'!$A$62&gt;35,AI67+AH68-AQ67,IF(A68&lt;'Données projet'!$A$62,$AF$205^A68,IF(A68='Données projet'!$A$62,'Données projet'!$B$62,AI67+AH68-AQ67)))</f>
        <v>307.5</v>
      </c>
      <c r="AJ68" s="14">
        <f>AI68*VLOOKUP('Données projet'!$B$10,Paramètres!$A$1:$I$89,3,0)*VLOOKUP('Données projet'!$B$10,Paramètres!$A$1:$I$89,5,0)</f>
        <v>143.91</v>
      </c>
      <c r="AK68" s="14">
        <f t="shared" si="35"/>
        <v>37.191290549543432</v>
      </c>
      <c r="AL68" s="22">
        <f t="shared" ref="AL68:AL131" si="58">(AJ68+AK68)*0.475*44/12</f>
        <v>315.41808104045475</v>
      </c>
      <c r="AM68" s="62">
        <f t="shared" ref="AM68:AM131" si="59">AL68+(AD68+AE68)*44/12</f>
        <v>608.75141437378807</v>
      </c>
      <c r="AN68" s="62">
        <f ca="1">AVERAGE(OFFSET($AM$3,0,0,'Données projet'!$E$10+1,1))-AVERAGE(OFFSET($H$3,0,0,'Données projet'!$E$10+1,1))</f>
        <v>259.74478933784656</v>
      </c>
      <c r="AO68" s="62">
        <f t="shared" si="36"/>
        <v>223.74038909289646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>
        <f>VLOOKUP(A69,'Données projet'!$A$35:$I$55,2,0)</f>
        <v>483</v>
      </c>
      <c r="L69" s="13">
        <f>VLOOKUP(A69,'Données projet'!$A$35:$I$55,9,0)</f>
        <v>16.625</v>
      </c>
      <c r="M69" s="13">
        <f t="array" ref="M69">INDEX(L:L,MIN(IF(ISNUMBER(L69:L265),ROW(L69:L265),"")))</f>
        <v>16.625</v>
      </c>
      <c r="N69" s="14">
        <f>IF('Données projet'!$A$36&gt;35,N68+M69-V68,IF(A69&lt;'Données projet'!$A$36,$K$205^A69,IF(A69='Données projet'!$A$36,'Données projet'!$B$36,N68+M69-V68)))</f>
        <v>483.00000000000006</v>
      </c>
      <c r="O69" s="14">
        <f>N69*VLOOKUP('Données projet'!$B$9,Paramètres!$A$1:$I$89,3,0)*VLOOKUP('Données projet'!$B$9,Paramètres!$A$1:$I$89,5,0)</f>
        <v>288.83400000000006</v>
      </c>
      <c r="P69" s="14">
        <f t="shared" ref="P69:P132" si="87">EXP(-1.0587+0.8836*LN(O69)+0.284)</f>
        <v>68.830498636563377</v>
      </c>
      <c r="Q69" s="22">
        <f t="shared" si="54"/>
        <v>622.932335125348</v>
      </c>
      <c r="R69" s="62">
        <f t="shared" si="55"/>
        <v>916.26566845868138</v>
      </c>
      <c r="S69" s="62">
        <f ca="1">AVERAGE(OFFSET($R$3,0,0,'Données projet'!$E$9+1,1))-AVERAGE(OFFSET($H$3,0,0,'Données projet'!$E$9+1,1))</f>
        <v>362.81292020448933</v>
      </c>
      <c r="T69" s="62">
        <f t="shared" ref="T69:T132" si="88">$T$3</f>
        <v>292.26503163353146</v>
      </c>
      <c r="U69" s="16">
        <f>IF(ISNA(VLOOKUP(A69,'Données projet'!$A$35:$I$55,3,0)),0,VLOOKUP(A69,'Données projet'!$A$35:$I$55,3,0))</f>
        <v>9</v>
      </c>
      <c r="V69" s="16">
        <f>IF(ISNA(VLOOKUP(A69,'Données projet'!$A$35:$I$55,4,0)),0,VLOOKUP(A69,'Données projet'!$A$35:$I$55,4,0))</f>
        <v>65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2.4767153420784429</v>
      </c>
      <c r="AA69" s="23">
        <f>EXP(-LN(2)/25)*AA68+(1-EXP(-LN(2)/25))/(LN(2)/25)*Calculateur!V69*Calculateur!X69*VLOOKUP('Données projet'!$B$9,Paramètres!$A$1:$I$89,3,0)*0.475*44/12</f>
        <v>4.2511684565160737</v>
      </c>
      <c r="AB69" s="23">
        <f>EXP(-LN(2)/2)*AB68+(1-EXP(-LN(2)/2))/(LN(2)/2)*V69*Y69*VLOOKUP('Données projet'!$B$9,Paramètres!$A$1:$I$89,3,0)*0.475*44/12</f>
        <v>2.8947807510718579E-4</v>
      </c>
      <c r="AC69" s="24">
        <f t="shared" si="57"/>
        <v>6.7281732766696241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7.5</v>
      </c>
      <c r="AI69" s="14">
        <f>IF('Données projet'!$A$62&gt;35,AI68+AH69-AQ68,IF(A69&lt;'Données projet'!$A$62,$AF$205^A69,IF(A69='Données projet'!$A$62,'Données projet'!$B$62,AI68+AH69-AQ68)))</f>
        <v>315</v>
      </c>
      <c r="AJ69" s="14">
        <f>AI69*VLOOKUP('Données projet'!$B$10,Paramètres!$A$1:$I$89,3,0)*VLOOKUP('Données projet'!$B$10,Paramètres!$A$1:$I$89,5,0)</f>
        <v>147.41999999999999</v>
      </c>
      <c r="AK69" s="14">
        <f t="shared" ref="AK69:AK132" si="89">EXP(-1.0587+0.8836*LN(AJ69)+0.284)</f>
        <v>37.991680647570291</v>
      </c>
      <c r="AL69" s="22">
        <f t="shared" si="58"/>
        <v>322.92534379451826</v>
      </c>
      <c r="AM69" s="62">
        <f t="shared" si="59"/>
        <v>616.25867712785157</v>
      </c>
      <c r="AN69" s="62">
        <f ca="1">AVERAGE(OFFSET($AM$3,0,0,'Données projet'!$E$10+1,1))-AVERAGE(OFFSET($H$3,0,0,'Données projet'!$E$10+1,1))</f>
        <v>259.74478933784656</v>
      </c>
      <c r="AO69" s="62">
        <f t="shared" ref="AO69:AO132" si="90">$AO$3</f>
        <v>223.74038909289646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12.875</v>
      </c>
      <c r="N70" s="14">
        <f>IF('Données projet'!$A$36&gt;35,N69+M70-V69,IF(A70&lt;'Données projet'!$A$36,$K$205^A70,IF(A70='Données projet'!$A$36,'Données projet'!$B$36,N69+M70-V69)))</f>
        <v>430.87500000000006</v>
      </c>
      <c r="O70" s="14">
        <f>N70*VLOOKUP('Données projet'!$B$9,Paramètres!$A$1:$I$89,3,0)*VLOOKUP('Données projet'!$B$9,Paramètres!$A$1:$I$89,5,0)</f>
        <v>257.66325000000006</v>
      </c>
      <c r="P70" s="14">
        <f t="shared" si="87"/>
        <v>62.224015868041043</v>
      </c>
      <c r="Q70" s="22">
        <f t="shared" si="54"/>
        <v>557.13698805350487</v>
      </c>
      <c r="R70" s="62">
        <f t="shared" si="55"/>
        <v>850.47032138683812</v>
      </c>
      <c r="S70" s="62">
        <f ca="1">AVERAGE(OFFSET($R$3,0,0,'Données projet'!$E$9+1,1))-AVERAGE(OFFSET($H$3,0,0,'Données projet'!$E$9+1,1))</f>
        <v>362.81292020448933</v>
      </c>
      <c r="T70" s="62">
        <f t="shared" si="88"/>
        <v>292.26503163353146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2.4281484648674794</v>
      </c>
      <c r="AA70" s="23">
        <f>EXP(-LN(2)/25)*AA69+(1-EXP(-LN(2)/25))/(LN(2)/25)*Calculateur!V70*Calculateur!X70*VLOOKUP('Données projet'!$B$9,Paramètres!$A$1:$I$89,3,0)*0.475*44/12</f>
        <v>4.1349200315134089</v>
      </c>
      <c r="AB70" s="23">
        <f>EXP(-LN(2)/2)*AB69+(1-EXP(-LN(2)/2))/(LN(2)/2)*V70*Y70*VLOOKUP('Données projet'!$B$9,Paramètres!$A$1:$I$89,3,0)*0.475*44/12</f>
        <v>2.046919099131198E-4</v>
      </c>
      <c r="AC70" s="24">
        <f t="shared" si="57"/>
        <v>6.5632731882908013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7.5</v>
      </c>
      <c r="AI70" s="14">
        <f>IF('Données projet'!$A$62&gt;35,AI69+AH70-AQ69,IF(A70&lt;'Données projet'!$A$62,$AF$205^A70,IF(A70='Données projet'!$A$62,'Données projet'!$B$62,AI69+AH70-AQ69)))</f>
        <v>322.5</v>
      </c>
      <c r="AJ70" s="14">
        <f>AI70*VLOOKUP('Données projet'!$B$10,Paramètres!$A$1:$I$89,3,0)*VLOOKUP('Données projet'!$B$10,Paramètres!$A$1:$I$89,5,0)</f>
        <v>150.93</v>
      </c>
      <c r="AK70" s="14">
        <f t="shared" si="89"/>
        <v>38.789855371379076</v>
      </c>
      <c r="AL70" s="22">
        <f t="shared" si="58"/>
        <v>330.4287481051519</v>
      </c>
      <c r="AM70" s="62">
        <f t="shared" si="59"/>
        <v>623.76208143848521</v>
      </c>
      <c r="AN70" s="62">
        <f ca="1">AVERAGE(OFFSET($AM$3,0,0,'Données projet'!$E$10+1,1))-AVERAGE(OFFSET($H$3,0,0,'Données projet'!$E$10+1,1))</f>
        <v>259.74478933784656</v>
      </c>
      <c r="AO70" s="62">
        <f t="shared" si="90"/>
        <v>223.74038909289646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12.875</v>
      </c>
      <c r="N71" s="14">
        <f>IF('Données projet'!$A$36&gt;35,N70+M71-V70,IF(A71&lt;'Données projet'!$A$36,$K$205^A71,IF(A71='Données projet'!$A$36,'Données projet'!$B$36,N70+M71-V70)))</f>
        <v>443.75000000000006</v>
      </c>
      <c r="O71" s="14">
        <f>N71*VLOOKUP('Données projet'!$B$9,Paramètres!$A$1:$I$89,3,0)*VLOOKUP('Données projet'!$B$9,Paramètres!$A$1:$I$89,5,0)</f>
        <v>265.36250000000007</v>
      </c>
      <c r="P71" s="14">
        <f t="shared" si="87"/>
        <v>63.864084559847946</v>
      </c>
      <c r="Q71" s="22">
        <f t="shared" si="54"/>
        <v>573.40296810840198</v>
      </c>
      <c r="R71" s="62">
        <f t="shared" si="55"/>
        <v>866.73630144173535</v>
      </c>
      <c r="S71" s="62">
        <f ca="1">AVERAGE(OFFSET($R$3,0,0,'Données projet'!$E$9+1,1))-AVERAGE(OFFSET($H$3,0,0,'Données projet'!$E$9+1,1))</f>
        <v>362.81292020448933</v>
      </c>
      <c r="T71" s="62">
        <f t="shared" si="88"/>
        <v>292.26503163353146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2.3805339544957524</v>
      </c>
      <c r="AA71" s="23">
        <f>EXP(-LN(2)/25)*AA70+(1-EXP(-LN(2)/25))/(LN(2)/25)*Calculateur!V71*Calculateur!X71*VLOOKUP('Données projet'!$B$9,Paramètres!$A$1:$I$89,3,0)*0.475*44/12</f>
        <v>4.0218504258056811</v>
      </c>
      <c r="AB71" s="23">
        <f>EXP(-LN(2)/2)*AB70+(1-EXP(-LN(2)/2))/(LN(2)/2)*V71*Y71*VLOOKUP('Données projet'!$B$9,Paramètres!$A$1:$I$89,3,0)*0.475*44/12</f>
        <v>1.447390375535929E-4</v>
      </c>
      <c r="AC71" s="24">
        <f t="shared" si="57"/>
        <v>6.4025291193389871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7.5</v>
      </c>
      <c r="AI71" s="14">
        <f>IF('Données projet'!$A$62&gt;35,AI70+AH71-AQ70,IF(A71&lt;'Données projet'!$A$62,$AF$205^A71,IF(A71='Données projet'!$A$62,'Données projet'!$B$62,AI70+AH71-AQ70)))</f>
        <v>330</v>
      </c>
      <c r="AJ71" s="14">
        <f>AI71*VLOOKUP('Données projet'!$B$10,Paramètres!$A$1:$I$89,3,0)*VLOOKUP('Données projet'!$B$10,Paramètres!$A$1:$I$89,5,0)</f>
        <v>154.44</v>
      </c>
      <c r="AK71" s="14">
        <f t="shared" si="89"/>
        <v>39.58587217095549</v>
      </c>
      <c r="AL71" s="22">
        <f t="shared" si="58"/>
        <v>337.92839403108081</v>
      </c>
      <c r="AM71" s="62">
        <f t="shared" si="59"/>
        <v>631.26172736441413</v>
      </c>
      <c r="AN71" s="62">
        <f ca="1">AVERAGE(OFFSET($AM$3,0,0,'Données projet'!$E$10+1,1))-AVERAGE(OFFSET($H$3,0,0,'Données projet'!$E$10+1,1))</f>
        <v>259.74478933784656</v>
      </c>
      <c r="AO71" s="62">
        <f t="shared" si="90"/>
        <v>223.74038909289646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12.875</v>
      </c>
      <c r="N72" s="14">
        <f>IF('Données projet'!$A$36&gt;35,N71+M72-V71,IF(A72&lt;'Données projet'!$A$36,$K$205^A72,IF(A72='Données projet'!$A$36,'Données projet'!$B$36,N71+M72-V71)))</f>
        <v>456.62500000000006</v>
      </c>
      <c r="O72" s="14">
        <f>N72*VLOOKUP('Données projet'!$B$9,Paramètres!$A$1:$I$89,3,0)*VLOOKUP('Données projet'!$B$9,Paramètres!$A$1:$I$89,5,0)</f>
        <v>273.06175000000007</v>
      </c>
      <c r="P72" s="14">
        <f t="shared" si="87"/>
        <v>65.49862286970442</v>
      </c>
      <c r="Q72" s="22">
        <f t="shared" si="54"/>
        <v>589.65931608140193</v>
      </c>
      <c r="R72" s="62">
        <f t="shared" si="55"/>
        <v>882.9926494147353</v>
      </c>
      <c r="S72" s="62">
        <f ca="1">AVERAGE(OFFSET($R$3,0,0,'Données projet'!$E$9+1,1))-AVERAGE(OFFSET($H$3,0,0,'Données projet'!$E$9+1,1))</f>
        <v>362.81292020448933</v>
      </c>
      <c r="T72" s="62">
        <f t="shared" si="88"/>
        <v>292.26503163353146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2.3338531356304317</v>
      </c>
      <c r="AA72" s="23">
        <f>EXP(-LN(2)/25)*AA71+(1-EXP(-LN(2)/25))/(LN(2)/25)*Calculateur!V72*Calculateur!X72*VLOOKUP('Données projet'!$B$9,Paramètres!$A$1:$I$89,3,0)*0.475*44/12</f>
        <v>3.911872714412103</v>
      </c>
      <c r="AB72" s="23">
        <f>EXP(-LN(2)/2)*AB71+(1-EXP(-LN(2)/2))/(LN(2)/2)*V72*Y72*VLOOKUP('Données projet'!$B$9,Paramètres!$A$1:$I$89,3,0)*0.475*44/12</f>
        <v>1.023459549565599E-4</v>
      </c>
      <c r="AC72" s="24">
        <f t="shared" si="57"/>
        <v>6.2458281959974906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7.5</v>
      </c>
      <c r="AI72" s="14">
        <f>IF('Données projet'!$A$62&gt;35,AI71+AH72-AQ71,IF(A72&lt;'Données projet'!$A$62,$AF$205^A72,IF(A72='Données projet'!$A$62,'Données projet'!$B$62,AI71+AH72-AQ71)))</f>
        <v>337.5</v>
      </c>
      <c r="AJ72" s="14">
        <f>AI72*VLOOKUP('Données projet'!$B$10,Paramètres!$A$1:$I$89,3,0)*VLOOKUP('Données projet'!$B$10,Paramètres!$A$1:$I$89,5,0)</f>
        <v>157.95000000000002</v>
      </c>
      <c r="AK72" s="14">
        <f t="shared" si="89"/>
        <v>40.379785735878301</v>
      </c>
      <c r="AL72" s="22">
        <f t="shared" si="58"/>
        <v>345.42437682332138</v>
      </c>
      <c r="AM72" s="62">
        <f t="shared" si="59"/>
        <v>638.75771015665464</v>
      </c>
      <c r="AN72" s="62">
        <f ca="1">AVERAGE(OFFSET($AM$3,0,0,'Données projet'!$E$10+1,1))-AVERAGE(OFFSET($H$3,0,0,'Données projet'!$E$10+1,1))</f>
        <v>259.74478933784656</v>
      </c>
      <c r="AO72" s="62">
        <f t="shared" si="90"/>
        <v>223.74038909289646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12.875</v>
      </c>
      <c r="N73" s="14">
        <f>IF('Données projet'!$A$36&gt;35,N72+M73-V72,IF(A73&lt;'Données projet'!$A$36,$K$205^A73,IF(A73='Données projet'!$A$36,'Données projet'!$B$36,N72+M73-V72)))</f>
        <v>469.50000000000006</v>
      </c>
      <c r="O73" s="14">
        <f>N73*VLOOKUP('Données projet'!$B$9,Paramètres!$A$1:$I$89,3,0)*VLOOKUP('Données projet'!$B$9,Paramètres!$A$1:$I$89,5,0)</f>
        <v>280.76100000000002</v>
      </c>
      <c r="P73" s="14">
        <f t="shared" si="87"/>
        <v>67.12780464438184</v>
      </c>
      <c r="Q73" s="22">
        <f t="shared" si="54"/>
        <v>605.90633475563175</v>
      </c>
      <c r="R73" s="62">
        <f t="shared" si="55"/>
        <v>899.23966808896512</v>
      </c>
      <c r="S73" s="62">
        <f ca="1">AVERAGE(OFFSET($R$3,0,0,'Données projet'!$E$9+1,1))-AVERAGE(OFFSET($H$3,0,0,'Données projet'!$E$9+1,1))</f>
        <v>362.81292020448933</v>
      </c>
      <c r="T73" s="62">
        <f t="shared" si="88"/>
        <v>292.26503163353146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2.2880876991505716</v>
      </c>
      <c r="AA73" s="23">
        <f>EXP(-LN(2)/25)*AA72+(1-EXP(-LN(2)/25))/(LN(2)/25)*Calculateur!V73*Calculateur!X73*VLOOKUP('Données projet'!$B$9,Paramètres!$A$1:$I$89,3,0)*0.475*44/12</f>
        <v>3.8049023493200589</v>
      </c>
      <c r="AB73" s="23">
        <f>EXP(-LN(2)/2)*AB72+(1-EXP(-LN(2)/2))/(LN(2)/2)*V73*Y73*VLOOKUP('Données projet'!$B$9,Paramètres!$A$1:$I$89,3,0)*0.475*44/12</f>
        <v>7.2369518776796448E-5</v>
      </c>
      <c r="AC73" s="24">
        <f t="shared" si="57"/>
        <v>6.0930624179894073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345</v>
      </c>
      <c r="AG73" s="13">
        <f>VLOOKUP(A73,'Données projet'!$A$61:$I$81,9,0)</f>
        <v>7.5</v>
      </c>
      <c r="AH73" s="13">
        <f t="array" ref="AH73">INDEX(AG:AG,MIN(IF(ISNUMBER(AG73:AG269),ROW(AG73:AG269),"")))</f>
        <v>7.5</v>
      </c>
      <c r="AI73" s="14">
        <f>IF('Données projet'!$A$62&gt;35,AI72+AH73-AQ72,IF(A73&lt;'Données projet'!$A$62,$AF$205^A73,IF(A73='Données projet'!$A$62,'Données projet'!$B$62,AI72+AH73-AQ72)))</f>
        <v>345</v>
      </c>
      <c r="AJ73" s="14">
        <f>AI73*VLOOKUP('Données projet'!$B$10,Paramètres!$A$1:$I$89,3,0)*VLOOKUP('Données projet'!$B$10,Paramètres!$A$1:$I$89,5,0)</f>
        <v>161.45999999999998</v>
      </c>
      <c r="AK73" s="14">
        <f t="shared" si="89"/>
        <v>41.171648186302534</v>
      </c>
      <c r="AL73" s="22">
        <f t="shared" si="58"/>
        <v>352.9167872578102</v>
      </c>
      <c r="AM73" s="62">
        <f t="shared" si="59"/>
        <v>646.25012059114351</v>
      </c>
      <c r="AN73" s="62">
        <f ca="1">AVERAGE(OFFSET($AM$3,0,0,'Données projet'!$E$10+1,1))-AVERAGE(OFFSET($H$3,0,0,'Données projet'!$E$10+1,1))</f>
        <v>259.74478933784656</v>
      </c>
      <c r="AO73" s="62">
        <f t="shared" si="90"/>
        <v>223.74038909289646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69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12.875</v>
      </c>
      <c r="N74" s="14">
        <f>IF('Données projet'!$A$36&gt;35,N73+M74-V73,IF(A74&lt;'Données projet'!$A$36,$K$205^A74,IF(A74='Données projet'!$A$36,'Données projet'!$B$36,N73+M74-V73)))</f>
        <v>482.37500000000006</v>
      </c>
      <c r="O74" s="14">
        <f>N74*VLOOKUP('Données projet'!$B$9,Paramètres!$A$1:$I$89,3,0)*VLOOKUP('Données projet'!$B$9,Paramètres!$A$1:$I$89,5,0)</f>
        <v>288.46025000000009</v>
      </c>
      <c r="P74" s="14">
        <f t="shared" si="87"/>
        <v>68.75179365327233</v>
      </c>
      <c r="Q74" s="22">
        <f t="shared" si="54"/>
        <v>622.14430936278279</v>
      </c>
      <c r="R74" s="62">
        <f t="shared" si="55"/>
        <v>915.47764269611616</v>
      </c>
      <c r="S74" s="62">
        <f ca="1">AVERAGE(OFFSET($R$3,0,0,'Données projet'!$E$9+1,1))-AVERAGE(OFFSET($H$3,0,0,'Données projet'!$E$9+1,1))</f>
        <v>362.81292020448933</v>
      </c>
      <c r="T74" s="62">
        <f t="shared" si="88"/>
        <v>292.26503163353146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2.243219694965922</v>
      </c>
      <c r="AA74" s="23">
        <f>EXP(-LN(2)/25)*AA73+(1-EXP(-LN(2)/25))/(LN(2)/25)*Calculateur!V74*Calculateur!X74*VLOOKUP('Données projet'!$B$9,Paramètres!$A$1:$I$89,3,0)*0.475*44/12</f>
        <v>3.7008570944867833</v>
      </c>
      <c r="AB74" s="23">
        <f>EXP(-LN(2)/2)*AB73+(1-EXP(-LN(2)/2))/(LN(2)/2)*V74*Y74*VLOOKUP('Données projet'!$B$9,Paramètres!$A$1:$I$89,3,0)*0.475*44/12</f>
        <v>5.1172977478279949E-5</v>
      </c>
      <c r="AC74" s="24">
        <f t="shared" si="57"/>
        <v>5.9441279624301835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7.7</v>
      </c>
      <c r="AI74" s="14">
        <f>IF('Données projet'!$A$62&gt;35,AI73+AH74-AQ73,IF(A74&lt;'Données projet'!$A$62,$AF$205^A74,IF(A74='Données projet'!$A$62,'Données projet'!$B$62,AI73+AH74-AQ73)))</f>
        <v>283.7</v>
      </c>
      <c r="AJ74" s="14">
        <f>AI74*VLOOKUP('Données projet'!$B$10,Paramètres!$A$1:$I$89,3,0)*VLOOKUP('Données projet'!$B$10,Paramètres!$A$1:$I$89,5,0)</f>
        <v>132.77160000000001</v>
      </c>
      <c r="AK74" s="14">
        <f t="shared" si="89"/>
        <v>34.63600628318656</v>
      </c>
      <c r="AL74" s="22">
        <f t="shared" si="58"/>
        <v>291.56824760988326</v>
      </c>
      <c r="AM74" s="62">
        <f t="shared" si="59"/>
        <v>584.90158094321657</v>
      </c>
      <c r="AN74" s="62">
        <f ca="1">AVERAGE(OFFSET($AM$3,0,0,'Données projet'!$E$10+1,1))-AVERAGE(OFFSET($H$3,0,0,'Données projet'!$E$10+1,1))</f>
        <v>259.74478933784656</v>
      </c>
      <c r="AO74" s="62">
        <f t="shared" si="90"/>
        <v>223.74038909289646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12.875</v>
      </c>
      <c r="N75" s="14">
        <f>IF('Données projet'!$A$36&gt;35,N74+M75-V74,IF(A75&lt;'Données projet'!$A$36,$K$205^A75,IF(A75='Données projet'!$A$36,'Données projet'!$B$36,N74+M75-V74)))</f>
        <v>495.25000000000006</v>
      </c>
      <c r="O75" s="14">
        <f>N75*VLOOKUP('Données projet'!$B$9,Paramètres!$A$1:$I$89,3,0)*VLOOKUP('Données projet'!$B$9,Paramètres!$A$1:$I$89,5,0)</f>
        <v>296.15950000000004</v>
      </c>
      <c r="P75" s="14">
        <f t="shared" si="87"/>
        <v>70.370744425720076</v>
      </c>
      <c r="Q75" s="22">
        <f t="shared" si="54"/>
        <v>638.37350904146251</v>
      </c>
      <c r="R75" s="62">
        <f t="shared" si="55"/>
        <v>931.70684237479577</v>
      </c>
      <c r="S75" s="62">
        <f ca="1">AVERAGE(OFFSET($R$3,0,0,'Données projet'!$E$9+1,1))-AVERAGE(OFFSET($H$3,0,0,'Données projet'!$E$9+1,1))</f>
        <v>362.81292020448933</v>
      </c>
      <c r="T75" s="62">
        <f t="shared" si="88"/>
        <v>292.26503163353146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2.1992315249765526</v>
      </c>
      <c r="AA75" s="23">
        <f>EXP(-LN(2)/25)*AA74+(1-EXP(-LN(2)/25))/(LN(2)/25)*Calculateur!V75*Calculateur!X75*VLOOKUP('Données projet'!$B$9,Paramètres!$A$1:$I$89,3,0)*0.475*44/12</f>
        <v>3.5996569626184263</v>
      </c>
      <c r="AB75" s="23">
        <f>EXP(-LN(2)/2)*AB74+(1-EXP(-LN(2)/2))/(LN(2)/2)*V75*Y75*VLOOKUP('Données projet'!$B$9,Paramètres!$A$1:$I$89,3,0)*0.475*44/12</f>
        <v>3.6184759388398224E-5</v>
      </c>
      <c r="AC75" s="24">
        <f t="shared" si="57"/>
        <v>5.7989246723543681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7.7</v>
      </c>
      <c r="AI75" s="14">
        <f>IF('Données projet'!$A$62&gt;35,AI74+AH75-AQ74,IF(A75&lt;'Données projet'!$A$62,$AF$205^A75,IF(A75='Données projet'!$A$62,'Données projet'!$B$62,AI74+AH75-AQ74)))</f>
        <v>291.39999999999998</v>
      </c>
      <c r="AJ75" s="14">
        <f>AI75*VLOOKUP('Données projet'!$B$10,Paramètres!$A$1:$I$89,3,0)*VLOOKUP('Données projet'!$B$10,Paramètres!$A$1:$I$89,5,0)</f>
        <v>136.37519999999998</v>
      </c>
      <c r="AK75" s="14">
        <f t="shared" si="89"/>
        <v>35.465351191683979</v>
      </c>
      <c r="AL75" s="22">
        <f t="shared" si="58"/>
        <v>299.28895999218292</v>
      </c>
      <c r="AM75" s="62">
        <f t="shared" si="59"/>
        <v>592.62229332551624</v>
      </c>
      <c r="AN75" s="62">
        <f ca="1">AVERAGE(OFFSET($AM$3,0,0,'Données projet'!$E$10+1,1))-AVERAGE(OFFSET($H$3,0,0,'Données projet'!$E$10+1,1))</f>
        <v>259.74478933784656</v>
      </c>
      <c r="AO75" s="62">
        <f t="shared" si="90"/>
        <v>223.74038909289646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12.875</v>
      </c>
      <c r="N76" s="14">
        <f>IF('Données projet'!$A$36&gt;35,N75+M76-V75,IF(A76&lt;'Données projet'!$A$36,$K$205^A76,IF(A76='Données projet'!$A$36,'Données projet'!$B$36,N75+M76-V75)))</f>
        <v>508.12500000000006</v>
      </c>
      <c r="O76" s="14">
        <f>N76*VLOOKUP('Données projet'!$B$9,Paramètres!$A$1:$I$89,3,0)*VLOOKUP('Données projet'!$B$9,Paramètres!$A$1:$I$89,5,0)</f>
        <v>303.85875000000004</v>
      </c>
      <c r="P76" s="14">
        <f t="shared" si="87"/>
        <v>71.984802998830631</v>
      </c>
      <c r="Q76" s="22">
        <f t="shared" si="54"/>
        <v>654.59418813963009</v>
      </c>
      <c r="R76" s="62">
        <f t="shared" si="55"/>
        <v>947.92752147296346</v>
      </c>
      <c r="S76" s="62">
        <f ca="1">AVERAGE(OFFSET($R$3,0,0,'Données projet'!$E$9+1,1))-AVERAGE(OFFSET($H$3,0,0,'Données projet'!$E$9+1,1))</f>
        <v>362.81292020448933</v>
      </c>
      <c r="T76" s="62">
        <f t="shared" si="88"/>
        <v>292.26503163353146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2.1561059361705404</v>
      </c>
      <c r="AA76" s="23">
        <f>EXP(-LN(2)/25)*AA75+(1-EXP(-LN(2)/25))/(LN(2)/25)*Calculateur!V76*Calculateur!X76*VLOOKUP('Données projet'!$B$9,Paramètres!$A$1:$I$89,3,0)*0.475*44/12</f>
        <v>3.5012241536778927</v>
      </c>
      <c r="AB76" s="23">
        <f>EXP(-LN(2)/2)*AB75+(1-EXP(-LN(2)/2))/(LN(2)/2)*V76*Y76*VLOOKUP('Données projet'!$B$9,Paramètres!$A$1:$I$89,3,0)*0.475*44/12</f>
        <v>2.5586488739139974E-5</v>
      </c>
      <c r="AC76" s="24">
        <f t="shared" si="57"/>
        <v>5.657355676337172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7.7</v>
      </c>
      <c r="AI76" s="14">
        <f>IF('Données projet'!$A$62&gt;35,AI75+AH76-AQ75,IF(A76&lt;'Données projet'!$A$62,$AF$205^A76,IF(A76='Données projet'!$A$62,'Données projet'!$B$62,AI75+AH76-AQ75)))</f>
        <v>299.09999999999997</v>
      </c>
      <c r="AJ76" s="14">
        <f>AI76*VLOOKUP('Données projet'!$B$10,Paramètres!$A$1:$I$89,3,0)*VLOOKUP('Données projet'!$B$10,Paramètres!$A$1:$I$89,5,0)</f>
        <v>139.97879999999998</v>
      </c>
      <c r="AK76" s="14">
        <f t="shared" si="89"/>
        <v>36.292148829903653</v>
      </c>
      <c r="AL76" s="22">
        <f t="shared" si="58"/>
        <v>307.00523587874881</v>
      </c>
      <c r="AM76" s="62">
        <f t="shared" si="59"/>
        <v>600.33856921208212</v>
      </c>
      <c r="AN76" s="62">
        <f ca="1">AVERAGE(OFFSET($AM$3,0,0,'Données projet'!$E$10+1,1))-AVERAGE(OFFSET($H$3,0,0,'Données projet'!$E$10+1,1))</f>
        <v>259.74478933784656</v>
      </c>
      <c r="AO76" s="62">
        <f t="shared" si="90"/>
        <v>223.74038909289646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>
        <f>VLOOKUP(A77,'Données projet'!$A$35:$I$55,2,0)</f>
        <v>521</v>
      </c>
      <c r="L77" s="13">
        <f>VLOOKUP(A77,'Données projet'!$A$35:$I$55,9,0)</f>
        <v>12.875</v>
      </c>
      <c r="M77" s="13">
        <f t="array" ref="M77">INDEX(L:L,MIN(IF(ISNUMBER(L77:L273),ROW(L77:L273),"")))</f>
        <v>12.875</v>
      </c>
      <c r="N77" s="14">
        <f>IF('Données projet'!$A$36&gt;35,N76+M77-V76,IF(A77&lt;'Données projet'!$A$36,$K$205^A77,IF(A77='Données projet'!$A$36,'Données projet'!$B$36,N76+M77-V76)))</f>
        <v>521</v>
      </c>
      <c r="O77" s="14">
        <f>N77*VLOOKUP('Données projet'!$B$9,Paramètres!$A$1:$I$89,3,0)*VLOOKUP('Données projet'!$B$9,Paramètres!$A$1:$I$89,5,0)</f>
        <v>311.55799999999999</v>
      </c>
      <c r="P77" s="14">
        <f t="shared" si="87"/>
        <v>73.594107587354372</v>
      </c>
      <c r="Q77" s="22">
        <f t="shared" si="54"/>
        <v>670.80658738130876</v>
      </c>
      <c r="R77" s="62">
        <f t="shared" si="55"/>
        <v>964.13992071464213</v>
      </c>
      <c r="S77" s="62">
        <f ca="1">AVERAGE(OFFSET($R$3,0,0,'Données projet'!$E$9+1,1))-AVERAGE(OFFSET($H$3,0,0,'Données projet'!$E$9+1,1))</f>
        <v>362.81292020448933</v>
      </c>
      <c r="T77" s="62">
        <f t="shared" si="88"/>
        <v>292.26503163353146</v>
      </c>
      <c r="U77" s="16">
        <f>IF(ISNA(VLOOKUP(A77,'Données projet'!$A$35:$I$55,3,0)),0,VLOOKUP(A77,'Données projet'!$A$35:$I$55,3,0))</f>
        <v>10</v>
      </c>
      <c r="V77" s="16">
        <f>IF(ISNA(VLOOKUP(A77,'Données projet'!$A$35:$I$55,4,0)),0,VLOOKUP(A77,'Données projet'!$A$35:$I$55,4,0))</f>
        <v>37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2.1138260138570022</v>
      </c>
      <c r="AA77" s="23">
        <f>EXP(-LN(2)/25)*AA76+(1-EXP(-LN(2)/25))/(LN(2)/25)*Calculateur!V77*Calculateur!X77*VLOOKUP('Données projet'!$B$9,Paramètres!$A$1:$I$89,3,0)*0.475*44/12</f>
        <v>3.4054829950741947</v>
      </c>
      <c r="AB77" s="23">
        <f>EXP(-LN(2)/2)*AB76+(1-EXP(-LN(2)/2))/(LN(2)/2)*V77*Y77*VLOOKUP('Données projet'!$B$9,Paramètres!$A$1:$I$89,3,0)*0.475*44/12</f>
        <v>1.8092379694199112E-5</v>
      </c>
      <c r="AC77" s="24">
        <f t="shared" si="57"/>
        <v>5.5193271013108909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7.7</v>
      </c>
      <c r="AI77" s="14">
        <f>IF('Données projet'!$A$62&gt;35,AI76+AH77-AQ76,IF(A77&lt;'Données projet'!$A$62,$AF$205^A77,IF(A77='Données projet'!$A$62,'Données projet'!$B$62,AI76+AH77-AQ76)))</f>
        <v>306.79999999999995</v>
      </c>
      <c r="AJ77" s="14">
        <f>AI77*VLOOKUP('Données projet'!$B$10,Paramètres!$A$1:$I$89,3,0)*VLOOKUP('Données projet'!$B$10,Paramètres!$A$1:$I$89,5,0)</f>
        <v>143.58239999999998</v>
      </c>
      <c r="AK77" s="14">
        <f t="shared" si="89"/>
        <v>37.116472314400653</v>
      </c>
      <c r="AL77" s="22">
        <f t="shared" si="58"/>
        <v>314.71720261424775</v>
      </c>
      <c r="AM77" s="62">
        <f t="shared" si="59"/>
        <v>608.05053594758101</v>
      </c>
      <c r="AN77" s="62">
        <f ca="1">AVERAGE(OFFSET($AM$3,0,0,'Données projet'!$E$10+1,1))-AVERAGE(OFFSET($H$3,0,0,'Données projet'!$E$10+1,1))</f>
        <v>259.74478933784656</v>
      </c>
      <c r="AO77" s="62">
        <f t="shared" si="90"/>
        <v>223.74038909289646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8.875</v>
      </c>
      <c r="N78" s="14">
        <f>IF('Données projet'!$A$36&gt;35,N77+M78-V77,IF(A78&lt;'Données projet'!$A$36,$K$205^A78,IF(A78='Données projet'!$A$36,'Données projet'!$B$36,N77+M78-V77)))</f>
        <v>492.875</v>
      </c>
      <c r="O78" s="14">
        <f>N78*VLOOKUP('Données projet'!$B$9,Paramètres!$A$1:$I$89,3,0)*VLOOKUP('Données projet'!$B$9,Paramètres!$A$1:$I$89,5,0)</f>
        <v>294.73925000000003</v>
      </c>
      <c r="P78" s="14">
        <f t="shared" si="87"/>
        <v>70.072475236035828</v>
      </c>
      <c r="Q78" s="22">
        <f t="shared" si="54"/>
        <v>635.38042145276233</v>
      </c>
      <c r="R78" s="62">
        <f t="shared" si="55"/>
        <v>928.71375478609571</v>
      </c>
      <c r="S78" s="62">
        <f ca="1">AVERAGE(OFFSET($R$3,0,0,'Données projet'!$E$9+1,1))-AVERAGE(OFFSET($H$3,0,0,'Données projet'!$E$9+1,1))</f>
        <v>362.81292020448933</v>
      </c>
      <c r="T78" s="62">
        <f t="shared" si="88"/>
        <v>292.26503163353146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2.0723751750318264</v>
      </c>
      <c r="AA78" s="23">
        <f>EXP(-LN(2)/25)*AA77+(1-EXP(-LN(2)/25))/(LN(2)/25)*Calculateur!V78*Calculateur!X78*VLOOKUP('Données projet'!$B$9,Paramètres!$A$1:$I$89,3,0)*0.475*44/12</f>
        <v>3.3123598834873236</v>
      </c>
      <c r="AB78" s="23">
        <f>EXP(-LN(2)/2)*AB77+(1-EXP(-LN(2)/2))/(LN(2)/2)*V78*Y78*VLOOKUP('Données projet'!$B$9,Paramètres!$A$1:$I$89,3,0)*0.475*44/12</f>
        <v>1.2793244369569987E-5</v>
      </c>
      <c r="AC78" s="24">
        <f t="shared" si="57"/>
        <v>5.3847478517635192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7.7</v>
      </c>
      <c r="AI78" s="14">
        <f>IF('Données projet'!$A$62&gt;35,AI77+AH78-AQ77,IF(A78&lt;'Données projet'!$A$62,$AF$205^A78,IF(A78='Données projet'!$A$62,'Données projet'!$B$62,AI77+AH78-AQ77)))</f>
        <v>314.49999999999994</v>
      </c>
      <c r="AJ78" s="14">
        <f>AI78*VLOOKUP('Données projet'!$B$10,Paramètres!$A$1:$I$89,3,0)*VLOOKUP('Données projet'!$B$10,Paramètres!$A$1:$I$89,5,0)</f>
        <v>147.18599999999998</v>
      </c>
      <c r="AK78" s="14">
        <f t="shared" si="89"/>
        <v>37.938390882441361</v>
      </c>
      <c r="AL78" s="22">
        <f t="shared" si="58"/>
        <v>322.42498078691864</v>
      </c>
      <c r="AM78" s="62">
        <f t="shared" si="59"/>
        <v>615.75831412025195</v>
      </c>
      <c r="AN78" s="62">
        <f ca="1">AVERAGE(OFFSET($AM$3,0,0,'Données projet'!$E$10+1,1))-AVERAGE(OFFSET($H$3,0,0,'Données projet'!$E$10+1,1))</f>
        <v>259.74478933784656</v>
      </c>
      <c r="AO78" s="62">
        <f t="shared" si="90"/>
        <v>223.74038909289646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8.875</v>
      </c>
      <c r="N79" s="14">
        <f>IF('Données projet'!$A$36&gt;35,N78+M79-V78,IF(A79&lt;'Données projet'!$A$36,$K$205^A79,IF(A79='Données projet'!$A$36,'Données projet'!$B$36,N78+M79-V78)))</f>
        <v>501.75</v>
      </c>
      <c r="O79" s="14">
        <f>N79*VLOOKUP('Données projet'!$B$9,Paramètres!$A$1:$I$89,3,0)*VLOOKUP('Données projet'!$B$9,Paramètres!$A$1:$I$89,5,0)</f>
        <v>300.04650000000004</v>
      </c>
      <c r="P79" s="14">
        <f t="shared" si="87"/>
        <v>71.186211573839699</v>
      </c>
      <c r="Q79" s="22">
        <f t="shared" si="54"/>
        <v>646.56363932443753</v>
      </c>
      <c r="R79" s="62">
        <f t="shared" si="55"/>
        <v>939.8969726577709</v>
      </c>
      <c r="S79" s="62">
        <f ca="1">AVERAGE(OFFSET($R$3,0,0,'Données projet'!$E$9+1,1))-AVERAGE(OFFSET($H$3,0,0,'Données projet'!$E$9+1,1))</f>
        <v>362.81292020448933</v>
      </c>
      <c r="T79" s="62">
        <f t="shared" si="88"/>
        <v>292.26503163353146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2.031737161873497</v>
      </c>
      <c r="AA79" s="23">
        <f>EXP(-LN(2)/25)*AA78+(1-EXP(-LN(2)/25))/(LN(2)/25)*Calculateur!V79*Calculateur!X79*VLOOKUP('Données projet'!$B$9,Paramètres!$A$1:$I$89,3,0)*0.475*44/12</f>
        <v>3.2217832282839272</v>
      </c>
      <c r="AB79" s="23">
        <f>EXP(-LN(2)/2)*AB78+(1-EXP(-LN(2)/2))/(LN(2)/2)*V79*Y79*VLOOKUP('Données projet'!$B$9,Paramètres!$A$1:$I$89,3,0)*0.475*44/12</f>
        <v>9.046189847099556E-6</v>
      </c>
      <c r="AC79" s="24">
        <f t="shared" si="57"/>
        <v>5.2535294363472715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7.7</v>
      </c>
      <c r="AI79" s="14">
        <f>IF('Données projet'!$A$62&gt;35,AI78+AH79-AQ78,IF(A79&lt;'Données projet'!$A$62,$AF$205^A79,IF(A79='Données projet'!$A$62,'Données projet'!$B$62,AI78+AH79-AQ78)))</f>
        <v>322.19999999999993</v>
      </c>
      <c r="AJ79" s="14">
        <f>AI79*VLOOKUP('Données projet'!$B$10,Paramètres!$A$1:$I$89,3,0)*VLOOKUP('Données projet'!$B$10,Paramètres!$A$1:$I$89,5,0)</f>
        <v>150.78959999999998</v>
      </c>
      <c r="AK79" s="14">
        <f t="shared" si="89"/>
        <v>38.757970187689722</v>
      </c>
      <c r="AL79" s="22">
        <f t="shared" si="58"/>
        <v>330.12868474355952</v>
      </c>
      <c r="AM79" s="62">
        <f t="shared" si="59"/>
        <v>623.46201807689283</v>
      </c>
      <c r="AN79" s="62">
        <f ca="1">AVERAGE(OFFSET($AM$3,0,0,'Données projet'!$E$10+1,1))-AVERAGE(OFFSET($H$3,0,0,'Données projet'!$E$10+1,1))</f>
        <v>259.74478933784656</v>
      </c>
      <c r="AO79" s="62">
        <f t="shared" si="90"/>
        <v>223.74038909289646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8.875</v>
      </c>
      <c r="N80" s="14">
        <f>IF('Données projet'!$A$36&gt;35,N79+M80-V79,IF(A80&lt;'Données projet'!$A$36,$K$205^A80,IF(A80='Données projet'!$A$36,'Données projet'!$B$36,N79+M80-V79)))</f>
        <v>510.625</v>
      </c>
      <c r="O80" s="14">
        <f>N80*VLOOKUP('Données projet'!$B$9,Paramètres!$A$1:$I$89,3,0)*VLOOKUP('Données projet'!$B$9,Paramètres!$A$1:$I$89,5,0)</f>
        <v>305.35375000000005</v>
      </c>
      <c r="P80" s="14">
        <f t="shared" si="87"/>
        <v>72.297657079406008</v>
      </c>
      <c r="Q80" s="22">
        <f t="shared" si="54"/>
        <v>657.74286732996552</v>
      </c>
      <c r="R80" s="62">
        <f t="shared" si="55"/>
        <v>951.07620066329878</v>
      </c>
      <c r="S80" s="62">
        <f ca="1">AVERAGE(OFFSET($R$3,0,0,'Données projet'!$E$9+1,1))-AVERAGE(OFFSET($H$3,0,0,'Données projet'!$E$9+1,1))</f>
        <v>362.81292020448933</v>
      </c>
      <c r="T80" s="62">
        <f t="shared" si="88"/>
        <v>292.26503163353146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1.9918960353664619</v>
      </c>
      <c r="AA80" s="23">
        <f>EXP(-LN(2)/25)*AA79+(1-EXP(-LN(2)/25))/(LN(2)/25)*Calculateur!V80*Calculateur!X80*VLOOKUP('Données projet'!$B$9,Paramètres!$A$1:$I$89,3,0)*0.475*44/12</f>
        <v>3.1336833964802868</v>
      </c>
      <c r="AB80" s="23">
        <f>EXP(-LN(2)/2)*AB79+(1-EXP(-LN(2)/2))/(LN(2)/2)*V80*Y80*VLOOKUP('Données projet'!$B$9,Paramètres!$A$1:$I$89,3,0)*0.475*44/12</f>
        <v>6.3966221847849936E-6</v>
      </c>
      <c r="AC80" s="24">
        <f t="shared" si="57"/>
        <v>5.1255858284689335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7.7</v>
      </c>
      <c r="AI80" s="14">
        <f>IF('Données projet'!$A$62&gt;35,AI79+AH80-AQ79,IF(A80&lt;'Données projet'!$A$62,$AF$205^A80,IF(A80='Données projet'!$A$62,'Données projet'!$B$62,AI79+AH80-AQ79)))</f>
        <v>329.89999999999992</v>
      </c>
      <c r="AJ80" s="14">
        <f>AI80*VLOOKUP('Données projet'!$B$10,Paramètres!$A$1:$I$89,3,0)*VLOOKUP('Données projet'!$B$10,Paramètres!$A$1:$I$89,5,0)</f>
        <v>154.39319999999995</v>
      </c>
      <c r="AK80" s="14">
        <f t="shared" si="89"/>
        <v>39.575272566832489</v>
      </c>
      <c r="AL80" s="22">
        <f t="shared" si="58"/>
        <v>337.82842305389983</v>
      </c>
      <c r="AM80" s="62">
        <f t="shared" si="59"/>
        <v>631.16175638723314</v>
      </c>
      <c r="AN80" s="62">
        <f ca="1">AVERAGE(OFFSET($AM$3,0,0,'Données projet'!$E$10+1,1))-AVERAGE(OFFSET($H$3,0,0,'Données projet'!$E$10+1,1))</f>
        <v>259.74478933784656</v>
      </c>
      <c r="AO80" s="62">
        <f t="shared" si="90"/>
        <v>223.74038909289646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8.875</v>
      </c>
      <c r="N81" s="14">
        <f>IF('Données projet'!$A$36&gt;35,N80+M81-V80,IF(A81&lt;'Données projet'!$A$36,$K$205^A81,IF(A81='Données projet'!$A$36,'Données projet'!$B$36,N80+M81-V80)))</f>
        <v>519.5</v>
      </c>
      <c r="O81" s="14">
        <f>N81*VLOOKUP('Données projet'!$B$9,Paramètres!$A$1:$I$89,3,0)*VLOOKUP('Données projet'!$B$9,Paramètres!$A$1:$I$89,5,0)</f>
        <v>310.661</v>
      </c>
      <c r="P81" s="14">
        <f t="shared" si="87"/>
        <v>73.406856163089444</v>
      </c>
      <c r="Q81" s="22">
        <f t="shared" si="54"/>
        <v>668.91818281738085</v>
      </c>
      <c r="R81" s="62">
        <f t="shared" si="55"/>
        <v>962.25151615071422</v>
      </c>
      <c r="S81" s="62">
        <f ca="1">AVERAGE(OFFSET($R$3,0,0,'Données projet'!$E$9+1,1))-AVERAGE(OFFSET($H$3,0,0,'Données projet'!$E$9+1,1))</f>
        <v>362.81292020448933</v>
      </c>
      <c r="T81" s="62">
        <f t="shared" si="88"/>
        <v>292.26503163353146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1.9528361690495422</v>
      </c>
      <c r="AA81" s="23">
        <f>EXP(-LN(2)/25)*AA80+(1-EXP(-LN(2)/25))/(LN(2)/25)*Calculateur!V81*Calculateur!X81*VLOOKUP('Données projet'!$B$9,Paramètres!$A$1:$I$89,3,0)*0.475*44/12</f>
        <v>3.0479926592102857</v>
      </c>
      <c r="AB81" s="23">
        <f>EXP(-LN(2)/2)*AB80+(1-EXP(-LN(2)/2))/(LN(2)/2)*V81*Y81*VLOOKUP('Données projet'!$B$9,Paramètres!$A$1:$I$89,3,0)*0.475*44/12</f>
        <v>4.523094923549778E-6</v>
      </c>
      <c r="AC81" s="24">
        <f t="shared" si="57"/>
        <v>5.0008333513547516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7.7</v>
      </c>
      <c r="AI81" s="14">
        <f>IF('Données projet'!$A$62&gt;35,AI80+AH81-AQ80,IF(A81&lt;'Données projet'!$A$62,$AF$205^A81,IF(A81='Données projet'!$A$62,'Données projet'!$B$62,AI80+AH81-AQ80)))</f>
        <v>337.59999999999991</v>
      </c>
      <c r="AJ81" s="14">
        <f>AI81*VLOOKUP('Données projet'!$B$10,Paramètres!$A$1:$I$89,3,0)*VLOOKUP('Données projet'!$B$10,Paramètres!$A$1:$I$89,5,0)</f>
        <v>157.99679999999995</v>
      </c>
      <c r="AK81" s="14">
        <f t="shared" si="89"/>
        <v>40.390357280610026</v>
      </c>
      <c r="AL81" s="22">
        <f t="shared" si="58"/>
        <v>345.52429893039567</v>
      </c>
      <c r="AM81" s="62">
        <f t="shared" si="59"/>
        <v>638.85763226372899</v>
      </c>
      <c r="AN81" s="62">
        <f ca="1">AVERAGE(OFFSET($AM$3,0,0,'Données projet'!$E$10+1,1))-AVERAGE(OFFSET($H$3,0,0,'Données projet'!$E$10+1,1))</f>
        <v>259.74478933784656</v>
      </c>
      <c r="AO81" s="62">
        <f t="shared" si="90"/>
        <v>223.74038909289646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8.875</v>
      </c>
      <c r="N82" s="14">
        <f>IF('Données projet'!$A$36&gt;35,N81+M82-V81,IF(A82&lt;'Données projet'!$A$36,$K$205^A82,IF(A82='Données projet'!$A$36,'Données projet'!$B$36,N81+M82-V81)))</f>
        <v>528.375</v>
      </c>
      <c r="O82" s="14">
        <f>N82*VLOOKUP('Données projet'!$B$9,Paramètres!$A$1:$I$89,3,0)*VLOOKUP('Données projet'!$B$9,Paramètres!$A$1:$I$89,5,0)</f>
        <v>315.96825000000001</v>
      </c>
      <c r="P82" s="14">
        <f t="shared" si="87"/>
        <v>74.513851630905478</v>
      </c>
      <c r="Q82" s="22">
        <f t="shared" si="54"/>
        <v>680.08966034049365</v>
      </c>
      <c r="R82" s="62">
        <f t="shared" si="55"/>
        <v>973.42299367382702</v>
      </c>
      <c r="S82" s="62">
        <f ca="1">AVERAGE(OFFSET($R$3,0,0,'Données projet'!$E$9+1,1))-AVERAGE(OFFSET($H$3,0,0,'Données projet'!$E$9+1,1))</f>
        <v>362.81292020448933</v>
      </c>
      <c r="T82" s="62">
        <f t="shared" si="88"/>
        <v>292.26503163353146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1.9145422428869312</v>
      </c>
      <c r="AA82" s="23">
        <f>EXP(-LN(2)/25)*AA81+(1-EXP(-LN(2)/25))/(LN(2)/25)*Calculateur!V82*Calculateur!X82*VLOOKUP('Données projet'!$B$9,Paramètres!$A$1:$I$89,3,0)*0.475*44/12</f>
        <v>2.9646451396572129</v>
      </c>
      <c r="AB82" s="23">
        <f>EXP(-LN(2)/2)*AB81+(1-EXP(-LN(2)/2))/(LN(2)/2)*V82*Y82*VLOOKUP('Données projet'!$B$9,Paramètres!$A$1:$I$89,3,0)*0.475*44/12</f>
        <v>3.1983110923924968E-6</v>
      </c>
      <c r="AC82" s="24">
        <f t="shared" si="57"/>
        <v>4.8791905808552363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7.7</v>
      </c>
      <c r="AI82" s="14">
        <f>IF('Données projet'!$A$62&gt;35,AI81+AH82-AQ81,IF(A82&lt;'Données projet'!$A$62,$AF$205^A82,IF(A82='Données projet'!$A$62,'Données projet'!$B$62,AI81+AH82-AQ81)))</f>
        <v>345.2999999999999</v>
      </c>
      <c r="AJ82" s="14">
        <f>AI82*VLOOKUP('Données projet'!$B$10,Paramètres!$A$1:$I$89,3,0)*VLOOKUP('Données projet'!$B$10,Paramètres!$A$1:$I$89,5,0)</f>
        <v>161.60039999999995</v>
      </c>
      <c r="AK82" s="14">
        <f t="shared" si="89"/>
        <v>41.203280732237822</v>
      </c>
      <c r="AL82" s="22">
        <f t="shared" si="58"/>
        <v>353.21641060864749</v>
      </c>
      <c r="AM82" s="62">
        <f t="shared" si="59"/>
        <v>646.54974394198075</v>
      </c>
      <c r="AN82" s="62">
        <f ca="1">AVERAGE(OFFSET($AM$3,0,0,'Données projet'!$E$10+1,1))-AVERAGE(OFFSET($H$3,0,0,'Données projet'!$E$10+1,1))</f>
        <v>259.74478933784656</v>
      </c>
      <c r="AO82" s="62">
        <f t="shared" si="90"/>
        <v>223.74038909289646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8.875</v>
      </c>
      <c r="N83" s="14">
        <f>IF('Données projet'!$A$36&gt;35,N82+M83-V82,IF(A83&lt;'Données projet'!$A$36,$K$205^A83,IF(A83='Données projet'!$A$36,'Données projet'!$B$36,N82+M83-V82)))</f>
        <v>537.25</v>
      </c>
      <c r="O83" s="14">
        <f>N83*VLOOKUP('Données projet'!$B$9,Paramètres!$A$1:$I$89,3,0)*VLOOKUP('Données projet'!$B$9,Paramètres!$A$1:$I$89,5,0)</f>
        <v>321.27550000000002</v>
      </c>
      <c r="P83" s="14">
        <f t="shared" si="87"/>
        <v>75.618684768443416</v>
      </c>
      <c r="Q83" s="22">
        <f t="shared" si="54"/>
        <v>691.25737180503893</v>
      </c>
      <c r="R83" s="62">
        <f t="shared" si="55"/>
        <v>984.59070513837219</v>
      </c>
      <c r="S83" s="62">
        <f ca="1">AVERAGE(OFFSET($R$3,0,0,'Données projet'!$E$9+1,1))-AVERAGE(OFFSET($H$3,0,0,'Données projet'!$E$9+1,1))</f>
        <v>362.81292020448933</v>
      </c>
      <c r="T83" s="62">
        <f t="shared" si="88"/>
        <v>292.26503163353146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1.8769992372593804</v>
      </c>
      <c r="AA83" s="23">
        <f>EXP(-LN(2)/25)*AA82+(1-EXP(-LN(2)/25))/(LN(2)/25)*Calculateur!V83*Calculateur!X83*VLOOKUP('Données projet'!$B$9,Paramètres!$A$1:$I$89,3,0)*0.475*44/12</f>
        <v>2.8835767624093744</v>
      </c>
      <c r="AB83" s="23">
        <f>EXP(-LN(2)/2)*AB82+(1-EXP(-LN(2)/2))/(LN(2)/2)*V83*Y83*VLOOKUP('Données projet'!$B$9,Paramètres!$A$1:$I$89,3,0)*0.475*44/12</f>
        <v>2.261547461774889E-6</v>
      </c>
      <c r="AC83" s="24">
        <f t="shared" si="57"/>
        <v>4.7605782612162173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353</v>
      </c>
      <c r="AG83" s="13">
        <f>VLOOKUP(A83,'Données projet'!$A$61:$I$81,9,0)</f>
        <v>7.7</v>
      </c>
      <c r="AH83" s="13">
        <f t="array" ref="AH83">INDEX(AG:AG,MIN(IF(ISNUMBER(AG83:AG279),ROW(AG83:AG279),"")))</f>
        <v>7.7</v>
      </c>
      <c r="AI83" s="14">
        <f>IF('Données projet'!$A$62&gt;35,AI82+AH83-AQ82,IF(A83&lt;'Données projet'!$A$62,$AF$205^A83,IF(A83='Données projet'!$A$62,'Données projet'!$B$62,AI82+AH83-AQ82)))</f>
        <v>352.99999999999989</v>
      </c>
      <c r="AJ83" s="14">
        <f>AI83*VLOOKUP('Données projet'!$B$10,Paramètres!$A$1:$I$89,3,0)*VLOOKUP('Données projet'!$B$10,Paramètres!$A$1:$I$89,5,0)</f>
        <v>165.20399999999995</v>
      </c>
      <c r="AK83" s="14">
        <f t="shared" si="89"/>
        <v>42.014096665795854</v>
      </c>
      <c r="AL83" s="22">
        <f t="shared" si="58"/>
        <v>360.90485169292765</v>
      </c>
      <c r="AM83" s="62">
        <f t="shared" si="59"/>
        <v>654.23818502626091</v>
      </c>
      <c r="AN83" s="62">
        <f ca="1">AVERAGE(OFFSET($AM$3,0,0,'Données projet'!$E$10+1,1))-AVERAGE(OFFSET($H$3,0,0,'Données projet'!$E$10+1,1))</f>
        <v>259.74478933784656</v>
      </c>
      <c r="AO83" s="62">
        <f t="shared" si="90"/>
        <v>223.74038909289646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71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8.875</v>
      </c>
      <c r="N84" s="14">
        <f>IF('Données projet'!$A$36&gt;35,N83+M84-V83,IF(A84&lt;'Données projet'!$A$36,$K$205^A84,IF(A84='Données projet'!$A$36,'Données projet'!$B$36,N83+M84-V83)))</f>
        <v>546.125</v>
      </c>
      <c r="O84" s="14">
        <f>N84*VLOOKUP('Données projet'!$B$9,Paramètres!$A$1:$I$89,3,0)*VLOOKUP('Données projet'!$B$9,Paramètres!$A$1:$I$89,5,0)</f>
        <v>326.58275000000003</v>
      </c>
      <c r="P84" s="14">
        <f t="shared" si="87"/>
        <v>76.72139541907876</v>
      </c>
      <c r="Q84" s="22">
        <f t="shared" si="54"/>
        <v>702.42138660489547</v>
      </c>
      <c r="R84" s="62">
        <f t="shared" si="55"/>
        <v>995.75471993822885</v>
      </c>
      <c r="S84" s="62">
        <f ca="1">AVERAGE(OFFSET($R$3,0,0,'Données projet'!$E$9+1,1))-AVERAGE(OFFSET($H$3,0,0,'Données projet'!$E$9+1,1))</f>
        <v>362.81292020448933</v>
      </c>
      <c r="T84" s="62">
        <f t="shared" si="88"/>
        <v>292.26503163353146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1.8401924270732135</v>
      </c>
      <c r="AA84" s="23">
        <f>EXP(-LN(2)/25)*AA83+(1-EXP(-LN(2)/25))/(LN(2)/25)*Calculateur!V84*Calculateur!X84*VLOOKUP('Données projet'!$B$9,Paramètres!$A$1:$I$89,3,0)*0.475*44/12</f>
        <v>2.8047252042005786</v>
      </c>
      <c r="AB84" s="23">
        <f>EXP(-LN(2)/2)*AB83+(1-EXP(-LN(2)/2))/(LN(2)/2)*V84*Y84*VLOOKUP('Données projet'!$B$9,Paramètres!$A$1:$I$89,3,0)*0.475*44/12</f>
        <v>1.5991555461962484E-6</v>
      </c>
      <c r="AC84" s="24">
        <f t="shared" si="57"/>
        <v>4.6449192304293376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8.3000000000000007</v>
      </c>
      <c r="AI84" s="14">
        <f>IF('Données projet'!$A$62&gt;35,AI83+AH84-AQ83,IF(A84&lt;'Données projet'!$A$62,$AF$205^A84,IF(A84='Données projet'!$A$62,'Données projet'!$B$62,AI83+AH84-AQ83)))</f>
        <v>290.2999999999999</v>
      </c>
      <c r="AJ84" s="14">
        <f>AI84*VLOOKUP('Données projet'!$B$10,Paramètres!$A$1:$I$89,3,0)*VLOOKUP('Données projet'!$B$10,Paramètres!$A$1:$I$89,5,0)</f>
        <v>135.86039999999994</v>
      </c>
      <c r="AK84" s="14">
        <f t="shared" si="89"/>
        <v>35.347031059244749</v>
      </c>
      <c r="AL84" s="22">
        <f t="shared" si="58"/>
        <v>298.18627576151783</v>
      </c>
      <c r="AM84" s="62">
        <f t="shared" si="59"/>
        <v>591.51960909485115</v>
      </c>
      <c r="AN84" s="62">
        <f ca="1">AVERAGE(OFFSET($AM$3,0,0,'Données projet'!$E$10+1,1))-AVERAGE(OFFSET($H$3,0,0,'Données projet'!$E$10+1,1))</f>
        <v>259.74478933784656</v>
      </c>
      <c r="AO84" s="62">
        <f t="shared" si="90"/>
        <v>223.74038909289646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>
        <f>VLOOKUP(A85,'Données projet'!$A$35:$I$55,2,0)</f>
        <v>555</v>
      </c>
      <c r="L85" s="13">
        <f>VLOOKUP(A85,'Données projet'!$A$35:$I$55,9,0)</f>
        <v>8.875</v>
      </c>
      <c r="M85" s="13">
        <f t="array" ref="M85">INDEX(L:L,MIN(IF(ISNUMBER(L85:L281),ROW(L85:L281),"")))</f>
        <v>8.875</v>
      </c>
      <c r="N85" s="14">
        <f>IF('Données projet'!$A$36&gt;35,N84+M85-V84,IF(A85&lt;'Données projet'!$A$36,$K$205^A85,IF(A85='Données projet'!$A$36,'Données projet'!$B$36,N84+M85-V84)))</f>
        <v>555</v>
      </c>
      <c r="O85" s="14">
        <f>N85*VLOOKUP('Données projet'!$B$9,Paramètres!$A$1:$I$89,3,0)*VLOOKUP('Données projet'!$B$9,Paramètres!$A$1:$I$89,5,0)</f>
        <v>331.89000000000004</v>
      </c>
      <c r="P85" s="14">
        <f t="shared" si="87"/>
        <v>77.822022056956186</v>
      </c>
      <c r="Q85" s="22">
        <f t="shared" si="54"/>
        <v>713.58177174919865</v>
      </c>
      <c r="R85" s="62">
        <f t="shared" si="55"/>
        <v>1006.9151050825319</v>
      </c>
      <c r="S85" s="62">
        <f ca="1">AVERAGE(OFFSET($R$3,0,0,'Données projet'!$E$9+1,1))-AVERAGE(OFFSET($H$3,0,0,'Données projet'!$E$9+1,1))</f>
        <v>362.81292020448933</v>
      </c>
      <c r="T85" s="62">
        <f t="shared" si="88"/>
        <v>292.26503163353146</v>
      </c>
      <c r="U85" s="16">
        <f>IF(ISNA(VLOOKUP(A85,'Données projet'!$A$35:$I$55,3,0)),0,VLOOKUP(A85,'Données projet'!$A$35:$I$55,3,0))</f>
        <v>11</v>
      </c>
      <c r="V85" s="16">
        <f>IF(ISNA(VLOOKUP(A85,'Données projet'!$A$35:$I$55,4,0)),0,VLOOKUP(A85,'Données projet'!$A$35:$I$55,4,0))</f>
        <v>555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1.8041073759848598</v>
      </c>
      <c r="AA85" s="23">
        <f>EXP(-LN(2)/25)*AA84+(1-EXP(-LN(2)/25))/(LN(2)/25)*Calculateur!V85*Calculateur!X85*VLOOKUP('Données projet'!$B$9,Paramètres!$A$1:$I$89,3,0)*0.475*44/12</f>
        <v>2.7280298459976255</v>
      </c>
      <c r="AB85" s="23">
        <f>EXP(-LN(2)/2)*AB84+(1-EXP(-LN(2)/2))/(LN(2)/2)*V85*Y85*VLOOKUP('Données projet'!$B$9,Paramètres!$A$1:$I$89,3,0)*0.475*44/12</f>
        <v>1.1307737308874445E-6</v>
      </c>
      <c r="AC85" s="24">
        <f t="shared" si="57"/>
        <v>4.532138352756216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8.3000000000000007</v>
      </c>
      <c r="AI85" s="14">
        <f>IF('Données projet'!$A$62&gt;35,AI84+AH85-AQ84,IF(A85&lt;'Données projet'!$A$62,$AF$205^A85,IF(A85='Données projet'!$A$62,'Données projet'!$B$62,AI84+AH85-AQ84)))</f>
        <v>298.59999999999991</v>
      </c>
      <c r="AJ85" s="14">
        <f>AI85*VLOOKUP('Données projet'!$B$10,Paramètres!$A$1:$I$89,3,0)*VLOOKUP('Données projet'!$B$10,Paramètres!$A$1:$I$89,5,0)</f>
        <v>139.74479999999997</v>
      </c>
      <c r="AK85" s="14">
        <f t="shared" si="89"/>
        <v>36.238536552104364</v>
      </c>
      <c r="AL85" s="22">
        <f t="shared" si="58"/>
        <v>306.50431116158171</v>
      </c>
      <c r="AM85" s="62">
        <f t="shared" si="59"/>
        <v>599.83764449491503</v>
      </c>
      <c r="AN85" s="62">
        <f ca="1">AVERAGE(OFFSET($AM$3,0,0,'Données projet'!$E$10+1,1))-AVERAGE(OFFSET($H$3,0,0,'Données projet'!$E$10+1,1))</f>
        <v>259.74478933784656</v>
      </c>
      <c r="AO85" s="62">
        <f t="shared" si="90"/>
        <v>223.74038909289646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362.81292020448933</v>
      </c>
      <c r="T86" s="62">
        <f t="shared" si="88"/>
        <v>292.26503163353146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1.7687299307386408</v>
      </c>
      <c r="AA86" s="23">
        <f>EXP(-LN(2)/25)*AA85+(1-EXP(-LN(2)/25))/(LN(2)/25)*Calculateur!V86*Calculateur!X86*VLOOKUP('Données projet'!$B$9,Paramètres!$A$1:$I$89,3,0)*0.475*44/12</f>
        <v>2.6534317263979657</v>
      </c>
      <c r="AB86" s="23">
        <f>EXP(-LN(2)/2)*AB85+(1-EXP(-LN(2)/2))/(LN(2)/2)*V86*Y86*VLOOKUP('Données projet'!$B$9,Paramètres!$A$1:$I$89,3,0)*0.475*44/12</f>
        <v>7.995777730981242E-7</v>
      </c>
      <c r="AC86" s="24">
        <f t="shared" si="57"/>
        <v>4.4221624567143794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8.3000000000000007</v>
      </c>
      <c r="AI86" s="14">
        <f>IF('Données projet'!$A$62&gt;35,AI85+AH86-AQ85,IF(A86&lt;'Données projet'!$A$62,$AF$205^A86,IF(A86='Données projet'!$A$62,'Données projet'!$B$62,AI85+AH86-AQ85)))</f>
        <v>306.89999999999992</v>
      </c>
      <c r="AJ86" s="14">
        <f>AI86*VLOOKUP('Données projet'!$B$10,Paramètres!$A$1:$I$89,3,0)*VLOOKUP('Données projet'!$B$10,Paramètres!$A$1:$I$89,5,0)</f>
        <v>143.62919999999997</v>
      </c>
      <c r="AK86" s="14">
        <f t="shared" si="89"/>
        <v>37.127161849234348</v>
      </c>
      <c r="AL86" s="22">
        <f t="shared" si="58"/>
        <v>314.81733022074974</v>
      </c>
      <c r="AM86" s="62">
        <f t="shared" si="59"/>
        <v>608.15066355408305</v>
      </c>
      <c r="AN86" s="62">
        <f ca="1">AVERAGE(OFFSET($AM$3,0,0,'Données projet'!$E$10+1,1))-AVERAGE(OFFSET($H$3,0,0,'Données projet'!$E$10+1,1))</f>
        <v>259.74478933784656</v>
      </c>
      <c r="AO86" s="62">
        <f t="shared" si="90"/>
        <v>223.74038909289646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362.81292020448933</v>
      </c>
      <c r="T87" s="62">
        <f t="shared" si="88"/>
        <v>292.26503163353146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1.7340462156155894</v>
      </c>
      <c r="AA87" s="23">
        <f>EXP(-LN(2)/25)*AA86+(1-EXP(-LN(2)/25))/(LN(2)/25)*Calculateur!V87*Calculateur!X87*VLOOKUP('Données projet'!$B$9,Paramètres!$A$1:$I$89,3,0)*0.475*44/12</f>
        <v>2.5808734963017033</v>
      </c>
      <c r="AB87" s="23">
        <f>EXP(-LN(2)/2)*AB86+(1-EXP(-LN(2)/2))/(LN(2)/2)*V87*Y87*VLOOKUP('Données projet'!$B$9,Paramètres!$A$1:$I$89,3,0)*0.475*44/12</f>
        <v>5.6538686544372225E-7</v>
      </c>
      <c r="AC87" s="24">
        <f t="shared" si="57"/>
        <v>4.3149202773041582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8.3000000000000007</v>
      </c>
      <c r="AI87" s="14">
        <f>IF('Données projet'!$A$62&gt;35,AI86+AH87-AQ86,IF(A87&lt;'Données projet'!$A$62,$AF$205^A87,IF(A87='Données projet'!$A$62,'Données projet'!$B$62,AI86+AH87-AQ86)))</f>
        <v>315.19999999999993</v>
      </c>
      <c r="AJ87" s="14">
        <f>AI87*VLOOKUP('Données projet'!$B$10,Paramètres!$A$1:$I$89,3,0)*VLOOKUP('Données projet'!$B$10,Paramètres!$A$1:$I$89,5,0)</f>
        <v>147.51359999999997</v>
      </c>
      <c r="AK87" s="14">
        <f t="shared" si="89"/>
        <v>38.012993796041464</v>
      </c>
      <c r="AL87" s="22">
        <f t="shared" si="58"/>
        <v>323.12548419477213</v>
      </c>
      <c r="AM87" s="62">
        <f t="shared" si="59"/>
        <v>616.45881752810544</v>
      </c>
      <c r="AN87" s="62">
        <f ca="1">AVERAGE(OFFSET($AM$3,0,0,'Données projet'!$E$10+1,1))-AVERAGE(OFFSET($H$3,0,0,'Données projet'!$E$10+1,1))</f>
        <v>259.74478933784656</v>
      </c>
      <c r="AO87" s="62">
        <f t="shared" si="90"/>
        <v>223.74038909289646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362.81292020448933</v>
      </c>
      <c r="T88" s="62">
        <f t="shared" si="88"/>
        <v>292.26503163353146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1.7000426269911235</v>
      </c>
      <c r="AA88" s="23">
        <f>EXP(-LN(2)/25)*AA87+(1-EXP(-LN(2)/25))/(LN(2)/25)*Calculateur!V88*Calculateur!X88*VLOOKUP('Données projet'!$B$9,Paramètres!$A$1:$I$89,3,0)*0.475*44/12</f>
        <v>2.5102993748230946</v>
      </c>
      <c r="AB88" s="23">
        <f>EXP(-LN(2)/2)*AB87+(1-EXP(-LN(2)/2))/(LN(2)/2)*V88*Y88*VLOOKUP('Données projet'!$B$9,Paramètres!$A$1:$I$89,3,0)*0.475*44/12</f>
        <v>3.997888865490621E-7</v>
      </c>
      <c r="AC88" s="24">
        <f t="shared" si="57"/>
        <v>4.2103424016031044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8.3000000000000007</v>
      </c>
      <c r="AI88" s="14">
        <f>IF('Données projet'!$A$62&gt;35,AI87+AH88-AQ87,IF(A88&lt;'Données projet'!$A$62,$AF$205^A88,IF(A88='Données projet'!$A$62,'Données projet'!$B$62,AI87+AH88-AQ87)))</f>
        <v>323.49999999999994</v>
      </c>
      <c r="AJ88" s="14">
        <f>AI88*VLOOKUP('Données projet'!$B$10,Paramètres!$A$1:$I$89,3,0)*VLOOKUP('Données projet'!$B$10,Paramètres!$A$1:$I$89,5,0)</f>
        <v>151.39799999999997</v>
      </c>
      <c r="AK88" s="14">
        <f t="shared" si="89"/>
        <v>38.896114403754709</v>
      </c>
      <c r="AL88" s="22">
        <f t="shared" si="58"/>
        <v>331.42891591987274</v>
      </c>
      <c r="AM88" s="62">
        <f t="shared" si="59"/>
        <v>624.76224925320605</v>
      </c>
      <c r="AN88" s="62">
        <f ca="1">AVERAGE(OFFSET($AM$3,0,0,'Données projet'!$E$10+1,1))-AVERAGE(OFFSET($H$3,0,0,'Données projet'!$E$10+1,1))</f>
        <v>259.74478933784656</v>
      </c>
      <c r="AO88" s="62">
        <f t="shared" si="90"/>
        <v>223.74038909289646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362.81292020448933</v>
      </c>
      <c r="T89" s="62">
        <f t="shared" si="88"/>
        <v>292.26503163353146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1.6667058279994424</v>
      </c>
      <c r="AA89" s="23">
        <f>EXP(-LN(2)/25)*AA88+(1-EXP(-LN(2)/25))/(LN(2)/25)*Calculateur!V89*Calculateur!X89*VLOOKUP('Données projet'!$B$9,Paramètres!$A$1:$I$89,3,0)*0.475*44/12</f>
        <v>2.4416551064076502</v>
      </c>
      <c r="AB89" s="23">
        <f>EXP(-LN(2)/2)*AB88+(1-EXP(-LN(2)/2))/(LN(2)/2)*V89*Y89*VLOOKUP('Données projet'!$B$9,Paramètres!$A$1:$I$89,3,0)*0.475*44/12</f>
        <v>2.8269343272186113E-7</v>
      </c>
      <c r="AC89" s="24">
        <f t="shared" si="57"/>
        <v>4.1083612171005255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8.3000000000000007</v>
      </c>
      <c r="AI89" s="14">
        <f>IF('Données projet'!$A$62&gt;35,AI88+AH89-AQ88,IF(A89&lt;'Données projet'!$A$62,$AF$205^A89,IF(A89='Données projet'!$A$62,'Données projet'!$B$62,AI88+AH89-AQ88)))</f>
        <v>331.79999999999995</v>
      </c>
      <c r="AJ89" s="14">
        <f>AI89*VLOOKUP('Données projet'!$B$10,Paramètres!$A$1:$I$89,3,0)*VLOOKUP('Données projet'!$B$10,Paramètres!$A$1:$I$89,5,0)</f>
        <v>155.28239999999997</v>
      </c>
      <c r="AK89" s="14">
        <f t="shared" si="89"/>
        <v>39.776601235546408</v>
      </c>
      <c r="AL89" s="22">
        <f t="shared" si="58"/>
        <v>339.72776048524321</v>
      </c>
      <c r="AM89" s="62">
        <f t="shared" si="59"/>
        <v>633.06109381857652</v>
      </c>
      <c r="AN89" s="62">
        <f ca="1">AVERAGE(OFFSET($AM$3,0,0,'Données projet'!$E$10+1,1))-AVERAGE(OFFSET($H$3,0,0,'Données projet'!$E$10+1,1))</f>
        <v>259.74478933784656</v>
      </c>
      <c r="AO89" s="62">
        <f t="shared" si="90"/>
        <v>223.74038909289646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362.81292020448933</v>
      </c>
      <c r="T90" s="62">
        <f t="shared" si="88"/>
        <v>292.26503163353146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1.6340227433025485</v>
      </c>
      <c r="AA90" s="23">
        <f>EXP(-LN(2)/25)*AA89+(1-EXP(-LN(2)/25))/(LN(2)/25)*Calculateur!V90*Calculateur!X90*VLOOKUP('Données projet'!$B$9,Paramètres!$A$1:$I$89,3,0)*0.475*44/12</f>
        <v>2.3748879191218712</v>
      </c>
      <c r="AB90" s="23">
        <f>EXP(-LN(2)/2)*AB89+(1-EXP(-LN(2)/2))/(LN(2)/2)*V90*Y90*VLOOKUP('Données projet'!$B$9,Paramètres!$A$1:$I$89,3,0)*0.475*44/12</f>
        <v>1.9989444327453105E-7</v>
      </c>
      <c r="AC90" s="24">
        <f t="shared" si="57"/>
        <v>4.0089108623188627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8.3000000000000007</v>
      </c>
      <c r="AI90" s="14">
        <f>IF('Données projet'!$A$62&gt;35,AI89+AH90-AQ89,IF(A90&lt;'Données projet'!$A$62,$AF$205^A90,IF(A90='Données projet'!$A$62,'Données projet'!$B$62,AI89+AH90-AQ89)))</f>
        <v>340.09999999999997</v>
      </c>
      <c r="AJ90" s="14">
        <f>AI90*VLOOKUP('Données projet'!$B$10,Paramètres!$A$1:$I$89,3,0)*VLOOKUP('Données projet'!$B$10,Paramètres!$A$1:$I$89,5,0)</f>
        <v>159.16679999999997</v>
      </c>
      <c r="AK90" s="14">
        <f t="shared" si="89"/>
        <v>40.654527752930747</v>
      </c>
      <c r="AL90" s="22">
        <f t="shared" si="58"/>
        <v>348.02214583635424</v>
      </c>
      <c r="AM90" s="62">
        <f t="shared" si="59"/>
        <v>641.35547916968756</v>
      </c>
      <c r="AN90" s="62">
        <f ca="1">AVERAGE(OFFSET($AM$3,0,0,'Données projet'!$E$10+1,1))-AVERAGE(OFFSET($H$3,0,0,'Données projet'!$E$10+1,1))</f>
        <v>259.74478933784656</v>
      </c>
      <c r="AO90" s="62">
        <f t="shared" si="90"/>
        <v>223.74038909289646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362.81292020448933</v>
      </c>
      <c r="T91" s="62">
        <f t="shared" si="88"/>
        <v>292.26503163353146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1.6019805539618475</v>
      </c>
      <c r="AA91" s="23">
        <f>EXP(-LN(2)/25)*AA90+(1-EXP(-LN(2)/25))/(LN(2)/25)*Calculateur!V91*Calculateur!X91*VLOOKUP('Données projet'!$B$9,Paramètres!$A$1:$I$89,3,0)*0.475*44/12</f>
        <v>2.309946484083556</v>
      </c>
      <c r="AB91" s="23">
        <f>EXP(-LN(2)/2)*AB90+(1-EXP(-LN(2)/2))/(LN(2)/2)*V91*Y91*VLOOKUP('Données projet'!$B$9,Paramètres!$A$1:$I$89,3,0)*0.475*44/12</f>
        <v>1.4134671636093056E-7</v>
      </c>
      <c r="AC91" s="24">
        <f t="shared" si="57"/>
        <v>3.9119271793921202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8.3000000000000007</v>
      </c>
      <c r="AI91" s="14">
        <f>IF('Données projet'!$A$62&gt;35,AI90+AH91-AQ90,IF(A91&lt;'Données projet'!$A$62,$AF$205^A91,IF(A91='Données projet'!$A$62,'Données projet'!$B$62,AI90+AH91-AQ90)))</f>
        <v>348.4</v>
      </c>
      <c r="AJ91" s="14">
        <f>AI91*VLOOKUP('Données projet'!$B$10,Paramètres!$A$1:$I$89,3,0)*VLOOKUP('Données projet'!$B$10,Paramètres!$A$1:$I$89,5,0)</f>
        <v>163.05119999999999</v>
      </c>
      <c r="AK91" s="14">
        <f t="shared" si="89"/>
        <v>41.529963627394977</v>
      </c>
      <c r="AL91" s="22">
        <f t="shared" si="58"/>
        <v>356.31219331771285</v>
      </c>
      <c r="AM91" s="62">
        <f t="shared" si="59"/>
        <v>649.64552665104611</v>
      </c>
      <c r="AN91" s="62">
        <f ca="1">AVERAGE(OFFSET($AM$3,0,0,'Données projet'!$E$10+1,1))-AVERAGE(OFFSET($H$3,0,0,'Données projet'!$E$10+1,1))</f>
        <v>259.74478933784656</v>
      </c>
      <c r="AO91" s="62">
        <f t="shared" si="90"/>
        <v>223.74038909289646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362.81292020448933</v>
      </c>
      <c r="T92" s="62">
        <f t="shared" si="88"/>
        <v>292.26503163353146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1.5705666924103119</v>
      </c>
      <c r="AA92" s="23">
        <f>EXP(-LN(2)/25)*AA91+(1-EXP(-LN(2)/25))/(LN(2)/25)*Calculateur!V92*Calculateur!X92*VLOOKUP('Données projet'!$B$9,Paramètres!$A$1:$I$89,3,0)*0.475*44/12</f>
        <v>2.2467808760014849</v>
      </c>
      <c r="AB92" s="23">
        <f>EXP(-LN(2)/2)*AB91+(1-EXP(-LN(2)/2))/(LN(2)/2)*V92*Y92*VLOOKUP('Données projet'!$B$9,Paramètres!$A$1:$I$89,3,0)*0.475*44/12</f>
        <v>9.9947221637265525E-8</v>
      </c>
      <c r="AC92" s="24">
        <f t="shared" si="57"/>
        <v>3.8173476683590182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8.3000000000000007</v>
      </c>
      <c r="AI92" s="14">
        <f>IF('Données projet'!$A$62&gt;35,AI91+AH92-AQ91,IF(A92&lt;'Données projet'!$A$62,$AF$205^A92,IF(A92='Données projet'!$A$62,'Données projet'!$B$62,AI91+AH92-AQ91)))</f>
        <v>356.7</v>
      </c>
      <c r="AJ92" s="14">
        <f>AI92*VLOOKUP('Données projet'!$B$10,Paramètres!$A$1:$I$89,3,0)*VLOOKUP('Données projet'!$B$10,Paramètres!$A$1:$I$89,5,0)</f>
        <v>166.93559999999997</v>
      </c>
      <c r="AK92" s="14">
        <f t="shared" si="89"/>
        <v>42.402975021498193</v>
      </c>
      <c r="AL92" s="22">
        <f t="shared" si="58"/>
        <v>364.59801816244266</v>
      </c>
      <c r="AM92" s="62">
        <f t="shared" si="59"/>
        <v>657.93135149577597</v>
      </c>
      <c r="AN92" s="62">
        <f ca="1">AVERAGE(OFFSET($AM$3,0,0,'Données projet'!$E$10+1,1))-AVERAGE(OFFSET($H$3,0,0,'Données projet'!$E$10+1,1))</f>
        <v>259.74478933784656</v>
      </c>
      <c r="AO92" s="62">
        <f t="shared" si="90"/>
        <v>223.74038909289646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362.81292020448933</v>
      </c>
      <c r="T93" s="62">
        <f t="shared" si="88"/>
        <v>292.26503163353146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1.5397688375232381</v>
      </c>
      <c r="AA93" s="23">
        <f>EXP(-LN(2)/25)*AA92+(1-EXP(-LN(2)/25))/(LN(2)/25)*Calculateur!V93*Calculateur!X93*VLOOKUP('Données projet'!$B$9,Paramètres!$A$1:$I$89,3,0)*0.475*44/12</f>
        <v>2.1853425347941533</v>
      </c>
      <c r="AB93" s="23">
        <f>EXP(-LN(2)/2)*AB92+(1-EXP(-LN(2)/2))/(LN(2)/2)*V93*Y93*VLOOKUP('Données projet'!$B$9,Paramètres!$A$1:$I$89,3,0)*0.475*44/12</f>
        <v>7.0673358180465281E-8</v>
      </c>
      <c r="AC93" s="24">
        <f t="shared" si="57"/>
        <v>3.7251114429907495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365</v>
      </c>
      <c r="AG93" s="13">
        <f>VLOOKUP(A93,'Données projet'!$A$61:$I$81,9,0)</f>
        <v>8.3000000000000007</v>
      </c>
      <c r="AH93" s="13">
        <f t="array" ref="AH93">INDEX(AG:AG,MIN(IF(ISNUMBER(AG93:AG289),ROW(AG93:AG289),"")))</f>
        <v>8.3000000000000007</v>
      </c>
      <c r="AI93" s="14">
        <f>IF('Données projet'!$A$62&gt;35,AI92+AH93-AQ92,IF(A93&lt;'Données projet'!$A$62,$AF$205^A93,IF(A93='Données projet'!$A$62,'Données projet'!$B$62,AI92+AH93-AQ92)))</f>
        <v>365</v>
      </c>
      <c r="AJ93" s="14">
        <f>AI93*VLOOKUP('Données projet'!$B$10,Paramètres!$A$1:$I$89,3,0)*VLOOKUP('Données projet'!$B$10,Paramètres!$A$1:$I$89,5,0)</f>
        <v>170.82000000000002</v>
      </c>
      <c r="AK93" s="14">
        <f t="shared" si="89"/>
        <v>43.273624843069463</v>
      </c>
      <c r="AL93" s="22">
        <f t="shared" si="58"/>
        <v>372.87972993501268</v>
      </c>
      <c r="AM93" s="62">
        <f t="shared" si="59"/>
        <v>666.21306326834599</v>
      </c>
      <c r="AN93" s="62">
        <f ca="1">AVERAGE(OFFSET($AM$3,0,0,'Données projet'!$E$10+1,1))-AVERAGE(OFFSET($H$3,0,0,'Données projet'!$E$10+1,1))</f>
        <v>259.74478933784656</v>
      </c>
      <c r="AO93" s="62">
        <f t="shared" si="90"/>
        <v>223.74038909289646</v>
      </c>
      <c r="AP93" s="16">
        <f>IF(ISNA(VLOOKUP(A93,'Données projet'!$A$61:$I$81,3,0)),0,VLOOKUP(A93,'Données projet'!$A$61:$I$81,3,0))</f>
        <v>8</v>
      </c>
      <c r="AQ93" s="16">
        <f>IF(ISNA(VLOOKUP(A93,'Données projet'!$A$61:$I$81,4,0)),0,VLOOKUP(A93,'Données projet'!$A$61:$I$81,4,0))</f>
        <v>73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362.81292020448933</v>
      </c>
      <c r="T94" s="62">
        <f t="shared" si="88"/>
        <v>292.26503163353146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1.5095749097856634</v>
      </c>
      <c r="AA94" s="23">
        <f>EXP(-LN(2)/25)*AA93+(1-EXP(-LN(2)/25))/(LN(2)/25)*Calculateur!V94*Calculateur!X94*VLOOKUP('Données projet'!$B$9,Paramètres!$A$1:$I$89,3,0)*0.475*44/12</f>
        <v>2.1255842282580377</v>
      </c>
      <c r="AB94" s="23">
        <f>EXP(-LN(2)/2)*AB93+(1-EXP(-LN(2)/2))/(LN(2)/2)*V94*Y94*VLOOKUP('Données projet'!$B$9,Paramètres!$A$1:$I$89,3,0)*0.475*44/12</f>
        <v>4.9973610818632762E-8</v>
      </c>
      <c r="AC94" s="24">
        <f t="shared" si="57"/>
        <v>3.6351591880173122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8.3000000000000007</v>
      </c>
      <c r="AI94" s="14">
        <f>IF('Données projet'!$A$62&gt;35,AI93+AH94-AQ93,IF(A94&lt;'Données projet'!$A$62,$AF$205^A94,IF(A94='Données projet'!$A$62,'Données projet'!$B$62,AI93+AH94-AQ93)))</f>
        <v>300.3</v>
      </c>
      <c r="AJ94" s="14">
        <f>AI94*VLOOKUP('Données projet'!$B$10,Paramètres!$A$1:$I$89,3,0)*VLOOKUP('Données projet'!$B$10,Paramètres!$A$1:$I$89,5,0)</f>
        <v>140.54040000000001</v>
      </c>
      <c r="AK94" s="14">
        <f t="shared" si="89"/>
        <v>36.420775774849901</v>
      </c>
      <c r="AL94" s="22">
        <f t="shared" si="58"/>
        <v>308.20738114119689</v>
      </c>
      <c r="AM94" s="62">
        <f t="shared" si="59"/>
        <v>601.5407144745302</v>
      </c>
      <c r="AN94" s="62">
        <f ca="1">AVERAGE(OFFSET($AM$3,0,0,'Données projet'!$E$10+1,1))-AVERAGE(OFFSET($H$3,0,0,'Données projet'!$E$10+1,1))</f>
        <v>259.74478933784656</v>
      </c>
      <c r="AO94" s="62">
        <f t="shared" si="90"/>
        <v>223.74038909289646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362.81292020448933</v>
      </c>
      <c r="T95" s="62">
        <f t="shared" si="88"/>
        <v>292.26503163353146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1.479973066554545</v>
      </c>
      <c r="AA95" s="23">
        <f>EXP(-LN(2)/25)*AA94+(1-EXP(-LN(2)/25))/(LN(2)/25)*Calculateur!V95*Calculateur!X95*VLOOKUP('Données projet'!$B$9,Paramètres!$A$1:$I$89,3,0)*0.475*44/12</f>
        <v>2.0674600157567053</v>
      </c>
      <c r="AB95" s="23">
        <f>EXP(-LN(2)/2)*AB94+(1-EXP(-LN(2)/2))/(LN(2)/2)*V95*Y95*VLOOKUP('Données projet'!$B$9,Paramètres!$A$1:$I$89,3,0)*0.475*44/12</f>
        <v>3.5336679090232641E-8</v>
      </c>
      <c r="AC95" s="24">
        <f t="shared" si="57"/>
        <v>3.547433117647929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8.3000000000000007</v>
      </c>
      <c r="AI95" s="14">
        <f>IF('Données projet'!$A$62&gt;35,AI94+AH95-AQ94,IF(A95&lt;'Données projet'!$A$62,$AF$205^A95,IF(A95='Données projet'!$A$62,'Données projet'!$B$62,AI94+AH95-AQ94)))</f>
        <v>308.60000000000002</v>
      </c>
      <c r="AJ95" s="14">
        <f>AI95*VLOOKUP('Données projet'!$B$10,Paramètres!$A$1:$I$89,3,0)*VLOOKUP('Données projet'!$B$10,Paramètres!$A$1:$I$89,5,0)</f>
        <v>144.4248</v>
      </c>
      <c r="AK95" s="14">
        <f t="shared" si="89"/>
        <v>37.308822031923654</v>
      </c>
      <c r="AL95" s="22">
        <f t="shared" si="58"/>
        <v>316.51939170560036</v>
      </c>
      <c r="AM95" s="62">
        <f t="shared" si="59"/>
        <v>609.85272503893361</v>
      </c>
      <c r="AN95" s="62">
        <f ca="1">AVERAGE(OFFSET($AM$3,0,0,'Données projet'!$E$10+1,1))-AVERAGE(OFFSET($H$3,0,0,'Données projet'!$E$10+1,1))</f>
        <v>259.74478933784656</v>
      </c>
      <c r="AO95" s="62">
        <f t="shared" si="90"/>
        <v>223.74038909289646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362.81292020448933</v>
      </c>
      <c r="T96" s="62">
        <f t="shared" si="88"/>
        <v>292.26503163353146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1.4509516974138472</v>
      </c>
      <c r="AA96" s="23">
        <f>EXP(-LN(2)/25)*AA95+(1-EXP(-LN(2)/25))/(LN(2)/25)*Calculateur!V96*Calculateur!X96*VLOOKUP('Données projet'!$B$9,Paramètres!$A$1:$I$89,3,0)*0.475*44/12</f>
        <v>2.0109252129028414</v>
      </c>
      <c r="AB96" s="23">
        <f>EXP(-LN(2)/2)*AB95+(1-EXP(-LN(2)/2))/(LN(2)/2)*V96*Y96*VLOOKUP('Données projet'!$B$9,Paramètres!$A$1:$I$89,3,0)*0.475*44/12</f>
        <v>2.4986805409316381E-8</v>
      </c>
      <c r="AC96" s="24">
        <f t="shared" si="57"/>
        <v>3.4618769353034944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8.3000000000000007</v>
      </c>
      <c r="AI96" s="14">
        <f>IF('Données projet'!$A$62&gt;35,AI95+AH96-AQ95,IF(A96&lt;'Données projet'!$A$62,$AF$205^A96,IF(A96='Données projet'!$A$62,'Données projet'!$B$62,AI95+AH96-AQ95)))</f>
        <v>316.90000000000003</v>
      </c>
      <c r="AJ96" s="14">
        <f>AI96*VLOOKUP('Données projet'!$B$10,Paramètres!$A$1:$I$89,3,0)*VLOOKUP('Données projet'!$B$10,Paramètres!$A$1:$I$89,5,0)</f>
        <v>148.3092</v>
      </c>
      <c r="AK96" s="14">
        <f t="shared" si="89"/>
        <v>38.194092116566551</v>
      </c>
      <c r="AL96" s="22">
        <f t="shared" si="58"/>
        <v>324.82656710302007</v>
      </c>
      <c r="AM96" s="62">
        <f t="shared" si="59"/>
        <v>618.15990043635338</v>
      </c>
      <c r="AN96" s="62">
        <f ca="1">AVERAGE(OFFSET($AM$3,0,0,'Données projet'!$E$10+1,1))-AVERAGE(OFFSET($H$3,0,0,'Données projet'!$E$10+1,1))</f>
        <v>259.74478933784656</v>
      </c>
      <c r="AO96" s="62">
        <f t="shared" si="90"/>
        <v>223.74038909289646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362.81292020448933</v>
      </c>
      <c r="T97" s="62">
        <f t="shared" si="88"/>
        <v>292.26503163353146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1.4224994196207112</v>
      </c>
      <c r="AA97" s="23">
        <f>EXP(-LN(2)/25)*AA96+(1-EXP(-LN(2)/25))/(LN(2)/25)*Calculateur!V97*Calculateur!X97*VLOOKUP('Données projet'!$B$9,Paramètres!$A$1:$I$89,3,0)*0.475*44/12</f>
        <v>1.9559363572060524</v>
      </c>
      <c r="AB97" s="23">
        <f>EXP(-LN(2)/2)*AB96+(1-EXP(-LN(2)/2))/(LN(2)/2)*V97*Y97*VLOOKUP('Données projet'!$B$9,Paramètres!$A$1:$I$89,3,0)*0.475*44/12</f>
        <v>1.766833954511632E-8</v>
      </c>
      <c r="AC97" s="24">
        <f t="shared" si="57"/>
        <v>3.3784357944951031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8.3000000000000007</v>
      </c>
      <c r="AI97" s="14">
        <f>IF('Données projet'!$A$62&gt;35,AI96+AH97-AQ96,IF(A97&lt;'Données projet'!$A$62,$AF$205^A97,IF(A97='Données projet'!$A$62,'Données projet'!$B$62,AI96+AH97-AQ96)))</f>
        <v>325.20000000000005</v>
      </c>
      <c r="AJ97" s="14">
        <f>AI97*VLOOKUP('Données projet'!$B$10,Paramètres!$A$1:$I$89,3,0)*VLOOKUP('Données projet'!$B$10,Paramètres!$A$1:$I$89,5,0)</f>
        <v>152.19360000000003</v>
      </c>
      <c r="AK97" s="14">
        <f t="shared" si="89"/>
        <v>39.076667098894909</v>
      </c>
      <c r="AL97" s="22">
        <f t="shared" si="58"/>
        <v>333.1290485305754</v>
      </c>
      <c r="AM97" s="62">
        <f t="shared" si="59"/>
        <v>626.46238186390872</v>
      </c>
      <c r="AN97" s="62">
        <f ca="1">AVERAGE(OFFSET($AM$3,0,0,'Données projet'!$E$10+1,1))-AVERAGE(OFFSET($H$3,0,0,'Données projet'!$E$10+1,1))</f>
        <v>259.74478933784656</v>
      </c>
      <c r="AO97" s="62">
        <f t="shared" si="90"/>
        <v>223.74038909289646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362.81292020448933</v>
      </c>
      <c r="T98" s="62">
        <f t="shared" si="88"/>
        <v>292.26503163353146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1.3946050736409228</v>
      </c>
      <c r="AA98" s="23">
        <f>EXP(-LN(2)/25)*AA97+(1-EXP(-LN(2)/25))/(LN(2)/25)*Calculateur!V98*Calculateur!X98*VLOOKUP('Données projet'!$B$9,Paramètres!$A$1:$I$89,3,0)*0.475*44/12</f>
        <v>1.9024511746600303</v>
      </c>
      <c r="AB98" s="23">
        <f>EXP(-LN(2)/2)*AB97+(1-EXP(-LN(2)/2))/(LN(2)/2)*V98*Y98*VLOOKUP('Données projet'!$B$9,Paramètres!$A$1:$I$89,3,0)*0.475*44/12</f>
        <v>1.2493402704658191E-8</v>
      </c>
      <c r="AC98" s="24">
        <f t="shared" si="57"/>
        <v>3.2970562607943559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8.3000000000000007</v>
      </c>
      <c r="AI98" s="14">
        <f>IF('Données projet'!$A$62&gt;35,AI97+AH98-AQ97,IF(A98&lt;'Données projet'!$A$62,$AF$205^A98,IF(A98='Données projet'!$A$62,'Données projet'!$B$62,AI97+AH98-AQ97)))</f>
        <v>333.50000000000006</v>
      </c>
      <c r="AJ98" s="14">
        <f>AI98*VLOOKUP('Données projet'!$B$10,Paramètres!$A$1:$I$89,3,0)*VLOOKUP('Données projet'!$B$10,Paramètres!$A$1:$I$89,5,0)</f>
        <v>156.07800000000003</v>
      </c>
      <c r="AK98" s="14">
        <f t="shared" si="89"/>
        <v>39.956623674978466</v>
      </c>
      <c r="AL98" s="22">
        <f t="shared" si="58"/>
        <v>341.42696956725422</v>
      </c>
      <c r="AM98" s="62">
        <f t="shared" si="59"/>
        <v>634.76030290058748</v>
      </c>
      <c r="AN98" s="62">
        <f ca="1">AVERAGE(OFFSET($AM$3,0,0,'Données projet'!$E$10+1,1))-AVERAGE(OFFSET($H$3,0,0,'Données projet'!$E$10+1,1))</f>
        <v>259.74478933784656</v>
      </c>
      <c r="AO98" s="62">
        <f t="shared" si="90"/>
        <v>223.74038909289646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362.81292020448933</v>
      </c>
      <c r="T99" s="62">
        <f t="shared" si="88"/>
        <v>292.26503163353146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1.367257718771927</v>
      </c>
      <c r="AA99" s="23">
        <f>EXP(-LN(2)/25)*AA98+(1-EXP(-LN(2)/25))/(LN(2)/25)*Calculateur!V99*Calculateur!X99*VLOOKUP('Données projet'!$B$9,Paramètres!$A$1:$I$89,3,0)*0.475*44/12</f>
        <v>1.8504285472433926</v>
      </c>
      <c r="AB99" s="23">
        <f>EXP(-LN(2)/2)*AB98+(1-EXP(-LN(2)/2))/(LN(2)/2)*V99*Y99*VLOOKUP('Données projet'!$B$9,Paramètres!$A$1:$I$89,3,0)*0.475*44/12</f>
        <v>8.8341697725581602E-9</v>
      </c>
      <c r="AC99" s="24">
        <f t="shared" si="57"/>
        <v>3.2176862748494894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8.3000000000000007</v>
      </c>
      <c r="AI99" s="14">
        <f>IF('Données projet'!$A$62&gt;35,AI98+AH99-AQ98,IF(A99&lt;'Données projet'!$A$62,$AF$205^A99,IF(A99='Données projet'!$A$62,'Données projet'!$B$62,AI98+AH99-AQ98)))</f>
        <v>341.80000000000007</v>
      </c>
      <c r="AJ99" s="14">
        <f>AI99*VLOOKUP('Données projet'!$B$10,Paramètres!$A$1:$I$89,3,0)*VLOOKUP('Données projet'!$B$10,Paramètres!$A$1:$I$89,5,0)</f>
        <v>159.96240000000003</v>
      </c>
      <c r="AK99" s="14">
        <f t="shared" si="89"/>
        <v>40.834034505739851</v>
      </c>
      <c r="AL99" s="22">
        <f t="shared" si="58"/>
        <v>349.7204567641636</v>
      </c>
      <c r="AM99" s="62">
        <f t="shared" si="59"/>
        <v>643.05379009749686</v>
      </c>
      <c r="AN99" s="62">
        <f ca="1">AVERAGE(OFFSET($AM$3,0,0,'Données projet'!$E$10+1,1))-AVERAGE(OFFSET($H$3,0,0,'Données projet'!$E$10+1,1))</f>
        <v>259.74478933784656</v>
      </c>
      <c r="AO99" s="62">
        <f t="shared" si="90"/>
        <v>223.74038909289646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362.81292020448933</v>
      </c>
      <c r="T100" s="62">
        <f t="shared" si="88"/>
        <v>292.26503163353146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1.3404466288516728</v>
      </c>
      <c r="AA100" s="23">
        <f>EXP(-LN(2)/25)*AA99+(1-EXP(-LN(2)/25))/(LN(2)/25)*Calculateur!V100*Calculateur!X100*VLOOKUP('Données projet'!$B$9,Paramètres!$A$1:$I$89,3,0)*0.475*44/12</f>
        <v>1.7998284813092138</v>
      </c>
      <c r="AB100" s="23">
        <f>EXP(-LN(2)/2)*AB99+(1-EXP(-LN(2)/2))/(LN(2)/2)*V100*Y100*VLOOKUP('Données projet'!$B$9,Paramètres!$A$1:$I$89,3,0)*0.475*44/12</f>
        <v>6.2467013523290953E-9</v>
      </c>
      <c r="AC100" s="24">
        <f t="shared" si="57"/>
        <v>3.1402751164075879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8.3000000000000007</v>
      </c>
      <c r="AI100" s="14">
        <f>IF('Données projet'!$A$62&gt;35,AI99+AH100-AQ99,IF(A100&lt;'Données projet'!$A$62,$AF$205^A100,IF(A100='Données projet'!$A$62,'Données projet'!$B$62,AI99+AH100-AQ99)))</f>
        <v>350.10000000000008</v>
      </c>
      <c r="AJ100" s="14">
        <f>AI100*VLOOKUP('Données projet'!$B$10,Paramètres!$A$1:$I$89,3,0)*VLOOKUP('Données projet'!$B$10,Paramètres!$A$1:$I$89,5,0)</f>
        <v>163.84680000000003</v>
      </c>
      <c r="AK100" s="14">
        <f t="shared" si="89"/>
        <v>41.708968522008732</v>
      </c>
      <c r="AL100" s="22">
        <f t="shared" si="58"/>
        <v>358.00963017583189</v>
      </c>
      <c r="AM100" s="62">
        <f t="shared" si="59"/>
        <v>651.3429635091652</v>
      </c>
      <c r="AN100" s="62">
        <f ca="1">AVERAGE(OFFSET($AM$3,0,0,'Données projet'!$E$10+1,1))-AVERAGE(OFFSET($H$3,0,0,'Données projet'!$E$10+1,1))</f>
        <v>259.74478933784656</v>
      </c>
      <c r="AO100" s="62">
        <f t="shared" si="90"/>
        <v>223.74038909289646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362.81292020448933</v>
      </c>
      <c r="T101" s="62">
        <f t="shared" si="88"/>
        <v>292.26503163353146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1.3141612880516045</v>
      </c>
      <c r="AA101" s="23">
        <f>EXP(-LN(2)/25)*AA100+(1-EXP(-LN(2)/25))/(LN(2)/25)*Calculateur!V101*Calculateur!X101*VLOOKUP('Données projet'!$B$9,Paramètres!$A$1:$I$89,3,0)*0.475*44/12</f>
        <v>1.750612076838947</v>
      </c>
      <c r="AB101" s="23">
        <f>EXP(-LN(2)/2)*AB100+(1-EXP(-LN(2)/2))/(LN(2)/2)*V101*Y101*VLOOKUP('Données projet'!$B$9,Paramètres!$A$1:$I$89,3,0)*0.475*44/12</f>
        <v>4.4170848862790801E-9</v>
      </c>
      <c r="AC101" s="24">
        <f t="shared" si="57"/>
        <v>3.0647733693076362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8.3000000000000007</v>
      </c>
      <c r="AI101" s="14">
        <f>IF('Données projet'!$A$62&gt;35,AI100+AH101-AQ100,IF(A101&lt;'Données projet'!$A$62,$AF$205^A101,IF(A101='Données projet'!$A$62,'Données projet'!$B$62,AI100+AH101-AQ100)))</f>
        <v>358.40000000000009</v>
      </c>
      <c r="AJ101" s="14">
        <f>AI101*VLOOKUP('Données projet'!$B$10,Paramètres!$A$1:$I$89,3,0)*VLOOKUP('Données projet'!$B$10,Paramètres!$A$1:$I$89,5,0)</f>
        <v>167.73120000000006</v>
      </c>
      <c r="AK101" s="14">
        <f t="shared" si="89"/>
        <v>42.581491199832655</v>
      </c>
      <c r="AL101" s="22">
        <f t="shared" si="58"/>
        <v>366.29460383970871</v>
      </c>
      <c r="AM101" s="62">
        <f t="shared" si="59"/>
        <v>659.62793717304203</v>
      </c>
      <c r="AN101" s="62">
        <f ca="1">AVERAGE(OFFSET($AM$3,0,0,'Données projet'!$E$10+1,1))-AVERAGE(OFFSET($H$3,0,0,'Données projet'!$E$10+1,1))</f>
        <v>259.74478933784656</v>
      </c>
      <c r="AO101" s="62">
        <f t="shared" si="90"/>
        <v>223.74038909289646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362.81292020448933</v>
      </c>
      <c r="T102" s="62">
        <f t="shared" si="88"/>
        <v>292.26503163353146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1.2883913867521508</v>
      </c>
      <c r="AA102" s="23">
        <f>EXP(-LN(2)/25)*AA101+(1-EXP(-LN(2)/25))/(LN(2)/25)*Calculateur!V102*Calculateur!X102*VLOOKUP('Données projet'!$B$9,Paramètres!$A$1:$I$89,3,0)*0.475*44/12</f>
        <v>1.702741497537098</v>
      </c>
      <c r="AB102" s="23">
        <f>EXP(-LN(2)/2)*AB101+(1-EXP(-LN(2)/2))/(LN(2)/2)*V102*Y102*VLOOKUP('Données projet'!$B$9,Paramètres!$A$1:$I$89,3,0)*0.475*44/12</f>
        <v>3.1233506761645477E-9</v>
      </c>
      <c r="AC102" s="24">
        <f t="shared" si="57"/>
        <v>2.9911328874125993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8.3000000000000007</v>
      </c>
      <c r="AI102" s="14">
        <f>IF('Données projet'!$A$62&gt;35,AI101+AH102-AQ101,IF(A102&lt;'Données projet'!$A$62,$AF$205^A102,IF(A102='Données projet'!$A$62,'Données projet'!$B$62,AI101+AH102-AQ101)))</f>
        <v>366.7000000000001</v>
      </c>
      <c r="AJ102" s="14">
        <f>AI102*VLOOKUP('Données projet'!$B$10,Paramètres!$A$1:$I$89,3,0)*VLOOKUP('Données projet'!$B$10,Paramètres!$A$1:$I$89,5,0)</f>
        <v>171.61560000000006</v>
      </c>
      <c r="AK102" s="14">
        <f t="shared" si="89"/>
        <v>43.45166480956653</v>
      </c>
      <c r="AL102" s="22">
        <f t="shared" si="58"/>
        <v>374.57548620999506</v>
      </c>
      <c r="AM102" s="62">
        <f t="shared" si="59"/>
        <v>667.90881954332838</v>
      </c>
      <c r="AN102" s="62">
        <f ca="1">AVERAGE(OFFSET($AM$3,0,0,'Données projet'!$E$10+1,1))-AVERAGE(OFFSET($H$3,0,0,'Données projet'!$E$10+1,1))</f>
        <v>259.74478933784656</v>
      </c>
      <c r="AO102" s="62">
        <f t="shared" si="90"/>
        <v>223.74038909289646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362.81292020448933</v>
      </c>
      <c r="T103" s="62">
        <f t="shared" si="88"/>
        <v>292.26503163353146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1.2631268174990917</v>
      </c>
      <c r="AA103" s="23">
        <f>EXP(-LN(2)/25)*AA102+(1-EXP(-LN(2)/25))/(LN(2)/25)*Calculateur!V103*Calculateur!X103*VLOOKUP('Données projet'!$B$9,Paramètres!$A$1:$I$89,3,0)*0.475*44/12</f>
        <v>1.6561799417436625</v>
      </c>
      <c r="AB103" s="23">
        <f>EXP(-LN(2)/2)*AB102+(1-EXP(-LN(2)/2))/(LN(2)/2)*V103*Y103*VLOOKUP('Données projet'!$B$9,Paramètres!$A$1:$I$89,3,0)*0.475*44/12</f>
        <v>2.20854244313954E-9</v>
      </c>
      <c r="AC103" s="24">
        <f t="shared" si="57"/>
        <v>2.9193067614512964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375</v>
      </c>
      <c r="AG103" s="13">
        <f>VLOOKUP(A103,'Données projet'!$A$61:$I$81,9,0)</f>
        <v>8.3000000000000007</v>
      </c>
      <c r="AH103" s="13">
        <f t="array" ref="AH103">INDEX(AG:AG,MIN(IF(ISNUMBER(AG103:AG299),ROW(AG103:AG299),"")))</f>
        <v>8.3000000000000007</v>
      </c>
      <c r="AI103" s="14">
        <f>IF('Données projet'!$A$62&gt;35,AI102+AH103-AQ102,IF(A103&lt;'Données projet'!$A$62,$AF$205^A103,IF(A103='Données projet'!$A$62,'Données projet'!$B$62,AI102+AH103-AQ102)))</f>
        <v>375.00000000000011</v>
      </c>
      <c r="AJ103" s="14">
        <f>AI103*VLOOKUP('Données projet'!$B$10,Paramètres!$A$1:$I$89,3,0)*VLOOKUP('Données projet'!$B$10,Paramètres!$A$1:$I$89,5,0)</f>
        <v>175.50000000000006</v>
      </c>
      <c r="AK103" s="14">
        <f t="shared" si="89"/>
        <v>44.319548641773906</v>
      </c>
      <c r="AL103" s="22">
        <f t="shared" si="58"/>
        <v>382.85238055108965</v>
      </c>
      <c r="AM103" s="62">
        <f t="shared" si="59"/>
        <v>676.18571388442297</v>
      </c>
      <c r="AN103" s="62">
        <f ca="1">AVERAGE(OFFSET($AM$3,0,0,'Données projet'!$E$10+1,1))-AVERAGE(OFFSET($H$3,0,0,'Données projet'!$E$10+1,1))</f>
        <v>259.74478933784656</v>
      </c>
      <c r="AO103" s="62">
        <f t="shared" si="90"/>
        <v>223.74038909289646</v>
      </c>
      <c r="AP103" s="16">
        <f>IF(ISNA(VLOOKUP(A103,'Données projet'!$A$61:$I$81,3,0)),0,VLOOKUP(A103,'Données projet'!$A$61:$I$81,3,0))</f>
        <v>9</v>
      </c>
      <c r="AQ103" s="16">
        <f>IF(ISNA(VLOOKUP(A103,'Données projet'!$A$61:$I$81,4,0)),0,VLOOKUP(A103,'Données projet'!$A$61:$I$81,4,0))</f>
        <v>375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362.81292020448933</v>
      </c>
      <c r="T104" s="62">
        <f t="shared" si="88"/>
        <v>292.26503163353146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1.2383576710392195</v>
      </c>
      <c r="AA104" s="23">
        <f>EXP(-LN(2)/25)*AA103+(1-EXP(-LN(2)/25))/(LN(2)/25)*Calculateur!V104*Calculateur!X104*VLOOKUP('Données projet'!$B$9,Paramètres!$A$1:$I$89,3,0)*0.475*44/12</f>
        <v>1.610891614141964</v>
      </c>
      <c r="AB104" s="23">
        <f>EXP(-LN(2)/2)*AB103+(1-EXP(-LN(2)/2))/(LN(2)/2)*V104*Y104*VLOOKUP('Données projet'!$B$9,Paramètres!$A$1:$I$89,3,0)*0.475*44/12</f>
        <v>1.5616753380822738E-9</v>
      </c>
      <c r="AC104" s="24">
        <f t="shared" si="57"/>
        <v>2.8492492867428587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1.1368683772161603E-13</v>
      </c>
      <c r="AJ104" s="14">
        <f>AI104*VLOOKUP('Données projet'!$B$10,Paramètres!$A$1:$I$89,3,0)*VLOOKUP('Données projet'!$B$10,Paramètres!$A$1:$I$89,5,0)</f>
        <v>5.3205440053716299E-14</v>
      </c>
      <c r="AK104" s="14">
        <f t="shared" si="89"/>
        <v>8.602146238565607E-13</v>
      </c>
      <c r="AL104" s="22">
        <f t="shared" si="58"/>
        <v>1.590873277977066E-12</v>
      </c>
      <c r="AM104" s="62">
        <f t="shared" si="59"/>
        <v>293.33333333333491</v>
      </c>
      <c r="AN104" s="62">
        <f ca="1">AVERAGE(OFFSET($AM$3,0,0,'Données projet'!$E$10+1,1))-AVERAGE(OFFSET($H$3,0,0,'Données projet'!$E$10+1,1))</f>
        <v>259.74478933784656</v>
      </c>
      <c r="AO104" s="62">
        <f t="shared" si="90"/>
        <v>223.74038909289646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362.81292020448933</v>
      </c>
      <c r="T105" s="62">
        <f t="shared" si="88"/>
        <v>292.26503163353146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1.2140742324337377</v>
      </c>
      <c r="AA105" s="23">
        <f>EXP(-LN(2)/25)*AA104+(1-EXP(-LN(2)/25))/(LN(2)/25)*Calculateur!V105*Calculateur!X105*VLOOKUP('Données projet'!$B$9,Paramètres!$A$1:$I$89,3,0)*0.475*44/12</f>
        <v>1.5668416982401439</v>
      </c>
      <c r="AB105" s="23">
        <f>EXP(-LN(2)/2)*AB104+(1-EXP(-LN(2)/2))/(LN(2)/2)*V105*Y105*VLOOKUP('Données projet'!$B$9,Paramètres!$A$1:$I$89,3,0)*0.475*44/12</f>
        <v>1.10427122156977E-9</v>
      </c>
      <c r="AC105" s="24">
        <f t="shared" si="57"/>
        <v>2.7809159317781527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1.1368683772161603E-13</v>
      </c>
      <c r="AJ105" s="14">
        <f>AI105*VLOOKUP('Données projet'!$B$10,Paramètres!$A$1:$I$89,3,0)*VLOOKUP('Données projet'!$B$10,Paramètres!$A$1:$I$89,5,0)</f>
        <v>5.3205440053716299E-14</v>
      </c>
      <c r="AK105" s="14">
        <f t="shared" si="89"/>
        <v>8.602146238565607E-13</v>
      </c>
      <c r="AL105" s="22">
        <f t="shared" si="58"/>
        <v>1.590873277977066E-12</v>
      </c>
      <c r="AM105" s="62">
        <f t="shared" si="59"/>
        <v>293.33333333333491</v>
      </c>
      <c r="AN105" s="62">
        <f ca="1">AVERAGE(OFFSET($AM$3,0,0,'Données projet'!$E$10+1,1))-AVERAGE(OFFSET($H$3,0,0,'Données projet'!$E$10+1,1))</f>
        <v>259.74478933784656</v>
      </c>
      <c r="AO105" s="62">
        <f t="shared" si="90"/>
        <v>223.74038909289646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362.81292020448933</v>
      </c>
      <c r="T106" s="62">
        <f t="shared" si="88"/>
        <v>292.26503163353146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1.1902669772478744</v>
      </c>
      <c r="AA106" s="23">
        <f>EXP(-LN(2)/25)*AA105+(1-EXP(-LN(2)/25))/(LN(2)/25)*Calculateur!V106*Calculateur!X106*VLOOKUP('Données projet'!$B$9,Paramètres!$A$1:$I$89,3,0)*0.475*44/12</f>
        <v>1.5239963296051433</v>
      </c>
      <c r="AB106" s="23">
        <f>EXP(-LN(2)/2)*AB105+(1-EXP(-LN(2)/2))/(LN(2)/2)*V106*Y106*VLOOKUP('Données projet'!$B$9,Paramètres!$A$1:$I$89,3,0)*0.475*44/12</f>
        <v>7.8083766904113691E-10</v>
      </c>
      <c r="AC106" s="24">
        <f t="shared" si="57"/>
        <v>2.7142633076338551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1.1368683772161603E-13</v>
      </c>
      <c r="AJ106" s="14">
        <f>AI106*VLOOKUP('Données projet'!$B$10,Paramètres!$A$1:$I$89,3,0)*VLOOKUP('Données projet'!$B$10,Paramètres!$A$1:$I$89,5,0)</f>
        <v>5.3205440053716299E-14</v>
      </c>
      <c r="AK106" s="14">
        <f t="shared" si="89"/>
        <v>8.602146238565607E-13</v>
      </c>
      <c r="AL106" s="22">
        <f t="shared" si="58"/>
        <v>1.590873277977066E-12</v>
      </c>
      <c r="AM106" s="62">
        <f t="shared" si="59"/>
        <v>293.33333333333491</v>
      </c>
      <c r="AN106" s="62">
        <f ca="1">AVERAGE(OFFSET($AM$3,0,0,'Données projet'!$E$10+1,1))-AVERAGE(OFFSET($H$3,0,0,'Données projet'!$E$10+1,1))</f>
        <v>259.74478933784656</v>
      </c>
      <c r="AO106" s="62">
        <f t="shared" si="90"/>
        <v>223.74038909289646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362.81292020448933</v>
      </c>
      <c r="T107" s="62">
        <f t="shared" si="88"/>
        <v>292.26503163353146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1.1669265678152141</v>
      </c>
      <c r="AA107" s="23">
        <f>EXP(-LN(2)/25)*AA106+(1-EXP(-LN(2)/25))/(LN(2)/25)*Calculateur!V107*Calculateur!X107*VLOOKUP('Données projet'!$B$9,Paramètres!$A$1:$I$89,3,0)*0.475*44/12</f>
        <v>1.4823225698286069</v>
      </c>
      <c r="AB107" s="23">
        <f>EXP(-LN(2)/2)*AB106+(1-EXP(-LN(2)/2))/(LN(2)/2)*V107*Y107*VLOOKUP('Données projet'!$B$9,Paramètres!$A$1:$I$89,3,0)*0.475*44/12</f>
        <v>5.5213561078488501E-10</v>
      </c>
      <c r="AC107" s="24">
        <f t="shared" si="57"/>
        <v>2.6492491381959566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1.1368683772161603E-13</v>
      </c>
      <c r="AJ107" s="14">
        <f>AI107*VLOOKUP('Données projet'!$B$10,Paramètres!$A$1:$I$89,3,0)*VLOOKUP('Données projet'!$B$10,Paramètres!$A$1:$I$89,5,0)</f>
        <v>5.3205440053716299E-14</v>
      </c>
      <c r="AK107" s="14">
        <f t="shared" si="89"/>
        <v>8.602146238565607E-13</v>
      </c>
      <c r="AL107" s="22">
        <f t="shared" si="58"/>
        <v>1.590873277977066E-12</v>
      </c>
      <c r="AM107" s="62">
        <f t="shared" si="59"/>
        <v>293.33333333333491</v>
      </c>
      <c r="AN107" s="62">
        <f ca="1">AVERAGE(OFFSET($AM$3,0,0,'Données projet'!$E$10+1,1))-AVERAGE(OFFSET($H$3,0,0,'Données projet'!$E$10+1,1))</f>
        <v>259.74478933784656</v>
      </c>
      <c r="AO107" s="62">
        <f t="shared" si="90"/>
        <v>223.74038909289646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362.81292020448933</v>
      </c>
      <c r="T108" s="62">
        <f t="shared" si="88"/>
        <v>292.26503163353146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1.144043849575284</v>
      </c>
      <c r="AA108" s="23">
        <f>EXP(-LN(2)/25)*AA107+(1-EXP(-LN(2)/25))/(LN(2)/25)*Calculateur!V108*Calculateur!X108*VLOOKUP('Données projet'!$B$9,Paramètres!$A$1:$I$89,3,0)*0.475*44/12</f>
        <v>1.4417883812046877</v>
      </c>
      <c r="AB108" s="23">
        <f>EXP(-LN(2)/2)*AB107+(1-EXP(-LN(2)/2))/(LN(2)/2)*V108*Y108*VLOOKUP('Données projet'!$B$9,Paramètres!$A$1:$I$89,3,0)*0.475*44/12</f>
        <v>3.9041883452056846E-10</v>
      </c>
      <c r="AC108" s="24">
        <f t="shared" si="57"/>
        <v>2.5858322311703907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1.1368683772161603E-13</v>
      </c>
      <c r="AJ108" s="14">
        <f>AI108*VLOOKUP('Données projet'!$B$10,Paramètres!$A$1:$I$89,3,0)*VLOOKUP('Données projet'!$B$10,Paramètres!$A$1:$I$89,5,0)</f>
        <v>5.3205440053716299E-14</v>
      </c>
      <c r="AK108" s="14">
        <f t="shared" si="89"/>
        <v>8.602146238565607E-13</v>
      </c>
      <c r="AL108" s="22">
        <f t="shared" si="58"/>
        <v>1.590873277977066E-12</v>
      </c>
      <c r="AM108" s="62">
        <f t="shared" si="59"/>
        <v>293.33333333333491</v>
      </c>
      <c r="AN108" s="62">
        <f ca="1">AVERAGE(OFFSET($AM$3,0,0,'Données projet'!$E$10+1,1))-AVERAGE(OFFSET($H$3,0,0,'Données projet'!$E$10+1,1))</f>
        <v>259.74478933784656</v>
      </c>
      <c r="AO108" s="62">
        <f t="shared" si="90"/>
        <v>223.74038909289646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362.81292020448933</v>
      </c>
      <c r="T109" s="62">
        <f t="shared" si="88"/>
        <v>292.26503163353146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1.1216098474829592</v>
      </c>
      <c r="AA109" s="23">
        <f>EXP(-LN(2)/25)*AA108+(1-EXP(-LN(2)/25))/(LN(2)/25)*Calculateur!V109*Calculateur!X109*VLOOKUP('Données projet'!$B$9,Paramètres!$A$1:$I$89,3,0)*0.475*44/12</f>
        <v>1.4023626021002897</v>
      </c>
      <c r="AB109" s="23">
        <f>EXP(-LN(2)/2)*AB108+(1-EXP(-LN(2)/2))/(LN(2)/2)*V109*Y109*VLOOKUP('Données projet'!$B$9,Paramètres!$A$1:$I$89,3,0)*0.475*44/12</f>
        <v>2.7606780539244251E-10</v>
      </c>
      <c r="AC109" s="24">
        <f t="shared" si="57"/>
        <v>2.5239724498593166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1.1368683772161603E-13</v>
      </c>
      <c r="AJ109" s="14">
        <f>AI109*VLOOKUP('Données projet'!$B$10,Paramètres!$A$1:$I$89,3,0)*VLOOKUP('Données projet'!$B$10,Paramètres!$A$1:$I$89,5,0)</f>
        <v>5.3205440053716299E-14</v>
      </c>
      <c r="AK109" s="14">
        <f t="shared" si="89"/>
        <v>8.602146238565607E-13</v>
      </c>
      <c r="AL109" s="22">
        <f t="shared" si="58"/>
        <v>1.590873277977066E-12</v>
      </c>
      <c r="AM109" s="62">
        <f t="shared" si="59"/>
        <v>293.33333333333491</v>
      </c>
      <c r="AN109" s="62">
        <f ca="1">AVERAGE(OFFSET($AM$3,0,0,'Données projet'!$E$10+1,1))-AVERAGE(OFFSET($H$3,0,0,'Données projet'!$E$10+1,1))</f>
        <v>259.74478933784656</v>
      </c>
      <c r="AO109" s="62">
        <f t="shared" si="90"/>
        <v>223.74038909289646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362.81292020448933</v>
      </c>
      <c r="T110" s="62">
        <f t="shared" si="88"/>
        <v>292.26503163353146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1.0996157624882748</v>
      </c>
      <c r="AA110" s="23">
        <f>EXP(-LN(2)/25)*AA109+(1-EXP(-LN(2)/25))/(LN(2)/25)*Calculateur!V110*Calculateur!X110*VLOOKUP('Données projet'!$B$9,Paramètres!$A$1:$I$89,3,0)*0.475*44/12</f>
        <v>1.3640149229988132</v>
      </c>
      <c r="AB110" s="23">
        <f>EXP(-LN(2)/2)*AB109+(1-EXP(-LN(2)/2))/(LN(2)/2)*V110*Y110*VLOOKUP('Données projet'!$B$9,Paramètres!$A$1:$I$89,3,0)*0.475*44/12</f>
        <v>1.9520941726028423E-10</v>
      </c>
      <c r="AC110" s="24">
        <f t="shared" si="57"/>
        <v>2.4636306856822974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1.1368683772161603E-13</v>
      </c>
      <c r="AJ110" s="14">
        <f>AI110*VLOOKUP('Données projet'!$B$10,Paramètres!$A$1:$I$89,3,0)*VLOOKUP('Données projet'!$B$10,Paramètres!$A$1:$I$89,5,0)</f>
        <v>5.3205440053716299E-14</v>
      </c>
      <c r="AK110" s="14">
        <f t="shared" si="89"/>
        <v>8.602146238565607E-13</v>
      </c>
      <c r="AL110" s="22">
        <f t="shared" si="58"/>
        <v>1.590873277977066E-12</v>
      </c>
      <c r="AM110" s="62">
        <f t="shared" si="59"/>
        <v>293.33333333333491</v>
      </c>
      <c r="AN110" s="62">
        <f ca="1">AVERAGE(OFFSET($AM$3,0,0,'Données projet'!$E$10+1,1))-AVERAGE(OFFSET($H$3,0,0,'Données projet'!$E$10+1,1))</f>
        <v>259.74478933784656</v>
      </c>
      <c r="AO110" s="62">
        <f t="shared" si="90"/>
        <v>223.74038909289646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362.81292020448933</v>
      </c>
      <c r="T111" s="62">
        <f t="shared" si="88"/>
        <v>292.26503163353146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1.0780529680852686</v>
      </c>
      <c r="AA111" s="23">
        <f>EXP(-LN(2)/25)*AA110+(1-EXP(-LN(2)/25))/(LN(2)/25)*Calculateur!V111*Calculateur!X111*VLOOKUP('Données projet'!$B$9,Paramètres!$A$1:$I$89,3,0)*0.475*44/12</f>
        <v>1.3267158631989833</v>
      </c>
      <c r="AB111" s="23">
        <f>EXP(-LN(2)/2)*AB110+(1-EXP(-LN(2)/2))/(LN(2)/2)*V111*Y111*VLOOKUP('Données projet'!$B$9,Paramètres!$A$1:$I$89,3,0)*0.475*44/12</f>
        <v>1.3803390269622125E-10</v>
      </c>
      <c r="AC111" s="24">
        <f t="shared" si="57"/>
        <v>2.4047688314222859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1.1368683772161603E-13</v>
      </c>
      <c r="AJ111" s="14">
        <f>AI111*VLOOKUP('Données projet'!$B$10,Paramètres!$A$1:$I$89,3,0)*VLOOKUP('Données projet'!$B$10,Paramètres!$A$1:$I$89,5,0)</f>
        <v>5.3205440053716299E-14</v>
      </c>
      <c r="AK111" s="14">
        <f t="shared" si="89"/>
        <v>8.602146238565607E-13</v>
      </c>
      <c r="AL111" s="22">
        <f t="shared" si="58"/>
        <v>1.590873277977066E-12</v>
      </c>
      <c r="AM111" s="62">
        <f t="shared" si="59"/>
        <v>293.33333333333491</v>
      </c>
      <c r="AN111" s="62">
        <f ca="1">AVERAGE(OFFSET($AM$3,0,0,'Données projet'!$E$10+1,1))-AVERAGE(OFFSET($H$3,0,0,'Données projet'!$E$10+1,1))</f>
        <v>259.74478933784656</v>
      </c>
      <c r="AO111" s="62">
        <f t="shared" si="90"/>
        <v>223.74038909289646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362.81292020448933</v>
      </c>
      <c r="T112" s="62">
        <f t="shared" si="88"/>
        <v>292.26503163353146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1.0569130069284995</v>
      </c>
      <c r="AA112" s="23">
        <f>EXP(-LN(2)/25)*AA111+(1-EXP(-LN(2)/25))/(LN(2)/25)*Calculateur!V112*Calculateur!X112*VLOOKUP('Données projet'!$B$9,Paramètres!$A$1:$I$89,3,0)*0.475*44/12</f>
        <v>1.2904367481508521</v>
      </c>
      <c r="AB112" s="23">
        <f>EXP(-LN(2)/2)*AB111+(1-EXP(-LN(2)/2))/(LN(2)/2)*V112*Y112*VLOOKUP('Données projet'!$B$9,Paramètres!$A$1:$I$89,3,0)*0.475*44/12</f>
        <v>9.7604708630142114E-11</v>
      </c>
      <c r="AC112" s="24">
        <f t="shared" si="57"/>
        <v>2.347349755176956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1.1368683772161603E-13</v>
      </c>
      <c r="AJ112" s="14">
        <f>AI112*VLOOKUP('Données projet'!$B$10,Paramètres!$A$1:$I$89,3,0)*VLOOKUP('Données projet'!$B$10,Paramètres!$A$1:$I$89,5,0)</f>
        <v>5.3205440053716299E-14</v>
      </c>
      <c r="AK112" s="14">
        <f t="shared" si="89"/>
        <v>8.602146238565607E-13</v>
      </c>
      <c r="AL112" s="22">
        <f t="shared" si="58"/>
        <v>1.590873277977066E-12</v>
      </c>
      <c r="AM112" s="62">
        <f t="shared" si="59"/>
        <v>293.33333333333491</v>
      </c>
      <c r="AN112" s="62">
        <f ca="1">AVERAGE(OFFSET($AM$3,0,0,'Données projet'!$E$10+1,1))-AVERAGE(OFFSET($H$3,0,0,'Données projet'!$E$10+1,1))</f>
        <v>259.74478933784656</v>
      </c>
      <c r="AO112" s="62">
        <f t="shared" si="90"/>
        <v>223.74038909289646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362.81292020448933</v>
      </c>
      <c r="T113" s="62">
        <f t="shared" si="88"/>
        <v>292.26503163353146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1.0361875875159117</v>
      </c>
      <c r="AA113" s="23">
        <f>EXP(-LN(2)/25)*AA112+(1-EXP(-LN(2)/25))/(LN(2)/25)*Calculateur!V113*Calculateur!X113*VLOOKUP('Données projet'!$B$9,Paramètres!$A$1:$I$89,3,0)*0.475*44/12</f>
        <v>1.2551496874115478</v>
      </c>
      <c r="AB113" s="23">
        <f>EXP(-LN(2)/2)*AB112+(1-EXP(-LN(2)/2))/(LN(2)/2)*V113*Y113*VLOOKUP('Données projet'!$B$9,Paramètres!$A$1:$I$89,3,0)*0.475*44/12</f>
        <v>6.9016951348110626E-11</v>
      </c>
      <c r="AC113" s="24">
        <f t="shared" si="57"/>
        <v>2.2913372749964762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1.1368683772161603E-13</v>
      </c>
      <c r="AJ113" s="14">
        <f>AI113*VLOOKUP('Données projet'!$B$10,Paramètres!$A$1:$I$89,3,0)*VLOOKUP('Données projet'!$B$10,Paramètres!$A$1:$I$89,5,0)</f>
        <v>5.3205440053716299E-14</v>
      </c>
      <c r="AK113" s="14">
        <f t="shared" si="89"/>
        <v>8.602146238565607E-13</v>
      </c>
      <c r="AL113" s="22">
        <f t="shared" si="58"/>
        <v>1.590873277977066E-12</v>
      </c>
      <c r="AM113" s="62">
        <f t="shared" si="59"/>
        <v>293.33333333333491</v>
      </c>
      <c r="AN113" s="62">
        <f ca="1">AVERAGE(OFFSET($AM$3,0,0,'Données projet'!$E$10+1,1))-AVERAGE(OFFSET($H$3,0,0,'Données projet'!$E$10+1,1))</f>
        <v>259.74478933784656</v>
      </c>
      <c r="AO113" s="62">
        <f t="shared" si="90"/>
        <v>223.74038909289646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362.81292020448933</v>
      </c>
      <c r="T114" s="62">
        <f t="shared" si="88"/>
        <v>292.26503163353146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1.0158685809367469</v>
      </c>
      <c r="AA114" s="23">
        <f>EXP(-LN(2)/25)*AA113+(1-EXP(-LN(2)/25))/(LN(2)/25)*Calculateur!V114*Calculateur!X114*VLOOKUP('Données projet'!$B$9,Paramètres!$A$1:$I$89,3,0)*0.475*44/12</f>
        <v>1.2208275532038255</v>
      </c>
      <c r="AB114" s="23">
        <f>EXP(-LN(2)/2)*AB113+(1-EXP(-LN(2)/2))/(LN(2)/2)*V114*Y114*VLOOKUP('Données projet'!$B$9,Paramètres!$A$1:$I$89,3,0)*0.475*44/12</f>
        <v>4.8802354315071057E-11</v>
      </c>
      <c r="AC114" s="24">
        <f t="shared" si="57"/>
        <v>2.236696134189375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1.1368683772161603E-13</v>
      </c>
      <c r="AJ114" s="14">
        <f>AI114*VLOOKUP('Données projet'!$B$10,Paramètres!$A$1:$I$89,3,0)*VLOOKUP('Données projet'!$B$10,Paramètres!$A$1:$I$89,5,0)</f>
        <v>5.3205440053716299E-14</v>
      </c>
      <c r="AK114" s="14">
        <f t="shared" si="89"/>
        <v>8.602146238565607E-13</v>
      </c>
      <c r="AL114" s="22">
        <f t="shared" si="58"/>
        <v>1.590873277977066E-12</v>
      </c>
      <c r="AM114" s="62">
        <f t="shared" si="59"/>
        <v>293.33333333333491</v>
      </c>
      <c r="AN114" s="62">
        <f ca="1">AVERAGE(OFFSET($AM$3,0,0,'Données projet'!$E$10+1,1))-AVERAGE(OFFSET($H$3,0,0,'Données projet'!$E$10+1,1))</f>
        <v>259.74478933784656</v>
      </c>
      <c r="AO114" s="62">
        <f t="shared" si="90"/>
        <v>223.74038909289646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362.81292020448933</v>
      </c>
      <c r="T115" s="62">
        <f t="shared" si="88"/>
        <v>292.26503163353146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0.99594801768322938</v>
      </c>
      <c r="AA115" s="23">
        <f>EXP(-LN(2)/25)*AA114+(1-EXP(-LN(2)/25))/(LN(2)/25)*Calculateur!V115*Calculateur!X115*VLOOKUP('Données projet'!$B$9,Paramètres!$A$1:$I$89,3,0)*0.475*44/12</f>
        <v>1.1874439595609361</v>
      </c>
      <c r="AB115" s="23">
        <f>EXP(-LN(2)/2)*AB114+(1-EXP(-LN(2)/2))/(LN(2)/2)*V115*Y115*VLOOKUP('Données projet'!$B$9,Paramètres!$A$1:$I$89,3,0)*0.475*44/12</f>
        <v>3.4508475674055313E-11</v>
      </c>
      <c r="AC115" s="24">
        <f t="shared" si="57"/>
        <v>2.1833919772786738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1.1368683772161603E-13</v>
      </c>
      <c r="AJ115" s="14">
        <f>AI115*VLOOKUP('Données projet'!$B$10,Paramètres!$A$1:$I$89,3,0)*VLOOKUP('Données projet'!$B$10,Paramètres!$A$1:$I$89,5,0)</f>
        <v>5.3205440053716299E-14</v>
      </c>
      <c r="AK115" s="14">
        <f t="shared" si="89"/>
        <v>8.602146238565607E-13</v>
      </c>
      <c r="AL115" s="22">
        <f t="shared" si="58"/>
        <v>1.590873277977066E-12</v>
      </c>
      <c r="AM115" s="62">
        <f t="shared" si="59"/>
        <v>293.33333333333491</v>
      </c>
      <c r="AN115" s="62">
        <f ca="1">AVERAGE(OFFSET($AM$3,0,0,'Données projet'!$E$10+1,1))-AVERAGE(OFFSET($H$3,0,0,'Données projet'!$E$10+1,1))</f>
        <v>259.74478933784656</v>
      </c>
      <c r="AO115" s="62">
        <f t="shared" si="90"/>
        <v>223.74038909289646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362.81292020448933</v>
      </c>
      <c r="T116" s="62">
        <f t="shared" si="88"/>
        <v>292.26503163353146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0.97641808452476953</v>
      </c>
      <c r="AA116" s="23">
        <f>EXP(-LN(2)/25)*AA115+(1-EXP(-LN(2)/25))/(LN(2)/25)*Calculateur!V116*Calculateur!X116*VLOOKUP('Données projet'!$B$9,Paramètres!$A$1:$I$89,3,0)*0.475*44/12</f>
        <v>1.1549732420417784</v>
      </c>
      <c r="AB116" s="23">
        <f>EXP(-LN(2)/2)*AB115+(1-EXP(-LN(2)/2))/(LN(2)/2)*V116*Y116*VLOOKUP('Données projet'!$B$9,Paramètres!$A$1:$I$89,3,0)*0.475*44/12</f>
        <v>2.4401177157535529E-11</v>
      </c>
      <c r="AC116" s="24">
        <f t="shared" si="57"/>
        <v>2.1313913265909492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1.1368683772161603E-13</v>
      </c>
      <c r="AJ116" s="14">
        <f>AI116*VLOOKUP('Données projet'!$B$10,Paramètres!$A$1:$I$89,3,0)*VLOOKUP('Données projet'!$B$10,Paramètres!$A$1:$I$89,5,0)</f>
        <v>5.3205440053716299E-14</v>
      </c>
      <c r="AK116" s="14">
        <f t="shared" si="89"/>
        <v>8.602146238565607E-13</v>
      </c>
      <c r="AL116" s="22">
        <f t="shared" si="58"/>
        <v>1.590873277977066E-12</v>
      </c>
      <c r="AM116" s="62">
        <f t="shared" si="59"/>
        <v>293.33333333333491</v>
      </c>
      <c r="AN116" s="62">
        <f ca="1">AVERAGE(OFFSET($AM$3,0,0,'Données projet'!$E$10+1,1))-AVERAGE(OFFSET($H$3,0,0,'Données projet'!$E$10+1,1))</f>
        <v>259.74478933784656</v>
      </c>
      <c r="AO116" s="62">
        <f t="shared" si="90"/>
        <v>223.74038909289646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362.81292020448933</v>
      </c>
      <c r="T117" s="62">
        <f t="shared" si="88"/>
        <v>292.26503163353146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0.95727112144346405</v>
      </c>
      <c r="AA117" s="23">
        <f>EXP(-LN(2)/25)*AA116+(1-EXP(-LN(2)/25))/(LN(2)/25)*Calculateur!V117*Calculateur!X117*VLOOKUP('Données projet'!$B$9,Paramètres!$A$1:$I$89,3,0)*0.475*44/12</f>
        <v>1.1233904380007429</v>
      </c>
      <c r="AB117" s="23">
        <f>EXP(-LN(2)/2)*AB116+(1-EXP(-LN(2)/2))/(LN(2)/2)*V117*Y117*VLOOKUP('Données projet'!$B$9,Paramètres!$A$1:$I$89,3,0)*0.475*44/12</f>
        <v>1.7254237837027657E-11</v>
      </c>
      <c r="AC117" s="24">
        <f t="shared" si="57"/>
        <v>2.0806615594614613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1.1368683772161603E-13</v>
      </c>
      <c r="AJ117" s="14">
        <f>AI117*VLOOKUP('Données projet'!$B$10,Paramètres!$A$1:$I$89,3,0)*VLOOKUP('Données projet'!$B$10,Paramètres!$A$1:$I$89,5,0)</f>
        <v>5.3205440053716299E-14</v>
      </c>
      <c r="AK117" s="14">
        <f t="shared" si="89"/>
        <v>8.602146238565607E-13</v>
      </c>
      <c r="AL117" s="22">
        <f t="shared" si="58"/>
        <v>1.590873277977066E-12</v>
      </c>
      <c r="AM117" s="62">
        <f t="shared" si="59"/>
        <v>293.33333333333491</v>
      </c>
      <c r="AN117" s="62">
        <f ca="1">AVERAGE(OFFSET($AM$3,0,0,'Données projet'!$E$10+1,1))-AVERAGE(OFFSET($H$3,0,0,'Données projet'!$E$10+1,1))</f>
        <v>259.74478933784656</v>
      </c>
      <c r="AO117" s="62">
        <f t="shared" si="90"/>
        <v>223.74038909289646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362.81292020448933</v>
      </c>
      <c r="T118" s="62">
        <f t="shared" si="88"/>
        <v>292.26503163353146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0.93849961862968867</v>
      </c>
      <c r="AA118" s="23">
        <f>EXP(-LN(2)/25)*AA117+(1-EXP(-LN(2)/25))/(LN(2)/25)*Calculateur!V118*Calculateur!X118*VLOOKUP('Données projet'!$B$9,Paramètres!$A$1:$I$89,3,0)*0.475*44/12</f>
        <v>1.0926712673970771</v>
      </c>
      <c r="AB118" s="23">
        <f>EXP(-LN(2)/2)*AB117+(1-EXP(-LN(2)/2))/(LN(2)/2)*V118*Y118*VLOOKUP('Données projet'!$B$9,Paramètres!$A$1:$I$89,3,0)*0.475*44/12</f>
        <v>1.2200588578767764E-11</v>
      </c>
      <c r="AC118" s="24">
        <f t="shared" si="57"/>
        <v>2.0311708860389661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1.1368683772161603E-13</v>
      </c>
      <c r="AJ118" s="14">
        <f>AI118*VLOOKUP('Données projet'!$B$10,Paramètres!$A$1:$I$89,3,0)*VLOOKUP('Données projet'!$B$10,Paramètres!$A$1:$I$89,5,0)</f>
        <v>5.3205440053716299E-14</v>
      </c>
      <c r="AK118" s="14">
        <f t="shared" si="89"/>
        <v>8.602146238565607E-13</v>
      </c>
      <c r="AL118" s="22">
        <f t="shared" si="58"/>
        <v>1.590873277977066E-12</v>
      </c>
      <c r="AM118" s="62">
        <f t="shared" si="59"/>
        <v>293.33333333333491</v>
      </c>
      <c r="AN118" s="62">
        <f ca="1">AVERAGE(OFFSET($AM$3,0,0,'Données projet'!$E$10+1,1))-AVERAGE(OFFSET($H$3,0,0,'Données projet'!$E$10+1,1))</f>
        <v>259.74478933784656</v>
      </c>
      <c r="AO118" s="62">
        <f t="shared" si="90"/>
        <v>223.74038909289646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362.81292020448933</v>
      </c>
      <c r="T119" s="62">
        <f t="shared" si="88"/>
        <v>292.26503163353146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0.9200962135366052</v>
      </c>
      <c r="AA119" s="23">
        <f>EXP(-LN(2)/25)*AA118+(1-EXP(-LN(2)/25))/(LN(2)/25)*Calculateur!V119*Calculateur!X119*VLOOKUP('Données projet'!$B$9,Paramètres!$A$1:$I$89,3,0)*0.475*44/12</f>
        <v>1.0627921141290193</v>
      </c>
      <c r="AB119" s="23">
        <f>EXP(-LN(2)/2)*AB118+(1-EXP(-LN(2)/2))/(LN(2)/2)*V119*Y119*VLOOKUP('Données projet'!$B$9,Paramètres!$A$1:$I$89,3,0)*0.475*44/12</f>
        <v>8.6271189185138283E-12</v>
      </c>
      <c r="AC119" s="24">
        <f t="shared" si="57"/>
        <v>1.9828883276742515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1.1368683772161603E-13</v>
      </c>
      <c r="AJ119" s="14">
        <f>AI119*VLOOKUP('Données projet'!$B$10,Paramètres!$A$1:$I$89,3,0)*VLOOKUP('Données projet'!$B$10,Paramètres!$A$1:$I$89,5,0)</f>
        <v>5.3205440053716299E-14</v>
      </c>
      <c r="AK119" s="14">
        <f t="shared" si="89"/>
        <v>8.602146238565607E-13</v>
      </c>
      <c r="AL119" s="22">
        <f t="shared" si="58"/>
        <v>1.590873277977066E-12</v>
      </c>
      <c r="AM119" s="62">
        <f t="shared" si="59"/>
        <v>293.33333333333491</v>
      </c>
      <c r="AN119" s="62">
        <f ca="1">AVERAGE(OFFSET($AM$3,0,0,'Données projet'!$E$10+1,1))-AVERAGE(OFFSET($H$3,0,0,'Données projet'!$E$10+1,1))</f>
        <v>259.74478933784656</v>
      </c>
      <c r="AO119" s="62">
        <f t="shared" si="90"/>
        <v>223.74038909289646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362.81292020448933</v>
      </c>
      <c r="T120" s="62">
        <f t="shared" si="88"/>
        <v>292.26503163353146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0.90205368799242835</v>
      </c>
      <c r="AA120" s="23">
        <f>EXP(-LN(2)/25)*AA119+(1-EXP(-LN(2)/25))/(LN(2)/25)*Calculateur!V120*Calculateur!X120*VLOOKUP('Données projet'!$B$9,Paramètres!$A$1:$I$89,3,0)*0.475*44/12</f>
        <v>1.0337300078783531</v>
      </c>
      <c r="AB120" s="23">
        <f>EXP(-LN(2)/2)*AB119+(1-EXP(-LN(2)/2))/(LN(2)/2)*V120*Y120*VLOOKUP('Données projet'!$B$9,Paramètres!$A$1:$I$89,3,0)*0.475*44/12</f>
        <v>6.1002942893838821E-12</v>
      </c>
      <c r="AC120" s="24">
        <f t="shared" si="57"/>
        <v>1.9357836958768817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1.1368683772161603E-13</v>
      </c>
      <c r="AJ120" s="14">
        <f>AI120*VLOOKUP('Données projet'!$B$10,Paramètres!$A$1:$I$89,3,0)*VLOOKUP('Données projet'!$B$10,Paramètres!$A$1:$I$89,5,0)</f>
        <v>5.3205440053716299E-14</v>
      </c>
      <c r="AK120" s="14">
        <f t="shared" si="89"/>
        <v>8.602146238565607E-13</v>
      </c>
      <c r="AL120" s="22">
        <f t="shared" si="58"/>
        <v>1.590873277977066E-12</v>
      </c>
      <c r="AM120" s="62">
        <f t="shared" si="59"/>
        <v>293.33333333333491</v>
      </c>
      <c r="AN120" s="62">
        <f ca="1">AVERAGE(OFFSET($AM$3,0,0,'Données projet'!$E$10+1,1))-AVERAGE(OFFSET($H$3,0,0,'Données projet'!$E$10+1,1))</f>
        <v>259.74478933784656</v>
      </c>
      <c r="AO120" s="62">
        <f t="shared" si="90"/>
        <v>223.74038909289646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362.81292020448933</v>
      </c>
      <c r="T121" s="62">
        <f t="shared" si="88"/>
        <v>292.26503163353146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0.88436496536931897</v>
      </c>
      <c r="AA121" s="23">
        <f>EXP(-LN(2)/25)*AA120+(1-EXP(-LN(2)/25))/(LN(2)/25)*Calculateur!V121*Calculateur!X121*VLOOKUP('Données projet'!$B$9,Paramètres!$A$1:$I$89,3,0)*0.475*44/12</f>
        <v>1.0054626064514212</v>
      </c>
      <c r="AB121" s="23">
        <f>EXP(-LN(2)/2)*AB120+(1-EXP(-LN(2)/2))/(LN(2)/2)*V121*Y121*VLOOKUP('Données projet'!$B$9,Paramètres!$A$1:$I$89,3,0)*0.475*44/12</f>
        <v>4.3135594592569142E-12</v>
      </c>
      <c r="AC121" s="24">
        <f t="shared" si="57"/>
        <v>1.8898275718250537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1.1368683772161603E-13</v>
      </c>
      <c r="AJ121" s="14">
        <f>AI121*VLOOKUP('Données projet'!$B$10,Paramètres!$A$1:$I$89,3,0)*VLOOKUP('Données projet'!$B$10,Paramètres!$A$1:$I$89,5,0)</f>
        <v>5.3205440053716299E-14</v>
      </c>
      <c r="AK121" s="14">
        <f t="shared" si="89"/>
        <v>8.602146238565607E-13</v>
      </c>
      <c r="AL121" s="22">
        <f t="shared" si="58"/>
        <v>1.590873277977066E-12</v>
      </c>
      <c r="AM121" s="62">
        <f t="shared" si="59"/>
        <v>293.33333333333491</v>
      </c>
      <c r="AN121" s="62">
        <f ca="1">AVERAGE(OFFSET($AM$3,0,0,'Données projet'!$E$10+1,1))-AVERAGE(OFFSET($H$3,0,0,'Données projet'!$E$10+1,1))</f>
        <v>259.74478933784656</v>
      </c>
      <c r="AO121" s="62">
        <f t="shared" si="90"/>
        <v>223.74038909289646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362.81292020448933</v>
      </c>
      <c r="T122" s="62">
        <f t="shared" si="88"/>
        <v>292.26503163353146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0.86702310780779324</v>
      </c>
      <c r="AA122" s="23">
        <f>EXP(-LN(2)/25)*AA121+(1-EXP(-LN(2)/25))/(LN(2)/25)*Calculateur!V122*Calculateur!X122*VLOOKUP('Données projet'!$B$9,Paramètres!$A$1:$I$89,3,0)*0.475*44/12</f>
        <v>0.97796817860302654</v>
      </c>
      <c r="AB122" s="23">
        <f>EXP(-LN(2)/2)*AB121+(1-EXP(-LN(2)/2))/(LN(2)/2)*V122*Y122*VLOOKUP('Données projet'!$B$9,Paramètres!$A$1:$I$89,3,0)*0.475*44/12</f>
        <v>3.0501471446919411E-12</v>
      </c>
      <c r="AC122" s="24">
        <f t="shared" si="57"/>
        <v>1.84499128641387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1.1368683772161603E-13</v>
      </c>
      <c r="AJ122" s="14">
        <f>AI122*VLOOKUP('Données projet'!$B$10,Paramètres!$A$1:$I$89,3,0)*VLOOKUP('Données projet'!$B$10,Paramètres!$A$1:$I$89,5,0)</f>
        <v>5.3205440053716299E-14</v>
      </c>
      <c r="AK122" s="14">
        <f t="shared" si="89"/>
        <v>8.602146238565607E-13</v>
      </c>
      <c r="AL122" s="22">
        <f t="shared" si="58"/>
        <v>1.590873277977066E-12</v>
      </c>
      <c r="AM122" s="62">
        <f t="shared" si="59"/>
        <v>293.33333333333491</v>
      </c>
      <c r="AN122" s="62">
        <f ca="1">AVERAGE(OFFSET($AM$3,0,0,'Données projet'!$E$10+1,1))-AVERAGE(OFFSET($H$3,0,0,'Données projet'!$E$10+1,1))</f>
        <v>259.74478933784656</v>
      </c>
      <c r="AO122" s="62">
        <f t="shared" si="90"/>
        <v>223.74038909289646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362.81292020448933</v>
      </c>
      <c r="T123" s="62">
        <f t="shared" si="88"/>
        <v>292.26503163353146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0.85002131349556032</v>
      </c>
      <c r="AA123" s="23">
        <f>EXP(-LN(2)/25)*AA122+(1-EXP(-LN(2)/25))/(LN(2)/25)*Calculateur!V123*Calculateur!X123*VLOOKUP('Données projet'!$B$9,Paramètres!$A$1:$I$89,3,0)*0.475*44/12</f>
        <v>0.95122558733001539</v>
      </c>
      <c r="AB123" s="23">
        <f>EXP(-LN(2)/2)*AB122+(1-EXP(-LN(2)/2))/(LN(2)/2)*V123*Y123*VLOOKUP('Données projet'!$B$9,Paramètres!$A$1:$I$89,3,0)*0.475*44/12</f>
        <v>2.1567797296284571E-12</v>
      </c>
      <c r="AC123" s="24">
        <f t="shared" si="57"/>
        <v>1.8012469008277325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1.1368683772161603E-13</v>
      </c>
      <c r="AJ123" s="14">
        <f>AI123*VLOOKUP('Données projet'!$B$10,Paramètres!$A$1:$I$89,3,0)*VLOOKUP('Données projet'!$B$10,Paramètres!$A$1:$I$89,5,0)</f>
        <v>5.3205440053716299E-14</v>
      </c>
      <c r="AK123" s="14">
        <f t="shared" si="89"/>
        <v>8.602146238565607E-13</v>
      </c>
      <c r="AL123" s="22">
        <f t="shared" si="58"/>
        <v>1.590873277977066E-12</v>
      </c>
      <c r="AM123" s="62">
        <f t="shared" si="59"/>
        <v>293.33333333333491</v>
      </c>
      <c r="AN123" s="62">
        <f ca="1">AVERAGE(OFFSET($AM$3,0,0,'Données projet'!$E$10+1,1))-AVERAGE(OFFSET($H$3,0,0,'Données projet'!$E$10+1,1))</f>
        <v>259.74478933784656</v>
      </c>
      <c r="AO123" s="62">
        <f t="shared" si="90"/>
        <v>223.74038909289646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362.81292020448933</v>
      </c>
      <c r="T124" s="62">
        <f t="shared" si="88"/>
        <v>292.26503163353146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0.83335291399971978</v>
      </c>
      <c r="AA124" s="23">
        <f>EXP(-LN(2)/25)*AA123+(1-EXP(-LN(2)/25))/(LN(2)/25)*Calculateur!V124*Calculateur!X124*VLOOKUP('Données projet'!$B$9,Paramètres!$A$1:$I$89,3,0)*0.475*44/12</f>
        <v>0.9252142736216965</v>
      </c>
      <c r="AB124" s="23">
        <f>EXP(-LN(2)/2)*AB123+(1-EXP(-LN(2)/2))/(LN(2)/2)*V124*Y124*VLOOKUP('Données projet'!$B$9,Paramètres!$A$1:$I$89,3,0)*0.475*44/12</f>
        <v>1.5250735723459705E-12</v>
      </c>
      <c r="AC124" s="24">
        <f t="shared" si="57"/>
        <v>1.7585671876229414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5.3205440053716299E-14</v>
      </c>
      <c r="AK124" s="14">
        <f t="shared" si="89"/>
        <v>8.602146238565607E-13</v>
      </c>
      <c r="AL124" s="22">
        <f t="shared" si="58"/>
        <v>1.590873277977066E-12</v>
      </c>
      <c r="AM124" s="62">
        <f t="shared" si="59"/>
        <v>293.33333333333491</v>
      </c>
      <c r="AN124" s="62">
        <f ca="1">AVERAGE(OFFSET($AM$3,0,0,'Données projet'!$E$10+1,1))-AVERAGE(OFFSET($H$3,0,0,'Données projet'!$E$10+1,1))</f>
        <v>259.74478933784656</v>
      </c>
      <c r="AO124" s="62">
        <f t="shared" si="90"/>
        <v>223.74038909289646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362.81292020448933</v>
      </c>
      <c r="T125" s="62">
        <f t="shared" si="88"/>
        <v>292.26503163353146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0.8170113716512728</v>
      </c>
      <c r="AA125" s="23">
        <f>EXP(-LN(2)/25)*AA124+(1-EXP(-LN(2)/25))/(LN(2)/25)*Calculateur!V125*Calculateur!X125*VLOOKUP('Données projet'!$B$9,Paramètres!$A$1:$I$89,3,0)*0.475*44/12</f>
        <v>0.89991424065460712</v>
      </c>
      <c r="AB125" s="23">
        <f>EXP(-LN(2)/2)*AB124+(1-EXP(-LN(2)/2))/(LN(2)/2)*V125*Y125*VLOOKUP('Données projet'!$B$9,Paramètres!$A$1:$I$89,3,0)*0.475*44/12</f>
        <v>1.0783898648142285E-12</v>
      </c>
      <c r="AC125" s="24">
        <f t="shared" si="57"/>
        <v>1.7169256123069585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5.3205440053716299E-14</v>
      </c>
      <c r="AK125" s="14">
        <f t="shared" si="89"/>
        <v>8.602146238565607E-13</v>
      </c>
      <c r="AL125" s="22">
        <f t="shared" si="58"/>
        <v>1.590873277977066E-12</v>
      </c>
      <c r="AM125" s="62">
        <f t="shared" si="59"/>
        <v>293.33333333333491</v>
      </c>
      <c r="AN125" s="62">
        <f ca="1">AVERAGE(OFFSET($AM$3,0,0,'Données projet'!$E$10+1,1))-AVERAGE(OFFSET($H$3,0,0,'Données projet'!$E$10+1,1))</f>
        <v>259.74478933784656</v>
      </c>
      <c r="AO125" s="62">
        <f t="shared" si="90"/>
        <v>223.74038909289646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362.81292020448933</v>
      </c>
      <c r="T126" s="62">
        <f t="shared" si="88"/>
        <v>292.26503163353146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0.80099027698092229</v>
      </c>
      <c r="AA126" s="23">
        <f>EXP(-LN(2)/25)*AA125+(1-EXP(-LN(2)/25))/(LN(2)/25)*Calculateur!V126*Calculateur!X126*VLOOKUP('Données projet'!$B$9,Paramètres!$A$1:$I$89,3,0)*0.475*44/12</f>
        <v>0.87530603841947374</v>
      </c>
      <c r="AB126" s="23">
        <f>EXP(-LN(2)/2)*AB125+(1-EXP(-LN(2)/2))/(LN(2)/2)*V126*Y126*VLOOKUP('Données projet'!$B$9,Paramètres!$A$1:$I$89,3,0)*0.475*44/12</f>
        <v>7.6253678617298527E-13</v>
      </c>
      <c r="AC126" s="24">
        <f t="shared" si="57"/>
        <v>1.6762963154011585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5.3205440053716299E-14</v>
      </c>
      <c r="AK126" s="14">
        <f t="shared" si="89"/>
        <v>8.602146238565607E-13</v>
      </c>
      <c r="AL126" s="22">
        <f t="shared" si="58"/>
        <v>1.590873277977066E-12</v>
      </c>
      <c r="AM126" s="62">
        <f t="shared" si="59"/>
        <v>293.33333333333491</v>
      </c>
      <c r="AN126" s="62">
        <f ca="1">AVERAGE(OFFSET($AM$3,0,0,'Données projet'!$E$10+1,1))-AVERAGE(OFFSET($H$3,0,0,'Données projet'!$E$10+1,1))</f>
        <v>259.74478933784656</v>
      </c>
      <c r="AO126" s="62">
        <f t="shared" si="90"/>
        <v>223.74038909289646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362.81292020448933</v>
      </c>
      <c r="T127" s="62">
        <f t="shared" si="88"/>
        <v>292.26503163353146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0.7852833462051545</v>
      </c>
      <c r="AA127" s="23">
        <f>EXP(-LN(2)/25)*AA126+(1-EXP(-LN(2)/25))/(LN(2)/25)*Calculateur!V127*Calculateur!X127*VLOOKUP('Données projet'!$B$9,Paramètres!$A$1:$I$89,3,0)*0.475*44/12</f>
        <v>0.85137074876854923</v>
      </c>
      <c r="AB127" s="23">
        <f>EXP(-LN(2)/2)*AB126+(1-EXP(-LN(2)/2))/(LN(2)/2)*V127*Y127*VLOOKUP('Données projet'!$B$9,Paramètres!$A$1:$I$89,3,0)*0.475*44/12</f>
        <v>5.3919493240711427E-13</v>
      </c>
      <c r="AC127" s="24">
        <f t="shared" si="57"/>
        <v>1.6366540949742427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5.3205440053716299E-14</v>
      </c>
      <c r="AK127" s="14">
        <f t="shared" si="89"/>
        <v>8.602146238565607E-13</v>
      </c>
      <c r="AL127" s="22">
        <f t="shared" si="58"/>
        <v>1.590873277977066E-12</v>
      </c>
      <c r="AM127" s="62">
        <f t="shared" si="59"/>
        <v>293.33333333333491</v>
      </c>
      <c r="AN127" s="62">
        <f ca="1">AVERAGE(OFFSET($AM$3,0,0,'Données projet'!$E$10+1,1))-AVERAGE(OFFSET($H$3,0,0,'Données projet'!$E$10+1,1))</f>
        <v>259.74478933784656</v>
      </c>
      <c r="AO127" s="62">
        <f t="shared" si="90"/>
        <v>223.74038909289646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362.81292020448933</v>
      </c>
      <c r="T128" s="62">
        <f t="shared" si="88"/>
        <v>292.26503163353146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0.76988441876161773</v>
      </c>
      <c r="AA128" s="23">
        <f>EXP(-LN(2)/25)*AA127+(1-EXP(-LN(2)/25))/(LN(2)/25)*Calculateur!V128*Calculateur!X128*VLOOKUP('Données projet'!$B$9,Paramètres!$A$1:$I$89,3,0)*0.475*44/12</f>
        <v>0.82808997087183145</v>
      </c>
      <c r="AB128" s="23">
        <f>EXP(-LN(2)/2)*AB127+(1-EXP(-LN(2)/2))/(LN(2)/2)*V128*Y128*VLOOKUP('Données projet'!$B$9,Paramètres!$A$1:$I$89,3,0)*0.475*44/12</f>
        <v>3.8126839308649263E-13</v>
      </c>
      <c r="AC128" s="24">
        <f t="shared" si="57"/>
        <v>1.5979743896338305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5.3205440053716299E-14</v>
      </c>
      <c r="AK128" s="14">
        <f t="shared" si="89"/>
        <v>8.602146238565607E-13</v>
      </c>
      <c r="AL128" s="22">
        <f t="shared" si="58"/>
        <v>1.590873277977066E-12</v>
      </c>
      <c r="AM128" s="62">
        <f t="shared" si="59"/>
        <v>293.33333333333491</v>
      </c>
      <c r="AN128" s="62">
        <f ca="1">AVERAGE(OFFSET($AM$3,0,0,'Données projet'!$E$10+1,1))-AVERAGE(OFFSET($H$3,0,0,'Données projet'!$E$10+1,1))</f>
        <v>259.74478933784656</v>
      </c>
      <c r="AO128" s="62">
        <f t="shared" si="90"/>
        <v>223.74038909289646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362.81292020448933</v>
      </c>
      <c r="T129" s="62">
        <f t="shared" si="88"/>
        <v>292.26503163353146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0.75478745489283039</v>
      </c>
      <c r="AA129" s="23">
        <f>EXP(-LN(2)/25)*AA128+(1-EXP(-LN(2)/25))/(LN(2)/25)*Calculateur!V129*Calculateur!X129*VLOOKUP('Données projet'!$B$9,Paramètres!$A$1:$I$89,3,0)*0.475*44/12</f>
        <v>0.80544580707098223</v>
      </c>
      <c r="AB129" s="23">
        <f>EXP(-LN(2)/2)*AB128+(1-EXP(-LN(2)/2))/(LN(2)/2)*V129*Y129*VLOOKUP('Données projet'!$B$9,Paramètres!$A$1:$I$89,3,0)*0.475*44/12</f>
        <v>2.6959746620355713E-13</v>
      </c>
      <c r="AC129" s="24">
        <f t="shared" si="57"/>
        <v>1.5602332619640822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5.3205440053716299E-14</v>
      </c>
      <c r="AK129" s="14">
        <f t="shared" si="89"/>
        <v>8.602146238565607E-13</v>
      </c>
      <c r="AL129" s="22">
        <f t="shared" si="58"/>
        <v>1.590873277977066E-12</v>
      </c>
      <c r="AM129" s="62">
        <f t="shared" si="59"/>
        <v>293.33333333333491</v>
      </c>
      <c r="AN129" s="62">
        <f ca="1">AVERAGE(OFFSET($AM$3,0,0,'Données projet'!$E$10+1,1))-AVERAGE(OFFSET($H$3,0,0,'Données projet'!$E$10+1,1))</f>
        <v>259.74478933784656</v>
      </c>
      <c r="AO129" s="62">
        <f t="shared" si="90"/>
        <v>223.74038909289646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362.81292020448933</v>
      </c>
      <c r="T130" s="62">
        <f t="shared" si="88"/>
        <v>292.26503163353146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0.73998653327727126</v>
      </c>
      <c r="AA130" s="23">
        <f>EXP(-LN(2)/25)*AA129+(1-EXP(-LN(2)/25))/(LN(2)/25)*Calculateur!V130*Calculateur!X130*VLOOKUP('Données projet'!$B$9,Paramètres!$A$1:$I$89,3,0)*0.475*44/12</f>
        <v>0.78342084912007215</v>
      </c>
      <c r="AB130" s="23">
        <f>EXP(-LN(2)/2)*AB129+(1-EXP(-LN(2)/2))/(LN(2)/2)*V130*Y130*VLOOKUP('Données projet'!$B$9,Paramètres!$A$1:$I$89,3,0)*0.475*44/12</f>
        <v>1.9063419654324632E-13</v>
      </c>
      <c r="AC130" s="24">
        <f t="shared" si="57"/>
        <v>1.523407382397534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5.3205440053716299E-14</v>
      </c>
      <c r="AK130" s="14">
        <f t="shared" si="89"/>
        <v>8.602146238565607E-13</v>
      </c>
      <c r="AL130" s="22">
        <f t="shared" si="58"/>
        <v>1.590873277977066E-12</v>
      </c>
      <c r="AM130" s="62">
        <f t="shared" si="59"/>
        <v>293.33333333333491</v>
      </c>
      <c r="AN130" s="62">
        <f ca="1">AVERAGE(OFFSET($AM$3,0,0,'Données projet'!$E$10+1,1))-AVERAGE(OFFSET($H$3,0,0,'Données projet'!$E$10+1,1))</f>
        <v>259.74478933784656</v>
      </c>
      <c r="AO130" s="62">
        <f t="shared" si="90"/>
        <v>223.74038909289646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362.81292020448933</v>
      </c>
      <c r="T131" s="62">
        <f t="shared" si="88"/>
        <v>292.26503163353146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0.72547584870692239</v>
      </c>
      <c r="AA131" s="23">
        <f>EXP(-LN(2)/25)*AA130+(1-EXP(-LN(2)/25))/(LN(2)/25)*Calculateur!V131*Calculateur!X131*VLOOKUP('Données projet'!$B$9,Paramètres!$A$1:$I$89,3,0)*0.475*44/12</f>
        <v>0.76199816480257188</v>
      </c>
      <c r="AB131" s="23">
        <f>EXP(-LN(2)/2)*AB130+(1-EXP(-LN(2)/2))/(LN(2)/2)*V131*Y131*VLOOKUP('Données projet'!$B$9,Paramètres!$A$1:$I$89,3,0)*0.475*44/12</f>
        <v>1.3479873310177857E-13</v>
      </c>
      <c r="AC131" s="24">
        <f t="shared" si="57"/>
        <v>1.4874740135096289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5.3205440053716299E-14</v>
      </c>
      <c r="AK131" s="14">
        <f t="shared" si="89"/>
        <v>8.602146238565607E-13</v>
      </c>
      <c r="AL131" s="22">
        <f t="shared" si="58"/>
        <v>1.590873277977066E-12</v>
      </c>
      <c r="AM131" s="62">
        <f t="shared" si="59"/>
        <v>293.33333333333491</v>
      </c>
      <c r="AN131" s="62">
        <f ca="1">AVERAGE(OFFSET($AM$3,0,0,'Données projet'!$E$10+1,1))-AVERAGE(OFFSET($H$3,0,0,'Données projet'!$E$10+1,1))</f>
        <v>259.74478933784656</v>
      </c>
      <c r="AO131" s="62">
        <f t="shared" si="90"/>
        <v>223.74038909289646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362.81292020448933</v>
      </c>
      <c r="T132" s="62">
        <f t="shared" si="88"/>
        <v>292.26503163353146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0.7112497098103544</v>
      </c>
      <c r="AA132" s="23">
        <f>EXP(-LN(2)/25)*AA131+(1-EXP(-LN(2)/25))/(LN(2)/25)*Calculateur!V132*Calculateur!X132*VLOOKUP('Données projet'!$B$9,Paramètres!$A$1:$I$89,3,0)*0.475*44/12</f>
        <v>0.74116128491430366</v>
      </c>
      <c r="AB132" s="23">
        <f>EXP(-LN(2)/2)*AB131+(1-EXP(-LN(2)/2))/(LN(2)/2)*V132*Y132*VLOOKUP('Données projet'!$B$9,Paramètres!$A$1:$I$89,3,0)*0.475*44/12</f>
        <v>9.5317098271623158E-14</v>
      </c>
      <c r="AC132" s="24">
        <f t="shared" ref="AC132:AC153" si="111">SUM(Z132:AB132)</f>
        <v>1.4524109947247534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5.3205440053716299E-14</v>
      </c>
      <c r="AK132" s="14">
        <f t="shared" si="89"/>
        <v>8.602146238565607E-13</v>
      </c>
      <c r="AL132" s="22">
        <f t="shared" ref="AL132:AL153" si="112">(AJ132+AK132)*0.475*44/12</f>
        <v>1.590873277977066E-12</v>
      </c>
      <c r="AM132" s="62">
        <f t="shared" ref="AM132:AM195" si="113">AL132+(AD132+AE132)*44/12</f>
        <v>293.33333333333491</v>
      </c>
      <c r="AN132" s="62">
        <f ca="1">AVERAGE(OFFSET($AM$3,0,0,'Données projet'!$E$10+1,1))-AVERAGE(OFFSET($H$3,0,0,'Données projet'!$E$10+1,1))</f>
        <v>259.74478933784656</v>
      </c>
      <c r="AO132" s="62">
        <f t="shared" si="90"/>
        <v>223.74038909289646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362.81292020448933</v>
      </c>
      <c r="T133" s="62">
        <f t="shared" ref="T133:T196" si="142">$T$3</f>
        <v>292.26503163353146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0.69730253682046017</v>
      </c>
      <c r="AA133" s="23">
        <f>EXP(-LN(2)/25)*AA132+(1-EXP(-LN(2)/25))/(LN(2)/25)*Calculateur!V133*Calculateur!X133*VLOOKUP('Données projet'!$B$9,Paramètres!$A$1:$I$89,3,0)*0.475*44/12</f>
        <v>0.72089419060234405</v>
      </c>
      <c r="AB133" s="23">
        <f>EXP(-LN(2)/2)*AB132+(1-EXP(-LN(2)/2))/(LN(2)/2)*V133*Y133*VLOOKUP('Données projet'!$B$9,Paramètres!$A$1:$I$89,3,0)*0.475*44/12</f>
        <v>6.7399366550889284E-14</v>
      </c>
      <c r="AC133" s="24">
        <f t="shared" si="111"/>
        <v>1.4181967274228717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5.3205440053716299E-14</v>
      </c>
      <c r="AK133" s="14">
        <f t="shared" ref="AK133:AK153" si="143">EXP(-1.0587+0.8836*LN(AJ133)+0.284)</f>
        <v>8.602146238565607E-13</v>
      </c>
      <c r="AL133" s="22">
        <f t="shared" si="112"/>
        <v>1.590873277977066E-12</v>
      </c>
      <c r="AM133" s="62">
        <f t="shared" si="113"/>
        <v>293.33333333333491</v>
      </c>
      <c r="AN133" s="62">
        <f ca="1">AVERAGE(OFFSET($AM$3,0,0,'Données projet'!$E$10+1,1))-AVERAGE(OFFSET($H$3,0,0,'Données projet'!$E$10+1,1))</f>
        <v>259.74478933784656</v>
      </c>
      <c r="AO133" s="62">
        <f t="shared" ref="AO133:AO196" si="144">$AO$3</f>
        <v>223.74038909289646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362.81292020448933</v>
      </c>
      <c r="T134" s="62">
        <f t="shared" si="142"/>
        <v>292.26503163353146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0.6836288593859623</v>
      </c>
      <c r="AA134" s="23">
        <f>EXP(-LN(2)/25)*AA133+(1-EXP(-LN(2)/25))/(LN(2)/25)*Calculateur!V134*Calculateur!X134*VLOOKUP('Données projet'!$B$9,Paramètres!$A$1:$I$89,3,0)*0.475*44/12</f>
        <v>0.70118130105014509</v>
      </c>
      <c r="AB134" s="23">
        <f>EXP(-LN(2)/2)*AB133+(1-EXP(-LN(2)/2))/(LN(2)/2)*V134*Y134*VLOOKUP('Données projet'!$B$9,Paramètres!$A$1:$I$89,3,0)*0.475*44/12</f>
        <v>4.7658549135811579E-14</v>
      </c>
      <c r="AC134" s="24">
        <f t="shared" si="111"/>
        <v>1.3848101604361551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5.3205440053716299E-14</v>
      </c>
      <c r="AK134" s="14">
        <f t="shared" si="143"/>
        <v>8.602146238565607E-13</v>
      </c>
      <c r="AL134" s="22">
        <f t="shared" si="112"/>
        <v>1.590873277977066E-12</v>
      </c>
      <c r="AM134" s="62">
        <f t="shared" si="113"/>
        <v>293.33333333333491</v>
      </c>
      <c r="AN134" s="62">
        <f ca="1">AVERAGE(OFFSET($AM$3,0,0,'Données projet'!$E$10+1,1))-AVERAGE(OFFSET($H$3,0,0,'Données projet'!$E$10+1,1))</f>
        <v>259.74478933784656</v>
      </c>
      <c r="AO134" s="62">
        <f t="shared" si="144"/>
        <v>223.74038909289646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362.81292020448933</v>
      </c>
      <c r="T135" s="62">
        <f t="shared" si="142"/>
        <v>292.26503163353146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0.67022331442583516</v>
      </c>
      <c r="AA135" s="23">
        <f>EXP(-LN(2)/25)*AA134+(1-EXP(-LN(2)/25))/(LN(2)/25)*Calculateur!V135*Calculateur!X135*VLOOKUP('Données projet'!$B$9,Paramètres!$A$1:$I$89,3,0)*0.475*44/12</f>
        <v>0.68200746149940683</v>
      </c>
      <c r="AB135" s="23">
        <f>EXP(-LN(2)/2)*AB134+(1-EXP(-LN(2)/2))/(LN(2)/2)*V135*Y135*VLOOKUP('Données projet'!$B$9,Paramètres!$A$1:$I$89,3,0)*0.475*44/12</f>
        <v>3.3699683275444642E-14</v>
      </c>
      <c r="AC135" s="24">
        <f t="shared" si="111"/>
        <v>1.3522307759252756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5.3205440053716299E-14</v>
      </c>
      <c r="AK135" s="14">
        <f t="shared" si="143"/>
        <v>8.602146238565607E-13</v>
      </c>
      <c r="AL135" s="22">
        <f t="shared" si="112"/>
        <v>1.590873277977066E-12</v>
      </c>
      <c r="AM135" s="62">
        <f t="shared" si="113"/>
        <v>293.33333333333491</v>
      </c>
      <c r="AN135" s="62">
        <f ca="1">AVERAGE(OFFSET($AM$3,0,0,'Données projet'!$E$10+1,1))-AVERAGE(OFFSET($H$3,0,0,'Données projet'!$E$10+1,1))</f>
        <v>259.74478933784656</v>
      </c>
      <c r="AO135" s="62">
        <f t="shared" si="144"/>
        <v>223.74038909289646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362.81292020448933</v>
      </c>
      <c r="T136" s="62">
        <f t="shared" si="142"/>
        <v>292.26503163353146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0.65708064402580113</v>
      </c>
      <c r="AA136" s="23">
        <f>EXP(-LN(2)/25)*AA135+(1-EXP(-LN(2)/25))/(LN(2)/25)*Calculateur!V136*Calculateur!X136*VLOOKUP('Données projet'!$B$9,Paramètres!$A$1:$I$89,3,0)*0.475*44/12</f>
        <v>0.66335793159949186</v>
      </c>
      <c r="AB136" s="23">
        <f>EXP(-LN(2)/2)*AB135+(1-EXP(-LN(2)/2))/(LN(2)/2)*V136*Y136*VLOOKUP('Données projet'!$B$9,Paramètres!$A$1:$I$89,3,0)*0.475*44/12</f>
        <v>2.382927456790579E-14</v>
      </c>
      <c r="AC136" s="24">
        <f t="shared" si="111"/>
        <v>1.3204385756253167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5.3205440053716299E-14</v>
      </c>
      <c r="AK136" s="14">
        <f t="shared" si="143"/>
        <v>8.602146238565607E-13</v>
      </c>
      <c r="AL136" s="22">
        <f t="shared" si="112"/>
        <v>1.590873277977066E-12</v>
      </c>
      <c r="AM136" s="62">
        <f t="shared" si="113"/>
        <v>293.33333333333491</v>
      </c>
      <c r="AN136" s="62">
        <f ca="1">AVERAGE(OFFSET($AM$3,0,0,'Données projet'!$E$10+1,1))-AVERAGE(OFFSET($H$3,0,0,'Données projet'!$E$10+1,1))</f>
        <v>259.74478933784656</v>
      </c>
      <c r="AO136" s="62">
        <f t="shared" si="144"/>
        <v>223.74038909289646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362.81292020448933</v>
      </c>
      <c r="T137" s="62">
        <f t="shared" si="142"/>
        <v>292.26503163353146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0.6441956933760743</v>
      </c>
      <c r="AA137" s="23">
        <f>EXP(-LN(2)/25)*AA136+(1-EXP(-LN(2)/25))/(LN(2)/25)*Calculateur!V137*Calculateur!X137*VLOOKUP('Données projet'!$B$9,Paramètres!$A$1:$I$89,3,0)*0.475*44/12</f>
        <v>0.64521837407542626</v>
      </c>
      <c r="AB137" s="23">
        <f>EXP(-LN(2)/2)*AB136+(1-EXP(-LN(2)/2))/(LN(2)/2)*V137*Y137*VLOOKUP('Données projet'!$B$9,Paramètres!$A$1:$I$89,3,0)*0.475*44/12</f>
        <v>1.6849841637722321E-14</v>
      </c>
      <c r="AC137" s="24">
        <f t="shared" si="111"/>
        <v>1.2894140674515175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5.3205440053716299E-14</v>
      </c>
      <c r="AK137" s="14">
        <f t="shared" si="143"/>
        <v>8.602146238565607E-13</v>
      </c>
      <c r="AL137" s="22">
        <f t="shared" si="112"/>
        <v>1.590873277977066E-12</v>
      </c>
      <c r="AM137" s="62">
        <f t="shared" si="113"/>
        <v>293.33333333333491</v>
      </c>
      <c r="AN137" s="62">
        <f ca="1">AVERAGE(OFFSET($AM$3,0,0,'Données projet'!$E$10+1,1))-AVERAGE(OFFSET($H$3,0,0,'Données projet'!$E$10+1,1))</f>
        <v>259.74478933784656</v>
      </c>
      <c r="AO137" s="62">
        <f t="shared" si="144"/>
        <v>223.74038909289646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362.81292020448933</v>
      </c>
      <c r="T138" s="62">
        <f t="shared" si="142"/>
        <v>292.26503163353146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0.63156340874954475</v>
      </c>
      <c r="AA138" s="23">
        <f>EXP(-LN(2)/25)*AA137+(1-EXP(-LN(2)/25))/(LN(2)/25)*Calculateur!V138*Calculateur!X138*VLOOKUP('Données projet'!$B$9,Paramètres!$A$1:$I$89,3,0)*0.475*44/12</f>
        <v>0.6275748437057741</v>
      </c>
      <c r="AB138" s="23">
        <f>EXP(-LN(2)/2)*AB137+(1-EXP(-LN(2)/2))/(LN(2)/2)*V138*Y138*VLOOKUP('Données projet'!$B$9,Paramètres!$A$1:$I$89,3,0)*0.475*44/12</f>
        <v>1.1914637283952895E-14</v>
      </c>
      <c r="AC138" s="24">
        <f t="shared" si="111"/>
        <v>1.259138252455331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5.3205440053716299E-14</v>
      </c>
      <c r="AK138" s="14">
        <f t="shared" si="143"/>
        <v>8.602146238565607E-13</v>
      </c>
      <c r="AL138" s="22">
        <f t="shared" si="112"/>
        <v>1.590873277977066E-12</v>
      </c>
      <c r="AM138" s="62">
        <f t="shared" si="113"/>
        <v>293.33333333333491</v>
      </c>
      <c r="AN138" s="62">
        <f ca="1">AVERAGE(OFFSET($AM$3,0,0,'Données projet'!$E$10+1,1))-AVERAGE(OFFSET($H$3,0,0,'Données projet'!$E$10+1,1))</f>
        <v>259.74478933784656</v>
      </c>
      <c r="AO138" s="62">
        <f t="shared" si="144"/>
        <v>223.74038909289646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362.81292020448933</v>
      </c>
      <c r="T139" s="62">
        <f t="shared" si="142"/>
        <v>292.26503163353146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0.61917883551960862</v>
      </c>
      <c r="AA139" s="23">
        <f>EXP(-LN(2)/25)*AA138+(1-EXP(-LN(2)/25))/(LN(2)/25)*Calculateur!V139*Calculateur!X139*VLOOKUP('Données projet'!$B$9,Paramètres!$A$1:$I$89,3,0)*0.475*44/12</f>
        <v>0.61041377660191298</v>
      </c>
      <c r="AB139" s="23">
        <f>EXP(-LN(2)/2)*AB138+(1-EXP(-LN(2)/2))/(LN(2)/2)*V139*Y139*VLOOKUP('Données projet'!$B$9,Paramètres!$A$1:$I$89,3,0)*0.475*44/12</f>
        <v>8.4249208188611605E-15</v>
      </c>
      <c r="AC139" s="24">
        <f t="shared" si="111"/>
        <v>1.2295926121215301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5.3205440053716299E-14</v>
      </c>
      <c r="AK139" s="14">
        <f t="shared" si="143"/>
        <v>8.602146238565607E-13</v>
      </c>
      <c r="AL139" s="22">
        <f t="shared" si="112"/>
        <v>1.590873277977066E-12</v>
      </c>
      <c r="AM139" s="62">
        <f t="shared" si="113"/>
        <v>293.33333333333491</v>
      </c>
      <c r="AN139" s="62">
        <f ca="1">AVERAGE(OFFSET($AM$3,0,0,'Données projet'!$E$10+1,1))-AVERAGE(OFFSET($H$3,0,0,'Données projet'!$E$10+1,1))</f>
        <v>259.74478933784656</v>
      </c>
      <c r="AO139" s="62">
        <f t="shared" si="144"/>
        <v>223.74038909289646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362.81292020448933</v>
      </c>
      <c r="T140" s="62">
        <f t="shared" si="142"/>
        <v>292.26503163353146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0.60703711621686773</v>
      </c>
      <c r="AA140" s="23">
        <f>EXP(-LN(2)/25)*AA139+(1-EXP(-LN(2)/25))/(LN(2)/25)*Calculateur!V140*Calculateur!X140*VLOOKUP('Données projet'!$B$9,Paramètres!$A$1:$I$89,3,0)*0.475*44/12</f>
        <v>0.59372197978046826</v>
      </c>
      <c r="AB140" s="23">
        <f>EXP(-LN(2)/2)*AB139+(1-EXP(-LN(2)/2))/(LN(2)/2)*V140*Y140*VLOOKUP('Données projet'!$B$9,Paramètres!$A$1:$I$89,3,0)*0.475*44/12</f>
        <v>5.9573186419764474E-15</v>
      </c>
      <c r="AC140" s="24">
        <f t="shared" si="111"/>
        <v>1.200759095997342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5.3205440053716299E-14</v>
      </c>
      <c r="AK140" s="14">
        <f t="shared" si="143"/>
        <v>8.602146238565607E-13</v>
      </c>
      <c r="AL140" s="22">
        <f t="shared" si="112"/>
        <v>1.590873277977066E-12</v>
      </c>
      <c r="AM140" s="62">
        <f t="shared" si="113"/>
        <v>293.33333333333491</v>
      </c>
      <c r="AN140" s="62">
        <f ca="1">AVERAGE(OFFSET($AM$3,0,0,'Données projet'!$E$10+1,1))-AVERAGE(OFFSET($H$3,0,0,'Données projet'!$E$10+1,1))</f>
        <v>259.74478933784656</v>
      </c>
      <c r="AO140" s="62">
        <f t="shared" si="144"/>
        <v>223.74038909289646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362.81292020448933</v>
      </c>
      <c r="T141" s="62">
        <f t="shared" si="142"/>
        <v>292.26503163353146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0.59513348862393611</v>
      </c>
      <c r="AA141" s="23">
        <f>EXP(-LN(2)/25)*AA140+(1-EXP(-LN(2)/25))/(LN(2)/25)*Calculateur!V141*Calculateur!X141*VLOOKUP('Données projet'!$B$9,Paramètres!$A$1:$I$89,3,0)*0.475*44/12</f>
        <v>0.57748662102088943</v>
      </c>
      <c r="AB141" s="23">
        <f>EXP(-LN(2)/2)*AB140+(1-EXP(-LN(2)/2))/(LN(2)/2)*V141*Y141*VLOOKUP('Données projet'!$B$9,Paramètres!$A$1:$I$89,3,0)*0.475*44/12</f>
        <v>4.2124604094305802E-15</v>
      </c>
      <c r="AC141" s="24">
        <f t="shared" si="111"/>
        <v>1.1726201096448297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5.3205440053716299E-14</v>
      </c>
      <c r="AK141" s="14">
        <f t="shared" si="143"/>
        <v>8.602146238565607E-13</v>
      </c>
      <c r="AL141" s="22">
        <f t="shared" si="112"/>
        <v>1.590873277977066E-12</v>
      </c>
      <c r="AM141" s="62">
        <f t="shared" si="113"/>
        <v>293.33333333333491</v>
      </c>
      <c r="AN141" s="62">
        <f ca="1">AVERAGE(OFFSET($AM$3,0,0,'Données projet'!$E$10+1,1))-AVERAGE(OFFSET($H$3,0,0,'Données projet'!$E$10+1,1))</f>
        <v>259.74478933784656</v>
      </c>
      <c r="AO141" s="62">
        <f t="shared" si="144"/>
        <v>223.74038909289646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362.81292020448933</v>
      </c>
      <c r="T142" s="62">
        <f t="shared" si="142"/>
        <v>292.26503163353146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0.58346328390760593</v>
      </c>
      <c r="AA142" s="23">
        <f>EXP(-LN(2)/25)*AA141+(1-EXP(-LN(2)/25))/(LN(2)/25)*Calculateur!V142*Calculateur!X142*VLOOKUP('Données projet'!$B$9,Paramètres!$A$1:$I$89,3,0)*0.475*44/12</f>
        <v>0.56169521900037167</v>
      </c>
      <c r="AB142" s="23">
        <f>EXP(-LN(2)/2)*AB141+(1-EXP(-LN(2)/2))/(LN(2)/2)*V142*Y142*VLOOKUP('Données projet'!$B$9,Paramètres!$A$1:$I$89,3,0)*0.475*44/12</f>
        <v>2.9786593209882237E-15</v>
      </c>
      <c r="AC142" s="24">
        <f t="shared" si="111"/>
        <v>1.1451585029079805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5.3205440053716299E-14</v>
      </c>
      <c r="AK142" s="14">
        <f t="shared" si="143"/>
        <v>8.602146238565607E-13</v>
      </c>
      <c r="AL142" s="22">
        <f t="shared" si="112"/>
        <v>1.590873277977066E-12</v>
      </c>
      <c r="AM142" s="62">
        <f t="shared" si="113"/>
        <v>293.33333333333491</v>
      </c>
      <c r="AN142" s="62">
        <f ca="1">AVERAGE(OFFSET($AM$3,0,0,'Données projet'!$E$10+1,1))-AVERAGE(OFFSET($H$3,0,0,'Données projet'!$E$10+1,1))</f>
        <v>259.74478933784656</v>
      </c>
      <c r="AO142" s="62">
        <f t="shared" si="144"/>
        <v>223.74038909289646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362.81292020448933</v>
      </c>
      <c r="T143" s="62">
        <f t="shared" si="142"/>
        <v>292.26503163353146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0.57202192478764102</v>
      </c>
      <c r="AA143" s="23">
        <f>EXP(-LN(2)/25)*AA142+(1-EXP(-LN(2)/25))/(LN(2)/25)*Calculateur!V143*Calculateur!X143*VLOOKUP('Données projet'!$B$9,Paramètres!$A$1:$I$89,3,0)*0.475*44/12</f>
        <v>0.54633563369853866</v>
      </c>
      <c r="AB143" s="23">
        <f>EXP(-LN(2)/2)*AB142+(1-EXP(-LN(2)/2))/(LN(2)/2)*V143*Y143*VLOOKUP('Données projet'!$B$9,Paramètres!$A$1:$I$89,3,0)*0.475*44/12</f>
        <v>2.1062302047152901E-15</v>
      </c>
      <c r="AC143" s="24">
        <f t="shared" si="111"/>
        <v>1.1183575584861816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5.3205440053716299E-14</v>
      </c>
      <c r="AK143" s="14">
        <f t="shared" si="143"/>
        <v>8.602146238565607E-13</v>
      </c>
      <c r="AL143" s="22">
        <f t="shared" si="112"/>
        <v>1.590873277977066E-12</v>
      </c>
      <c r="AM143" s="62">
        <f t="shared" si="113"/>
        <v>293.33333333333491</v>
      </c>
      <c r="AN143" s="62">
        <f ca="1">AVERAGE(OFFSET($AM$3,0,0,'Données projet'!$E$10+1,1))-AVERAGE(OFFSET($H$3,0,0,'Données projet'!$E$10+1,1))</f>
        <v>259.74478933784656</v>
      </c>
      <c r="AO143" s="62">
        <f t="shared" si="144"/>
        <v>223.74038909289646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362.81292020448933</v>
      </c>
      <c r="T144" s="62">
        <f t="shared" si="142"/>
        <v>292.26503163353146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0.56080492374147861</v>
      </c>
      <c r="AA144" s="23">
        <f>EXP(-LN(2)/25)*AA143+(1-EXP(-LN(2)/25))/(LN(2)/25)*Calculateur!V144*Calculateur!X144*VLOOKUP('Données projet'!$B$9,Paramètres!$A$1:$I$89,3,0)*0.475*44/12</f>
        <v>0.53139605706450976</v>
      </c>
      <c r="AB144" s="23">
        <f>EXP(-LN(2)/2)*AB143+(1-EXP(-LN(2)/2))/(LN(2)/2)*V144*Y144*VLOOKUP('Données projet'!$B$9,Paramètres!$A$1:$I$89,3,0)*0.475*44/12</f>
        <v>1.4893296604941118E-15</v>
      </c>
      <c r="AC144" s="24">
        <f t="shared" si="111"/>
        <v>1.09220098080599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5.3205440053716299E-14</v>
      </c>
      <c r="AK144" s="14">
        <f t="shared" si="143"/>
        <v>8.602146238565607E-13</v>
      </c>
      <c r="AL144" s="22">
        <f t="shared" si="112"/>
        <v>1.590873277977066E-12</v>
      </c>
      <c r="AM144" s="62">
        <f t="shared" si="113"/>
        <v>293.33333333333491</v>
      </c>
      <c r="AN144" s="62">
        <f ca="1">AVERAGE(OFFSET($AM$3,0,0,'Données projet'!$E$10+1,1))-AVERAGE(OFFSET($H$3,0,0,'Données projet'!$E$10+1,1))</f>
        <v>259.74478933784656</v>
      </c>
      <c r="AO144" s="62">
        <f t="shared" si="144"/>
        <v>223.74038909289646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362.81292020448933</v>
      </c>
      <c r="T145" s="62">
        <f t="shared" si="142"/>
        <v>292.26503163353146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0.54980788124413638</v>
      </c>
      <c r="AA145" s="23">
        <f>EXP(-LN(2)/25)*AA144+(1-EXP(-LN(2)/25))/(LN(2)/25)*Calculateur!V145*Calculateur!X145*VLOOKUP('Données projet'!$B$9,Paramètres!$A$1:$I$89,3,0)*0.475*44/12</f>
        <v>0.51686500393917667</v>
      </c>
      <c r="AB145" s="23">
        <f>EXP(-LN(2)/2)*AB144+(1-EXP(-LN(2)/2))/(LN(2)/2)*V145*Y145*VLOOKUP('Données projet'!$B$9,Paramètres!$A$1:$I$89,3,0)*0.475*44/12</f>
        <v>1.0531151023576451E-15</v>
      </c>
      <c r="AC145" s="24">
        <f t="shared" si="111"/>
        <v>1.066672885183314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5.3205440053716299E-14</v>
      </c>
      <c r="AK145" s="14">
        <f t="shared" si="143"/>
        <v>8.602146238565607E-13</v>
      </c>
      <c r="AL145" s="22">
        <f t="shared" si="112"/>
        <v>1.590873277977066E-12</v>
      </c>
      <c r="AM145" s="62">
        <f t="shared" si="113"/>
        <v>293.33333333333491</v>
      </c>
      <c r="AN145" s="62">
        <f ca="1">AVERAGE(OFFSET($AM$3,0,0,'Données projet'!$E$10+1,1))-AVERAGE(OFFSET($H$3,0,0,'Données projet'!$E$10+1,1))</f>
        <v>259.74478933784656</v>
      </c>
      <c r="AO145" s="62">
        <f t="shared" si="144"/>
        <v>223.74038909289646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362.81292020448933</v>
      </c>
      <c r="T146" s="62">
        <f t="shared" si="142"/>
        <v>292.26503163353146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0.53902648404263342</v>
      </c>
      <c r="AA146" s="23">
        <f>EXP(-LN(2)/25)*AA145+(1-EXP(-LN(2)/25))/(LN(2)/25)*Calculateur!V146*Calculateur!X146*VLOOKUP('Données projet'!$B$9,Paramètres!$A$1:$I$89,3,0)*0.475*44/12</f>
        <v>0.50273130322571069</v>
      </c>
      <c r="AB146" s="23">
        <f>EXP(-LN(2)/2)*AB145+(1-EXP(-LN(2)/2))/(LN(2)/2)*V146*Y146*VLOOKUP('Données projet'!$B$9,Paramètres!$A$1:$I$89,3,0)*0.475*44/12</f>
        <v>7.4466483024705592E-16</v>
      </c>
      <c r="AC146" s="24">
        <f t="shared" si="111"/>
        <v>1.0417577872683448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5.3205440053716299E-14</v>
      </c>
      <c r="AK146" s="14">
        <f t="shared" si="143"/>
        <v>8.602146238565607E-13</v>
      </c>
      <c r="AL146" s="22">
        <f t="shared" si="112"/>
        <v>1.590873277977066E-12</v>
      </c>
      <c r="AM146" s="62">
        <f t="shared" si="113"/>
        <v>293.33333333333491</v>
      </c>
      <c r="AN146" s="62">
        <f ca="1">AVERAGE(OFFSET($AM$3,0,0,'Données projet'!$E$10+1,1))-AVERAGE(OFFSET($H$3,0,0,'Données projet'!$E$10+1,1))</f>
        <v>259.74478933784656</v>
      </c>
      <c r="AO146" s="62">
        <f t="shared" si="144"/>
        <v>223.74038909289646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362.81292020448933</v>
      </c>
      <c r="T147" s="62">
        <f t="shared" si="142"/>
        <v>292.26503163353146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0.52845650346424899</v>
      </c>
      <c r="AA147" s="23">
        <f>EXP(-LN(2)/25)*AA146+(1-EXP(-LN(2)/25))/(LN(2)/25)*Calculateur!V147*Calculateur!X147*VLOOKUP('Données projet'!$B$9,Paramètres!$A$1:$I$89,3,0)*0.475*44/12</f>
        <v>0.48898408930151338</v>
      </c>
      <c r="AB147" s="23">
        <f>EXP(-LN(2)/2)*AB146+(1-EXP(-LN(2)/2))/(LN(2)/2)*V147*Y147*VLOOKUP('Données projet'!$B$9,Paramètres!$A$1:$I$89,3,0)*0.475*44/12</f>
        <v>5.2655755117882253E-16</v>
      </c>
      <c r="AC147" s="24">
        <f t="shared" si="111"/>
        <v>1.0174405927657628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5.3205440053716299E-14</v>
      </c>
      <c r="AK147" s="14">
        <f t="shared" si="143"/>
        <v>8.602146238565607E-13</v>
      </c>
      <c r="AL147" s="22">
        <f t="shared" si="112"/>
        <v>1.590873277977066E-12</v>
      </c>
      <c r="AM147" s="62">
        <f t="shared" si="113"/>
        <v>293.33333333333491</v>
      </c>
      <c r="AN147" s="62">
        <f ca="1">AVERAGE(OFFSET($AM$3,0,0,'Données projet'!$E$10+1,1))-AVERAGE(OFFSET($H$3,0,0,'Données projet'!$E$10+1,1))</f>
        <v>259.74478933784656</v>
      </c>
      <c r="AO147" s="62">
        <f t="shared" si="144"/>
        <v>223.74038909289646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362.81292020448933</v>
      </c>
      <c r="T148" s="62">
        <f t="shared" si="142"/>
        <v>292.26503163353146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0.51809379375795506</v>
      </c>
      <c r="AA148" s="23">
        <f>EXP(-LN(2)/25)*AA147+(1-EXP(-LN(2)/25))/(LN(2)/25)*Calculateur!V148*Calculateur!X148*VLOOKUP('Données projet'!$B$9,Paramètres!$A$1:$I$89,3,0)*0.475*44/12</f>
        <v>0.4756127936650078</v>
      </c>
      <c r="AB148" s="23">
        <f>EXP(-LN(2)/2)*AB147+(1-EXP(-LN(2)/2))/(LN(2)/2)*V148*Y148*VLOOKUP('Données projet'!$B$9,Paramètres!$A$1:$I$89,3,0)*0.475*44/12</f>
        <v>3.7233241512352796E-16</v>
      </c>
      <c r="AC148" s="24">
        <f t="shared" si="111"/>
        <v>0.99370658742296325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5.3205440053716299E-14</v>
      </c>
      <c r="AK148" s="14">
        <f t="shared" si="143"/>
        <v>8.602146238565607E-13</v>
      </c>
      <c r="AL148" s="22">
        <f t="shared" si="112"/>
        <v>1.590873277977066E-12</v>
      </c>
      <c r="AM148" s="62">
        <f t="shared" si="113"/>
        <v>293.33333333333491</v>
      </c>
      <c r="AN148" s="62">
        <f ca="1">AVERAGE(OFFSET($AM$3,0,0,'Données projet'!$E$10+1,1))-AVERAGE(OFFSET($H$3,0,0,'Données projet'!$E$10+1,1))</f>
        <v>259.74478933784656</v>
      </c>
      <c r="AO148" s="62">
        <f t="shared" si="144"/>
        <v>223.74038909289646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362.81292020448933</v>
      </c>
      <c r="T149" s="62">
        <f t="shared" si="142"/>
        <v>292.26503163353146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0.5079342904683728</v>
      </c>
      <c r="AA149" s="23">
        <f>EXP(-LN(2)/25)*AA148+(1-EXP(-LN(2)/25))/(LN(2)/25)*Calculateur!V149*Calculateur!X149*VLOOKUP('Données projet'!$B$9,Paramètres!$A$1:$I$89,3,0)*0.475*44/12</f>
        <v>0.46260713681084836</v>
      </c>
      <c r="AB149" s="23">
        <f>EXP(-LN(2)/2)*AB148+(1-EXP(-LN(2)/2))/(LN(2)/2)*V149*Y149*VLOOKUP('Données projet'!$B$9,Paramètres!$A$1:$I$89,3,0)*0.475*44/12</f>
        <v>2.6327877558941126E-16</v>
      </c>
      <c r="AC149" s="24">
        <f t="shared" si="111"/>
        <v>0.97054142727922144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5.3205440053716299E-14</v>
      </c>
      <c r="AK149" s="14">
        <f t="shared" si="143"/>
        <v>8.602146238565607E-13</v>
      </c>
      <c r="AL149" s="22">
        <f t="shared" si="112"/>
        <v>1.590873277977066E-12</v>
      </c>
      <c r="AM149" s="62">
        <f t="shared" si="113"/>
        <v>293.33333333333491</v>
      </c>
      <c r="AN149" s="62">
        <f ca="1">AVERAGE(OFFSET($AM$3,0,0,'Données projet'!$E$10+1,1))-AVERAGE(OFFSET($H$3,0,0,'Données projet'!$E$10+1,1))</f>
        <v>259.74478933784656</v>
      </c>
      <c r="AO149" s="62">
        <f t="shared" si="144"/>
        <v>223.74038909289646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362.81292020448933</v>
      </c>
      <c r="T150" s="62">
        <f t="shared" si="142"/>
        <v>292.26503163353146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0.49797400884161408</v>
      </c>
      <c r="AA150" s="23">
        <f>EXP(-LN(2)/25)*AA149+(1-EXP(-LN(2)/25))/(LN(2)/25)*Calculateur!V150*Calculateur!X150*VLOOKUP('Données projet'!$B$9,Paramètres!$A$1:$I$89,3,0)*0.475*44/12</f>
        <v>0.44995712032730367</v>
      </c>
      <c r="AB150" s="23">
        <f>EXP(-LN(2)/2)*AB149+(1-EXP(-LN(2)/2))/(LN(2)/2)*V150*Y150*VLOOKUP('Données projet'!$B$9,Paramètres!$A$1:$I$89,3,0)*0.475*44/12</f>
        <v>1.8616620756176398E-16</v>
      </c>
      <c r="AC150" s="24">
        <f t="shared" si="111"/>
        <v>0.94793112916891797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5.3205440053716299E-14</v>
      </c>
      <c r="AK150" s="14">
        <f t="shared" si="143"/>
        <v>8.602146238565607E-13</v>
      </c>
      <c r="AL150" s="22">
        <f t="shared" si="112"/>
        <v>1.590873277977066E-12</v>
      </c>
      <c r="AM150" s="62">
        <f t="shared" si="113"/>
        <v>293.33333333333491</v>
      </c>
      <c r="AN150" s="62">
        <f ca="1">AVERAGE(OFFSET($AM$3,0,0,'Données projet'!$E$10+1,1))-AVERAGE(OFFSET($H$3,0,0,'Données projet'!$E$10+1,1))</f>
        <v>259.74478933784656</v>
      </c>
      <c r="AO150" s="62">
        <f t="shared" si="144"/>
        <v>223.74038909289646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362.81292020448933</v>
      </c>
      <c r="T151" s="62">
        <f t="shared" si="142"/>
        <v>292.26503163353146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0.48820904226238415</v>
      </c>
      <c r="AA151" s="23">
        <f>EXP(-LN(2)/25)*AA150+(1-EXP(-LN(2)/25))/(LN(2)/25)*Calculateur!V151*Calculateur!X151*VLOOKUP('Données projet'!$B$9,Paramètres!$A$1:$I$89,3,0)*0.475*44/12</f>
        <v>0.43765301920973698</v>
      </c>
      <c r="AB151" s="23">
        <f>EXP(-LN(2)/2)*AB150+(1-EXP(-LN(2)/2))/(LN(2)/2)*V151*Y151*VLOOKUP('Données projet'!$B$9,Paramètres!$A$1:$I$89,3,0)*0.475*44/12</f>
        <v>1.3163938779470563E-16</v>
      </c>
      <c r="AC151" s="24">
        <f t="shared" si="111"/>
        <v>0.92586206147212124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5.3205440053716299E-14</v>
      </c>
      <c r="AK151" s="14">
        <f t="shared" si="143"/>
        <v>8.602146238565607E-13</v>
      </c>
      <c r="AL151" s="22">
        <f t="shared" si="112"/>
        <v>1.590873277977066E-12</v>
      </c>
      <c r="AM151" s="62">
        <f t="shared" si="113"/>
        <v>293.33333333333491</v>
      </c>
      <c r="AN151" s="62">
        <f ca="1">AVERAGE(OFFSET($AM$3,0,0,'Données projet'!$E$10+1,1))-AVERAGE(OFFSET($H$3,0,0,'Données projet'!$E$10+1,1))</f>
        <v>259.74478933784656</v>
      </c>
      <c r="AO151" s="62">
        <f t="shared" si="144"/>
        <v>223.74038909289646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362.81292020448933</v>
      </c>
      <c r="T152" s="62">
        <f t="shared" si="142"/>
        <v>292.26503163353146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0.47863556072173141</v>
      </c>
      <c r="AA152" s="23">
        <f>EXP(-LN(2)/25)*AA151+(1-EXP(-LN(2)/25))/(LN(2)/25)*Calculateur!V152*Calculateur!X152*VLOOKUP('Données projet'!$B$9,Paramètres!$A$1:$I$89,3,0)*0.475*44/12</f>
        <v>0.42568537438427473</v>
      </c>
      <c r="AB152" s="23">
        <f>EXP(-LN(2)/2)*AB151+(1-EXP(-LN(2)/2))/(LN(2)/2)*V152*Y152*VLOOKUP('Données projet'!$B$9,Paramètres!$A$1:$I$89,3,0)*0.475*44/12</f>
        <v>9.3083103780881991E-17</v>
      </c>
      <c r="AC152" s="24">
        <f t="shared" si="111"/>
        <v>0.90432093510600631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5.3205440053716299E-14</v>
      </c>
      <c r="AK152" s="14">
        <f t="shared" si="143"/>
        <v>8.602146238565607E-13</v>
      </c>
      <c r="AL152" s="22">
        <f t="shared" si="112"/>
        <v>1.590873277977066E-12</v>
      </c>
      <c r="AM152" s="62">
        <f t="shared" si="113"/>
        <v>293.33333333333491</v>
      </c>
      <c r="AN152" s="62">
        <f ca="1">AVERAGE(OFFSET($AM$3,0,0,'Données projet'!$E$10+1,1))-AVERAGE(OFFSET($H$3,0,0,'Données projet'!$E$10+1,1))</f>
        <v>259.74478933784656</v>
      </c>
      <c r="AO152" s="62">
        <f t="shared" si="144"/>
        <v>223.74038909289646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362.81292020448933</v>
      </c>
      <c r="T153" s="62">
        <f t="shared" si="142"/>
        <v>292.26503163353146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0.46924980931484372</v>
      </c>
      <c r="AA153" s="23">
        <f>EXP(-LN(2)/25)*AA152+(1-EXP(-LN(2)/25))/(LN(2)/25)*Calculateur!V153*Calculateur!X153*VLOOKUP('Données projet'!$B$9,Paramètres!$A$1:$I$89,3,0)*0.475*44/12</f>
        <v>0.41404498543591584</v>
      </c>
      <c r="AB153" s="23">
        <f>EXP(-LN(2)/2)*AB152+(1-EXP(-LN(2)/2))/(LN(2)/2)*V153*Y153*VLOOKUP('Données projet'!$B$9,Paramètres!$A$1:$I$89,3,0)*0.475*44/12</f>
        <v>6.5819693897352816E-17</v>
      </c>
      <c r="AC153" s="24">
        <f t="shared" si="111"/>
        <v>0.88329479475075967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5.3205440053716299E-14</v>
      </c>
      <c r="AK153" s="14">
        <f t="shared" si="143"/>
        <v>8.602146238565607E-13</v>
      </c>
      <c r="AL153" s="22">
        <f t="shared" si="112"/>
        <v>1.590873277977066E-12</v>
      </c>
      <c r="AM153" s="62">
        <f t="shared" si="113"/>
        <v>293.33333333333491</v>
      </c>
      <c r="AN153" s="62">
        <f ca="1">AVERAGE(OFFSET($AM$3,0,0,'Données projet'!$E$10+1,1))-AVERAGE(OFFSET($H$3,0,0,'Données projet'!$E$10+1,1))</f>
        <v>259.74478933784656</v>
      </c>
      <c r="AO153" s="62">
        <f t="shared" si="144"/>
        <v>223.74038909289646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362.81292020448933</v>
      </c>
      <c r="T154" s="62">
        <f t="shared" si="142"/>
        <v>292.26503163353146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0.46004810676830205</v>
      </c>
      <c r="AA154" s="23">
        <f>EXP(-LN(2)/25)*AA153+(1-EXP(-LN(2)/25))/(LN(2)/25)*Calculateur!V154*Calculateur!X154*VLOOKUP('Données projet'!$B$9,Paramètres!$A$1:$I$89,3,0)*0.475*44/12</f>
        <v>0.40272290353549123</v>
      </c>
      <c r="AB154" s="23">
        <f>EXP(-LN(2)/2)*AB153+(1-EXP(-LN(2)/2))/(LN(2)/2)*V154*Y154*VLOOKUP('Données projet'!$B$9,Paramètres!$A$1:$I$89,3,0)*0.475*44/12</f>
        <v>4.6541551890440995E-17</v>
      </c>
      <c r="AC154" s="24">
        <f t="shared" ref="AC154:AC203" si="163">SUM(Z154:AB154)</f>
        <v>0.86277101030379333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5.3205440053716299E-14</v>
      </c>
      <c r="AK154" s="14">
        <f t="shared" ref="AK154:AK203" si="164">EXP(-1.0587+0.8836*LN(AJ154)+0.284)</f>
        <v>8.602146238565607E-13</v>
      </c>
      <c r="AL154" s="22">
        <f t="shared" ref="AL154:AL203" si="165">(AJ154+AK154)*0.475*44/12</f>
        <v>1.590873277977066E-12</v>
      </c>
      <c r="AM154" s="62">
        <f t="shared" si="113"/>
        <v>293.33333333333491</v>
      </c>
      <c r="AN154" s="62">
        <f ca="1">AVERAGE(OFFSET($AM$3,0,0,'Données projet'!$E$10+1,1))-AVERAGE(OFFSET($H$3,0,0,'Données projet'!$E$10+1,1))</f>
        <v>259.74478933784656</v>
      </c>
      <c r="AO154" s="62">
        <f t="shared" si="144"/>
        <v>223.74038909289646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362.81292020448933</v>
      </c>
      <c r="T155" s="62">
        <f t="shared" si="142"/>
        <v>292.26503163353146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0.45102684399621368</v>
      </c>
      <c r="AA155" s="23">
        <f>EXP(-LN(2)/25)*AA154+(1-EXP(-LN(2)/25))/(LN(2)/25)*Calculateur!V155*Calculateur!X155*VLOOKUP('Données projet'!$B$9,Paramètres!$A$1:$I$89,3,0)*0.475*44/12</f>
        <v>0.39171042456003619</v>
      </c>
      <c r="AB155" s="23">
        <f>EXP(-LN(2)/2)*AB154+(1-EXP(-LN(2)/2))/(LN(2)/2)*V155*Y155*VLOOKUP('Données projet'!$B$9,Paramètres!$A$1:$I$89,3,0)*0.475*44/12</f>
        <v>3.2909846948676408E-17</v>
      </c>
      <c r="AC155" s="24">
        <f t="shared" si="163"/>
        <v>0.84273726855624986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5.3205440053716299E-14</v>
      </c>
      <c r="AK155" s="14">
        <f t="shared" si="164"/>
        <v>8.602146238565607E-13</v>
      </c>
      <c r="AL155" s="22">
        <f t="shared" si="165"/>
        <v>1.590873277977066E-12</v>
      </c>
      <c r="AM155" s="62">
        <f t="shared" si="113"/>
        <v>293.33333333333491</v>
      </c>
      <c r="AN155" s="62">
        <f ca="1">AVERAGE(OFFSET($AM$3,0,0,'Données projet'!$E$10+1,1))-AVERAGE(OFFSET($H$3,0,0,'Données projet'!$E$10+1,1))</f>
        <v>259.74478933784656</v>
      </c>
      <c r="AO155" s="62">
        <f t="shared" si="144"/>
        <v>223.74038909289646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362.81292020448933</v>
      </c>
      <c r="T156" s="62">
        <f t="shared" si="142"/>
        <v>292.26503163353146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0.44218248268465898</v>
      </c>
      <c r="AA156" s="23">
        <f>EXP(-LN(2)/25)*AA155+(1-EXP(-LN(2)/25))/(LN(2)/25)*Calculateur!V156*Calculateur!X156*VLOOKUP('Données projet'!$B$9,Paramètres!$A$1:$I$89,3,0)*0.475*44/12</f>
        <v>0.38099908240128605</v>
      </c>
      <c r="AB156" s="23">
        <f>EXP(-LN(2)/2)*AB155+(1-EXP(-LN(2)/2))/(LN(2)/2)*V156*Y156*VLOOKUP('Données projet'!$B$9,Paramètres!$A$1:$I$89,3,0)*0.475*44/12</f>
        <v>2.3270775945220498E-17</v>
      </c>
      <c r="AC156" s="24">
        <f t="shared" si="163"/>
        <v>0.82318156508594509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5.3205440053716299E-14</v>
      </c>
      <c r="AK156" s="14">
        <f t="shared" si="164"/>
        <v>8.602146238565607E-13</v>
      </c>
      <c r="AL156" s="22">
        <f t="shared" si="165"/>
        <v>1.590873277977066E-12</v>
      </c>
      <c r="AM156" s="62">
        <f t="shared" si="113"/>
        <v>293.33333333333491</v>
      </c>
      <c r="AN156" s="62">
        <f ca="1">AVERAGE(OFFSET($AM$3,0,0,'Données projet'!$E$10+1,1))-AVERAGE(OFFSET($H$3,0,0,'Données projet'!$E$10+1,1))</f>
        <v>259.74478933784656</v>
      </c>
      <c r="AO156" s="62">
        <f t="shared" si="144"/>
        <v>223.74038909289646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362.81292020448933</v>
      </c>
      <c r="T157" s="62">
        <f t="shared" si="142"/>
        <v>292.26503163353146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0.43351155390389612</v>
      </c>
      <c r="AA157" s="23">
        <f>EXP(-LN(2)/25)*AA156+(1-EXP(-LN(2)/25))/(LN(2)/25)*Calculateur!V157*Calculateur!X157*VLOOKUP('Données projet'!$B$9,Paramètres!$A$1:$I$89,3,0)*0.475*44/12</f>
        <v>0.37058064245715194</v>
      </c>
      <c r="AB157" s="23">
        <f>EXP(-LN(2)/2)*AB156+(1-EXP(-LN(2)/2))/(LN(2)/2)*V157*Y157*VLOOKUP('Données projet'!$B$9,Paramètres!$A$1:$I$89,3,0)*0.475*44/12</f>
        <v>1.6454923474338204E-17</v>
      </c>
      <c r="AC157" s="24">
        <f t="shared" si="163"/>
        <v>0.80409219636104812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5.3205440053716299E-14</v>
      </c>
      <c r="AK157" s="14">
        <f t="shared" si="164"/>
        <v>8.602146238565607E-13</v>
      </c>
      <c r="AL157" s="22">
        <f t="shared" si="165"/>
        <v>1.590873277977066E-12</v>
      </c>
      <c r="AM157" s="62">
        <f t="shared" si="113"/>
        <v>293.33333333333491</v>
      </c>
      <c r="AN157" s="62">
        <f ca="1">AVERAGE(OFFSET($AM$3,0,0,'Données projet'!$E$10+1,1))-AVERAGE(OFFSET($H$3,0,0,'Données projet'!$E$10+1,1))</f>
        <v>259.74478933784656</v>
      </c>
      <c r="AO157" s="62">
        <f t="shared" si="144"/>
        <v>223.74038909289646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362.81292020448933</v>
      </c>
      <c r="T158" s="62">
        <f t="shared" si="142"/>
        <v>292.26503163353146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0.42501065674777971</v>
      </c>
      <c r="AA158" s="23">
        <f>EXP(-LN(2)/25)*AA157+(1-EXP(-LN(2)/25))/(LN(2)/25)*Calculateur!V158*Calculateur!X158*VLOOKUP('Données projet'!$B$9,Paramètres!$A$1:$I$89,3,0)*0.475*44/12</f>
        <v>0.36044709530117208</v>
      </c>
      <c r="AB158" s="23">
        <f>EXP(-LN(2)/2)*AB157+(1-EXP(-LN(2)/2))/(LN(2)/2)*V158*Y158*VLOOKUP('Données projet'!$B$9,Paramètres!$A$1:$I$89,3,0)*0.475*44/12</f>
        <v>1.1635387972610249E-17</v>
      </c>
      <c r="AC158" s="24">
        <f t="shared" si="163"/>
        <v>0.78545775204895185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5.3205440053716299E-14</v>
      </c>
      <c r="AK158" s="14">
        <f t="shared" si="164"/>
        <v>8.602146238565607E-13</v>
      </c>
      <c r="AL158" s="22">
        <f t="shared" si="165"/>
        <v>1.590873277977066E-12</v>
      </c>
      <c r="AM158" s="62">
        <f t="shared" si="113"/>
        <v>293.33333333333491</v>
      </c>
      <c r="AN158" s="62">
        <f ca="1">AVERAGE(OFFSET($AM$3,0,0,'Données projet'!$E$10+1,1))-AVERAGE(OFFSET($H$3,0,0,'Données projet'!$E$10+1,1))</f>
        <v>259.74478933784656</v>
      </c>
      <c r="AO158" s="62">
        <f t="shared" si="144"/>
        <v>223.74038909289646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362.81292020448933</v>
      </c>
      <c r="T159" s="62">
        <f t="shared" si="142"/>
        <v>292.26503163353146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0.41667645699985945</v>
      </c>
      <c r="AA159" s="23">
        <f>EXP(-LN(2)/25)*AA158+(1-EXP(-LN(2)/25))/(LN(2)/25)*Calculateur!V159*Calculateur!X159*VLOOKUP('Données projet'!$B$9,Paramètres!$A$1:$I$89,3,0)*0.475*44/12</f>
        <v>0.3505906505250726</v>
      </c>
      <c r="AB159" s="23">
        <f>EXP(-LN(2)/2)*AB158+(1-EXP(-LN(2)/2))/(LN(2)/2)*V159*Y159*VLOOKUP('Données projet'!$B$9,Paramètres!$A$1:$I$89,3,0)*0.475*44/12</f>
        <v>8.227461737169102E-18</v>
      </c>
      <c r="AC159" s="24">
        <f t="shared" si="163"/>
        <v>0.76726710752493199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5.3205440053716299E-14</v>
      </c>
      <c r="AK159" s="14">
        <f t="shared" si="164"/>
        <v>8.602146238565607E-13</v>
      </c>
      <c r="AL159" s="22">
        <f t="shared" si="165"/>
        <v>1.590873277977066E-12</v>
      </c>
      <c r="AM159" s="62">
        <f t="shared" si="113"/>
        <v>293.33333333333491</v>
      </c>
      <c r="AN159" s="62">
        <f ca="1">AVERAGE(OFFSET($AM$3,0,0,'Données projet'!$E$10+1,1))-AVERAGE(OFFSET($H$3,0,0,'Données projet'!$E$10+1,1))</f>
        <v>259.74478933784656</v>
      </c>
      <c r="AO159" s="62">
        <f t="shared" si="144"/>
        <v>223.74038909289646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362.81292020448933</v>
      </c>
      <c r="T160" s="62">
        <f t="shared" si="142"/>
        <v>292.26503163353146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0.40850568582563601</v>
      </c>
      <c r="AA160" s="23">
        <f>EXP(-LN(2)/25)*AA159+(1-EXP(-LN(2)/25))/(LN(2)/25)*Calculateur!V160*Calculateur!X160*VLOOKUP('Données projet'!$B$9,Paramètres!$A$1:$I$89,3,0)*0.475*44/12</f>
        <v>0.34100373074970347</v>
      </c>
      <c r="AB160" s="23">
        <f>EXP(-LN(2)/2)*AB159+(1-EXP(-LN(2)/2))/(LN(2)/2)*V160*Y160*VLOOKUP('Données projet'!$B$9,Paramètres!$A$1:$I$89,3,0)*0.475*44/12</f>
        <v>5.8176939863051244E-18</v>
      </c>
      <c r="AC160" s="24">
        <f t="shared" si="163"/>
        <v>0.74950941657533954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5.3205440053716299E-14</v>
      </c>
      <c r="AK160" s="14">
        <f t="shared" si="164"/>
        <v>8.602146238565607E-13</v>
      </c>
      <c r="AL160" s="22">
        <f t="shared" si="165"/>
        <v>1.590873277977066E-12</v>
      </c>
      <c r="AM160" s="62">
        <f t="shared" si="113"/>
        <v>293.33333333333491</v>
      </c>
      <c r="AN160" s="62">
        <f ca="1">AVERAGE(OFFSET($AM$3,0,0,'Données projet'!$E$10+1,1))-AVERAGE(OFFSET($H$3,0,0,'Données projet'!$E$10+1,1))</f>
        <v>259.74478933784656</v>
      </c>
      <c r="AO160" s="62">
        <f t="shared" si="144"/>
        <v>223.74038909289646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362.81292020448933</v>
      </c>
      <c r="T161" s="62">
        <f t="shared" si="142"/>
        <v>292.26503163353146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0.40049513849046076</v>
      </c>
      <c r="AA161" s="23">
        <f>EXP(-LN(2)/25)*AA160+(1-EXP(-LN(2)/25))/(LN(2)/25)*Calculateur!V161*Calculateur!X161*VLOOKUP('Données projet'!$B$9,Paramètres!$A$1:$I$89,3,0)*0.475*44/12</f>
        <v>0.33167896579974598</v>
      </c>
      <c r="AB161" s="23">
        <f>EXP(-LN(2)/2)*AB160+(1-EXP(-LN(2)/2))/(LN(2)/2)*V161*Y161*VLOOKUP('Données projet'!$B$9,Paramètres!$A$1:$I$89,3,0)*0.475*44/12</f>
        <v>4.113730868584551E-18</v>
      </c>
      <c r="AC161" s="24">
        <f t="shared" si="163"/>
        <v>0.7321741042902068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5.3205440053716299E-14</v>
      </c>
      <c r="AK161" s="14">
        <f t="shared" si="164"/>
        <v>8.602146238565607E-13</v>
      </c>
      <c r="AL161" s="22">
        <f t="shared" si="165"/>
        <v>1.590873277977066E-12</v>
      </c>
      <c r="AM161" s="62">
        <f t="shared" si="113"/>
        <v>293.33333333333491</v>
      </c>
      <c r="AN161" s="62">
        <f ca="1">AVERAGE(OFFSET($AM$3,0,0,'Données projet'!$E$10+1,1))-AVERAGE(OFFSET($H$3,0,0,'Données projet'!$E$10+1,1))</f>
        <v>259.74478933784656</v>
      </c>
      <c r="AO161" s="62">
        <f t="shared" si="144"/>
        <v>223.74038909289646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362.81292020448933</v>
      </c>
      <c r="T162" s="62">
        <f t="shared" si="142"/>
        <v>292.26503163353146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0.39264167310257686</v>
      </c>
      <c r="AA162" s="23">
        <f>EXP(-LN(2)/25)*AA161+(1-EXP(-LN(2)/25))/(LN(2)/25)*Calculateur!V162*Calculateur!X162*VLOOKUP('Données projet'!$B$9,Paramètres!$A$1:$I$89,3,0)*0.475*44/12</f>
        <v>0.32260918703771319</v>
      </c>
      <c r="AB162" s="23">
        <f>EXP(-LN(2)/2)*AB161+(1-EXP(-LN(2)/2))/(LN(2)/2)*V162*Y162*VLOOKUP('Données projet'!$B$9,Paramètres!$A$1:$I$89,3,0)*0.475*44/12</f>
        <v>2.9088469931525622E-18</v>
      </c>
      <c r="AC162" s="24">
        <f t="shared" si="163"/>
        <v>0.71525086014029005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5.3205440053716299E-14</v>
      </c>
      <c r="AK162" s="14">
        <f t="shared" si="164"/>
        <v>8.602146238565607E-13</v>
      </c>
      <c r="AL162" s="22">
        <f t="shared" si="165"/>
        <v>1.590873277977066E-12</v>
      </c>
      <c r="AM162" s="62">
        <f t="shared" si="113"/>
        <v>293.33333333333491</v>
      </c>
      <c r="AN162" s="62">
        <f ca="1">AVERAGE(OFFSET($AM$3,0,0,'Données projet'!$E$10+1,1))-AVERAGE(OFFSET($H$3,0,0,'Données projet'!$E$10+1,1))</f>
        <v>259.74478933784656</v>
      </c>
      <c r="AO162" s="62">
        <f t="shared" si="144"/>
        <v>223.74038909289646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362.81292020448933</v>
      </c>
      <c r="T163" s="62">
        <f t="shared" si="142"/>
        <v>292.26503163353146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0.38494220938080848</v>
      </c>
      <c r="AA163" s="23">
        <f>EXP(-LN(2)/25)*AA162+(1-EXP(-LN(2)/25))/(LN(2)/25)*Calculateur!V163*Calculateur!X163*VLOOKUP('Données projet'!$B$9,Paramètres!$A$1:$I$89,3,0)*0.475*44/12</f>
        <v>0.31378742185288711</v>
      </c>
      <c r="AB163" s="23">
        <f>EXP(-LN(2)/2)*AB162+(1-EXP(-LN(2)/2))/(LN(2)/2)*V163*Y163*VLOOKUP('Données projet'!$B$9,Paramètres!$A$1:$I$89,3,0)*0.475*44/12</f>
        <v>2.0568654342922755E-18</v>
      </c>
      <c r="AC163" s="24">
        <f t="shared" si="163"/>
        <v>0.69872963123369558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5.3205440053716299E-14</v>
      </c>
      <c r="AK163" s="14">
        <f t="shared" si="164"/>
        <v>8.602146238565607E-13</v>
      </c>
      <c r="AL163" s="22">
        <f t="shared" si="165"/>
        <v>1.590873277977066E-12</v>
      </c>
      <c r="AM163" s="62">
        <f t="shared" si="113"/>
        <v>293.33333333333491</v>
      </c>
      <c r="AN163" s="62">
        <f ca="1">AVERAGE(OFFSET($AM$3,0,0,'Données projet'!$E$10+1,1))-AVERAGE(OFFSET($H$3,0,0,'Données projet'!$E$10+1,1))</f>
        <v>259.74478933784656</v>
      </c>
      <c r="AO163" s="62">
        <f t="shared" si="144"/>
        <v>223.74038909289646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362.81292020448933</v>
      </c>
      <c r="T164" s="62">
        <f t="shared" si="142"/>
        <v>292.26503163353146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0.37739372744641481</v>
      </c>
      <c r="AA164" s="23">
        <f>EXP(-LN(2)/25)*AA163+(1-EXP(-LN(2)/25))/(LN(2)/25)*Calculateur!V164*Calculateur!X164*VLOOKUP('Données projet'!$B$9,Paramètres!$A$1:$I$89,3,0)*0.475*44/12</f>
        <v>0.30520688830095655</v>
      </c>
      <c r="AB164" s="23">
        <f>EXP(-LN(2)/2)*AB163+(1-EXP(-LN(2)/2))/(LN(2)/2)*V164*Y164*VLOOKUP('Données projet'!$B$9,Paramètres!$A$1:$I$89,3,0)*0.475*44/12</f>
        <v>1.4544234965762811E-18</v>
      </c>
      <c r="AC164" s="24">
        <f t="shared" si="163"/>
        <v>0.68260061574737141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5.3205440053716299E-14</v>
      </c>
      <c r="AK164" s="14">
        <f t="shared" si="164"/>
        <v>8.602146238565607E-13</v>
      </c>
      <c r="AL164" s="22">
        <f t="shared" si="165"/>
        <v>1.590873277977066E-12</v>
      </c>
      <c r="AM164" s="62">
        <f t="shared" si="113"/>
        <v>293.33333333333491</v>
      </c>
      <c r="AN164" s="62">
        <f ca="1">AVERAGE(OFFSET($AM$3,0,0,'Données projet'!$E$10+1,1))-AVERAGE(OFFSET($H$3,0,0,'Données projet'!$E$10+1,1))</f>
        <v>259.74478933784656</v>
      </c>
      <c r="AO164" s="62">
        <f t="shared" si="144"/>
        <v>223.74038909289646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362.81292020448933</v>
      </c>
      <c r="T165" s="62">
        <f t="shared" si="142"/>
        <v>292.26503163353146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0.36999326663863524</v>
      </c>
      <c r="AA165" s="23">
        <f>EXP(-LN(2)/25)*AA164+(1-EXP(-LN(2)/25))/(LN(2)/25)*Calculateur!V165*Calculateur!X165*VLOOKUP('Données projet'!$B$9,Paramètres!$A$1:$I$89,3,0)*0.475*44/12</f>
        <v>0.29686098989023418</v>
      </c>
      <c r="AB165" s="23">
        <f>EXP(-LN(2)/2)*AB164+(1-EXP(-LN(2)/2))/(LN(2)/2)*V165*Y165*VLOOKUP('Données projet'!$B$9,Paramètres!$A$1:$I$89,3,0)*0.475*44/12</f>
        <v>1.0284327171461378E-18</v>
      </c>
      <c r="AC165" s="24">
        <f t="shared" si="163"/>
        <v>0.66685425652886943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5.3205440053716299E-14</v>
      </c>
      <c r="AK165" s="14">
        <f t="shared" si="164"/>
        <v>8.602146238565607E-13</v>
      </c>
      <c r="AL165" s="22">
        <f t="shared" si="165"/>
        <v>1.590873277977066E-12</v>
      </c>
      <c r="AM165" s="62">
        <f t="shared" si="113"/>
        <v>293.33333333333491</v>
      </c>
      <c r="AN165" s="62">
        <f ca="1">AVERAGE(OFFSET($AM$3,0,0,'Données projet'!$E$10+1,1))-AVERAGE(OFFSET($H$3,0,0,'Données projet'!$E$10+1,1))</f>
        <v>259.74478933784656</v>
      </c>
      <c r="AO165" s="62">
        <f t="shared" si="144"/>
        <v>223.74038909289646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362.81292020448933</v>
      </c>
      <c r="T166" s="62">
        <f t="shared" si="142"/>
        <v>292.26503163353146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0.36273792435346086</v>
      </c>
      <c r="AA166" s="23">
        <f>EXP(-LN(2)/25)*AA165+(1-EXP(-LN(2)/25))/(LN(2)/25)*Calculateur!V166*Calculateur!X166*VLOOKUP('Données projet'!$B$9,Paramètres!$A$1:$I$89,3,0)*0.475*44/12</f>
        <v>0.28874331051044477</v>
      </c>
      <c r="AB166" s="23">
        <f>EXP(-LN(2)/2)*AB165+(1-EXP(-LN(2)/2))/(LN(2)/2)*V166*Y166*VLOOKUP('Données projet'!$B$9,Paramètres!$A$1:$I$89,3,0)*0.475*44/12</f>
        <v>7.2721174828814055E-19</v>
      </c>
      <c r="AC166" s="24">
        <f t="shared" si="163"/>
        <v>0.65148123486390563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5.3205440053716299E-14</v>
      </c>
      <c r="AK166" s="14">
        <f t="shared" si="164"/>
        <v>8.602146238565607E-13</v>
      </c>
      <c r="AL166" s="22">
        <f t="shared" si="165"/>
        <v>1.590873277977066E-12</v>
      </c>
      <c r="AM166" s="62">
        <f t="shared" si="113"/>
        <v>293.33333333333491</v>
      </c>
      <c r="AN166" s="62">
        <f ca="1">AVERAGE(OFFSET($AM$3,0,0,'Données projet'!$E$10+1,1))-AVERAGE(OFFSET($H$3,0,0,'Données projet'!$E$10+1,1))</f>
        <v>259.74478933784656</v>
      </c>
      <c r="AO166" s="62">
        <f t="shared" si="144"/>
        <v>223.74038909289646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362.81292020448933</v>
      </c>
      <c r="T167" s="62">
        <f t="shared" si="142"/>
        <v>292.26503163353146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0.35562485490517687</v>
      </c>
      <c r="AA167" s="23">
        <f>EXP(-LN(2)/25)*AA166+(1-EXP(-LN(2)/25))/(LN(2)/25)*Calculateur!V167*Calculateur!X167*VLOOKUP('Données projet'!$B$9,Paramètres!$A$1:$I$89,3,0)*0.475*44/12</f>
        <v>0.28084760950018589</v>
      </c>
      <c r="AB167" s="23">
        <f>EXP(-LN(2)/2)*AB166+(1-EXP(-LN(2)/2))/(LN(2)/2)*V167*Y167*VLOOKUP('Données projet'!$B$9,Paramètres!$A$1:$I$89,3,0)*0.475*44/12</f>
        <v>5.1421635857306888E-19</v>
      </c>
      <c r="AC167" s="24">
        <f t="shared" si="163"/>
        <v>0.63647246440536276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5.3205440053716299E-14</v>
      </c>
      <c r="AK167" s="14">
        <f t="shared" si="164"/>
        <v>8.602146238565607E-13</v>
      </c>
      <c r="AL167" s="22">
        <f t="shared" si="165"/>
        <v>1.590873277977066E-12</v>
      </c>
      <c r="AM167" s="62">
        <f t="shared" si="113"/>
        <v>293.33333333333491</v>
      </c>
      <c r="AN167" s="62">
        <f ca="1">AVERAGE(OFFSET($AM$3,0,0,'Données projet'!$E$10+1,1))-AVERAGE(OFFSET($H$3,0,0,'Données projet'!$E$10+1,1))</f>
        <v>259.74478933784656</v>
      </c>
      <c r="AO167" s="62">
        <f t="shared" si="144"/>
        <v>223.74038909289646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362.81292020448933</v>
      </c>
      <c r="T168" s="62">
        <f t="shared" si="142"/>
        <v>292.26503163353146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0.34865126841022981</v>
      </c>
      <c r="AA168" s="23">
        <f>EXP(-LN(2)/25)*AA167+(1-EXP(-LN(2)/25))/(LN(2)/25)*Calculateur!V168*Calculateur!X168*VLOOKUP('Données projet'!$B$9,Paramètres!$A$1:$I$89,3,0)*0.475*44/12</f>
        <v>0.27316781684926938</v>
      </c>
      <c r="AB168" s="23">
        <f>EXP(-LN(2)/2)*AB167+(1-EXP(-LN(2)/2))/(LN(2)/2)*V168*Y168*VLOOKUP('Données projet'!$B$9,Paramètres!$A$1:$I$89,3,0)*0.475*44/12</f>
        <v>3.6360587414407028E-19</v>
      </c>
      <c r="AC168" s="24">
        <f t="shared" si="163"/>
        <v>0.62181908525949914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5.3205440053716299E-14</v>
      </c>
      <c r="AK168" s="14">
        <f t="shared" si="164"/>
        <v>8.602146238565607E-13</v>
      </c>
      <c r="AL168" s="22">
        <f t="shared" si="165"/>
        <v>1.590873277977066E-12</v>
      </c>
      <c r="AM168" s="62">
        <f t="shared" si="113"/>
        <v>293.33333333333491</v>
      </c>
      <c r="AN168" s="62">
        <f ca="1">AVERAGE(OFFSET($AM$3,0,0,'Données projet'!$E$10+1,1))-AVERAGE(OFFSET($H$3,0,0,'Données projet'!$E$10+1,1))</f>
        <v>259.74478933784656</v>
      </c>
      <c r="AO168" s="62">
        <f t="shared" si="144"/>
        <v>223.74038909289646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362.81292020448933</v>
      </c>
      <c r="T169" s="62">
        <f t="shared" si="142"/>
        <v>292.26503163353146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0.34181442969298087</v>
      </c>
      <c r="AA169" s="23">
        <f>EXP(-LN(2)/25)*AA168+(1-EXP(-LN(2)/25))/(LN(2)/25)*Calculateur!V169*Calculateur!X169*VLOOKUP('Données projet'!$B$9,Paramètres!$A$1:$I$89,3,0)*0.475*44/12</f>
        <v>0.26569802853225494</v>
      </c>
      <c r="AB169" s="23">
        <f>EXP(-LN(2)/2)*AB168+(1-EXP(-LN(2)/2))/(LN(2)/2)*V169*Y169*VLOOKUP('Données projet'!$B$9,Paramètres!$A$1:$I$89,3,0)*0.475*44/12</f>
        <v>2.5710817928653444E-19</v>
      </c>
      <c r="AC169" s="24">
        <f t="shared" si="163"/>
        <v>0.60751245822523581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5.3205440053716299E-14</v>
      </c>
      <c r="AK169" s="14">
        <f t="shared" si="164"/>
        <v>8.602146238565607E-13</v>
      </c>
      <c r="AL169" s="22">
        <f t="shared" si="165"/>
        <v>1.590873277977066E-12</v>
      </c>
      <c r="AM169" s="62">
        <f t="shared" si="113"/>
        <v>293.33333333333491</v>
      </c>
      <c r="AN169" s="62">
        <f ca="1">AVERAGE(OFFSET($AM$3,0,0,'Données projet'!$E$10+1,1))-AVERAGE(OFFSET($H$3,0,0,'Données projet'!$E$10+1,1))</f>
        <v>259.74478933784656</v>
      </c>
      <c r="AO169" s="62">
        <f t="shared" si="144"/>
        <v>223.74038909289646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362.81292020448933</v>
      </c>
      <c r="T170" s="62">
        <f t="shared" si="142"/>
        <v>292.26503163353146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0.3351116572129173</v>
      </c>
      <c r="AA170" s="23">
        <f>EXP(-LN(2)/25)*AA169+(1-EXP(-LN(2)/25))/(LN(2)/25)*Calculateur!V170*Calculateur!X170*VLOOKUP('Données projet'!$B$9,Paramètres!$A$1:$I$89,3,0)*0.475*44/12</f>
        <v>0.25843250196958839</v>
      </c>
      <c r="AB170" s="23">
        <f>EXP(-LN(2)/2)*AB169+(1-EXP(-LN(2)/2))/(LN(2)/2)*V170*Y170*VLOOKUP('Données projet'!$B$9,Paramètres!$A$1:$I$89,3,0)*0.475*44/12</f>
        <v>1.8180293707203514E-19</v>
      </c>
      <c r="AC170" s="24">
        <f t="shared" si="163"/>
        <v>0.59354415918250569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5.3205440053716299E-14</v>
      </c>
      <c r="AK170" s="14">
        <f t="shared" si="164"/>
        <v>8.602146238565607E-13</v>
      </c>
      <c r="AL170" s="22">
        <f t="shared" si="165"/>
        <v>1.590873277977066E-12</v>
      </c>
      <c r="AM170" s="62">
        <f t="shared" si="113"/>
        <v>293.33333333333491</v>
      </c>
      <c r="AN170" s="62">
        <f ca="1">AVERAGE(OFFSET($AM$3,0,0,'Données projet'!$E$10+1,1))-AVERAGE(OFFSET($H$3,0,0,'Données projet'!$E$10+1,1))</f>
        <v>259.74478933784656</v>
      </c>
      <c r="AO170" s="62">
        <f t="shared" si="144"/>
        <v>223.74038909289646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362.81292020448933</v>
      </c>
      <c r="T171" s="62">
        <f t="shared" si="142"/>
        <v>292.26503163353146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0.32854032201290029</v>
      </c>
      <c r="AA171" s="23">
        <f>EXP(-LN(2)/25)*AA170+(1-EXP(-LN(2)/25))/(LN(2)/25)*Calculateur!V171*Calculateur!X171*VLOOKUP('Données projet'!$B$9,Paramètres!$A$1:$I$89,3,0)*0.475*44/12</f>
        <v>0.2513656516128554</v>
      </c>
      <c r="AB171" s="23">
        <f>EXP(-LN(2)/2)*AB170+(1-EXP(-LN(2)/2))/(LN(2)/2)*V171*Y171*VLOOKUP('Données projet'!$B$9,Paramètres!$A$1:$I$89,3,0)*0.475*44/12</f>
        <v>1.2855408964326722E-19</v>
      </c>
      <c r="AC171" s="24">
        <f t="shared" si="163"/>
        <v>0.57990597362575569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5.3205440053716299E-14</v>
      </c>
      <c r="AK171" s="14">
        <f t="shared" si="164"/>
        <v>8.602146238565607E-13</v>
      </c>
      <c r="AL171" s="22">
        <f t="shared" si="165"/>
        <v>1.590873277977066E-12</v>
      </c>
      <c r="AM171" s="62">
        <f t="shared" si="113"/>
        <v>293.33333333333491</v>
      </c>
      <c r="AN171" s="62">
        <f ca="1">AVERAGE(OFFSET($AM$3,0,0,'Données projet'!$E$10+1,1))-AVERAGE(OFFSET($H$3,0,0,'Données projet'!$E$10+1,1))</f>
        <v>259.74478933784656</v>
      </c>
      <c r="AO171" s="62">
        <f t="shared" si="144"/>
        <v>223.74038909289646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362.81292020448933</v>
      </c>
      <c r="T172" s="62">
        <f t="shared" si="142"/>
        <v>292.26503163353146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0.32209784668803687</v>
      </c>
      <c r="AA172" s="23">
        <f>EXP(-LN(2)/25)*AA171+(1-EXP(-LN(2)/25))/(LN(2)/25)*Calculateur!V172*Calculateur!X172*VLOOKUP('Données projet'!$B$9,Paramètres!$A$1:$I$89,3,0)*0.475*44/12</f>
        <v>0.24449204465075675</v>
      </c>
      <c r="AB172" s="23">
        <f>EXP(-LN(2)/2)*AB171+(1-EXP(-LN(2)/2))/(LN(2)/2)*V172*Y172*VLOOKUP('Données projet'!$B$9,Paramètres!$A$1:$I$89,3,0)*0.475*44/12</f>
        <v>9.0901468536017569E-20</v>
      </c>
      <c r="AC172" s="24">
        <f t="shared" si="163"/>
        <v>0.56658989133879367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5.3205440053716299E-14</v>
      </c>
      <c r="AK172" s="14">
        <f t="shared" si="164"/>
        <v>8.602146238565607E-13</v>
      </c>
      <c r="AL172" s="22">
        <f t="shared" si="165"/>
        <v>1.590873277977066E-12</v>
      </c>
      <c r="AM172" s="62">
        <f t="shared" si="113"/>
        <v>293.33333333333491</v>
      </c>
      <c r="AN172" s="62">
        <f ca="1">AVERAGE(OFFSET($AM$3,0,0,'Données projet'!$E$10+1,1))-AVERAGE(OFFSET($H$3,0,0,'Données projet'!$E$10+1,1))</f>
        <v>259.74478933784656</v>
      </c>
      <c r="AO172" s="62">
        <f t="shared" si="144"/>
        <v>223.74038909289646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362.81292020448933</v>
      </c>
      <c r="T173" s="62">
        <f t="shared" si="142"/>
        <v>292.26503163353146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0.3157817043747721</v>
      </c>
      <c r="AA173" s="23">
        <f>EXP(-LN(2)/25)*AA172+(1-EXP(-LN(2)/25))/(LN(2)/25)*Calculateur!V173*Calculateur!X173*VLOOKUP('Données projet'!$B$9,Paramètres!$A$1:$I$89,3,0)*0.475*44/12</f>
        <v>0.23780639683250396</v>
      </c>
      <c r="AB173" s="23">
        <f>EXP(-LN(2)/2)*AB172+(1-EXP(-LN(2)/2))/(LN(2)/2)*V173*Y173*VLOOKUP('Données projet'!$B$9,Paramètres!$A$1:$I$89,3,0)*0.475*44/12</f>
        <v>6.4277044821633609E-20</v>
      </c>
      <c r="AC173" s="24">
        <f t="shared" si="163"/>
        <v>0.55358810120727608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5.3205440053716299E-14</v>
      </c>
      <c r="AK173" s="14">
        <f t="shared" si="164"/>
        <v>8.602146238565607E-13</v>
      </c>
      <c r="AL173" s="22">
        <f t="shared" si="165"/>
        <v>1.590873277977066E-12</v>
      </c>
      <c r="AM173" s="62">
        <f t="shared" si="113"/>
        <v>293.33333333333491</v>
      </c>
      <c r="AN173" s="62">
        <f ca="1">AVERAGE(OFFSET($AM$3,0,0,'Données projet'!$E$10+1,1))-AVERAGE(OFFSET($H$3,0,0,'Données projet'!$E$10+1,1))</f>
        <v>259.74478933784656</v>
      </c>
      <c r="AO173" s="62">
        <f t="shared" si="144"/>
        <v>223.74038909289646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362.81292020448933</v>
      </c>
      <c r="T174" s="62">
        <f t="shared" si="142"/>
        <v>292.26503163353146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0.30958941775980403</v>
      </c>
      <c r="AA174" s="23">
        <f>EXP(-LN(2)/25)*AA173+(1-EXP(-LN(2)/25))/(LN(2)/25)*Calculateur!V174*Calculateur!X174*VLOOKUP('Données projet'!$B$9,Paramètres!$A$1:$I$89,3,0)*0.475*44/12</f>
        <v>0.23130356840542424</v>
      </c>
      <c r="AB174" s="23">
        <f>EXP(-LN(2)/2)*AB173+(1-EXP(-LN(2)/2))/(LN(2)/2)*V174*Y174*VLOOKUP('Données projet'!$B$9,Paramètres!$A$1:$I$89,3,0)*0.475*44/12</f>
        <v>4.5450734268008784E-20</v>
      </c>
      <c r="AC174" s="24">
        <f t="shared" si="163"/>
        <v>0.5408929861652283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5.3205440053716299E-14</v>
      </c>
      <c r="AK174" s="14">
        <f t="shared" si="164"/>
        <v>8.602146238565607E-13</v>
      </c>
      <c r="AL174" s="22">
        <f t="shared" si="165"/>
        <v>1.590873277977066E-12</v>
      </c>
      <c r="AM174" s="62">
        <f t="shared" si="113"/>
        <v>293.33333333333491</v>
      </c>
      <c r="AN174" s="62">
        <f ca="1">AVERAGE(OFFSET($AM$3,0,0,'Données projet'!$E$10+1,1))-AVERAGE(OFFSET($H$3,0,0,'Données projet'!$E$10+1,1))</f>
        <v>259.74478933784656</v>
      </c>
      <c r="AO174" s="62">
        <f t="shared" si="144"/>
        <v>223.74038909289646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362.81292020448933</v>
      </c>
      <c r="T175" s="62">
        <f t="shared" si="142"/>
        <v>292.26503163353146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0.30351855810843359</v>
      </c>
      <c r="AA175" s="23">
        <f>EXP(-LN(2)/25)*AA174+(1-EXP(-LN(2)/25))/(LN(2)/25)*Calculateur!V175*Calculateur!X175*VLOOKUP('Données projet'!$B$9,Paramètres!$A$1:$I$89,3,0)*0.475*44/12</f>
        <v>0.22497856016365189</v>
      </c>
      <c r="AB175" s="23">
        <f>EXP(-LN(2)/2)*AB174+(1-EXP(-LN(2)/2))/(LN(2)/2)*V175*Y175*VLOOKUP('Données projet'!$B$9,Paramètres!$A$1:$I$89,3,0)*0.475*44/12</f>
        <v>3.2138522410816805E-20</v>
      </c>
      <c r="AC175" s="24">
        <f t="shared" si="163"/>
        <v>0.52849711827208545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5.3205440053716299E-14</v>
      </c>
      <c r="AK175" s="14">
        <f t="shared" si="164"/>
        <v>8.602146238565607E-13</v>
      </c>
      <c r="AL175" s="22">
        <f t="shared" si="165"/>
        <v>1.590873277977066E-12</v>
      </c>
      <c r="AM175" s="62">
        <f t="shared" si="113"/>
        <v>293.33333333333491</v>
      </c>
      <c r="AN175" s="62">
        <f ca="1">AVERAGE(OFFSET($AM$3,0,0,'Données projet'!$E$10+1,1))-AVERAGE(OFFSET($H$3,0,0,'Données projet'!$E$10+1,1))</f>
        <v>259.74478933784656</v>
      </c>
      <c r="AO175" s="62">
        <f t="shared" si="144"/>
        <v>223.74038909289646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362.81292020448933</v>
      </c>
      <c r="T176" s="62">
        <f t="shared" si="142"/>
        <v>292.26503163353146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0.29756674431196778</v>
      </c>
      <c r="AA176" s="23">
        <f>EXP(-LN(2)/25)*AA175+(1-EXP(-LN(2)/25))/(LN(2)/25)*Calculateur!V176*Calculateur!X176*VLOOKUP('Données projet'!$B$9,Paramètres!$A$1:$I$89,3,0)*0.475*44/12</f>
        <v>0.21882650960486855</v>
      </c>
      <c r="AB176" s="23">
        <f>EXP(-LN(2)/2)*AB175+(1-EXP(-LN(2)/2))/(LN(2)/2)*V176*Y176*VLOOKUP('Données projet'!$B$9,Paramètres!$A$1:$I$89,3,0)*0.475*44/12</f>
        <v>2.2725367134004392E-20</v>
      </c>
      <c r="AC176" s="24">
        <f t="shared" si="163"/>
        <v>0.51639325391683633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5.3205440053716299E-14</v>
      </c>
      <c r="AK176" s="14">
        <f t="shared" si="164"/>
        <v>8.602146238565607E-13</v>
      </c>
      <c r="AL176" s="22">
        <f t="shared" si="165"/>
        <v>1.590873277977066E-12</v>
      </c>
      <c r="AM176" s="62">
        <f t="shared" si="113"/>
        <v>293.33333333333491</v>
      </c>
      <c r="AN176" s="62">
        <f ca="1">AVERAGE(OFFSET($AM$3,0,0,'Données projet'!$E$10+1,1))-AVERAGE(OFFSET($H$3,0,0,'Données projet'!$E$10+1,1))</f>
        <v>259.74478933784656</v>
      </c>
      <c r="AO176" s="62">
        <f t="shared" si="144"/>
        <v>223.74038909289646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362.81292020448933</v>
      </c>
      <c r="T177" s="62">
        <f t="shared" si="142"/>
        <v>292.26503163353146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0.29173164195380269</v>
      </c>
      <c r="AA177" s="23">
        <f>EXP(-LN(2)/25)*AA176+(1-EXP(-LN(2)/25))/(LN(2)/25)*Calculateur!V177*Calculateur!X177*VLOOKUP('Données projet'!$B$9,Paramètres!$A$1:$I$89,3,0)*0.475*44/12</f>
        <v>0.21284268719213742</v>
      </c>
      <c r="AB177" s="23">
        <f>EXP(-LN(2)/2)*AB176+(1-EXP(-LN(2)/2))/(LN(2)/2)*V177*Y177*VLOOKUP('Données projet'!$B$9,Paramètres!$A$1:$I$89,3,0)*0.475*44/12</f>
        <v>1.6069261205408402E-20</v>
      </c>
      <c r="AC177" s="24">
        <f t="shared" si="163"/>
        <v>0.50457432914594014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5.3205440053716299E-14</v>
      </c>
      <c r="AK177" s="14">
        <f t="shared" si="164"/>
        <v>8.602146238565607E-13</v>
      </c>
      <c r="AL177" s="22">
        <f t="shared" si="165"/>
        <v>1.590873277977066E-12</v>
      </c>
      <c r="AM177" s="62">
        <f t="shared" si="113"/>
        <v>293.33333333333491</v>
      </c>
      <c r="AN177" s="62">
        <f ca="1">AVERAGE(OFFSET($AM$3,0,0,'Données projet'!$E$10+1,1))-AVERAGE(OFFSET($H$3,0,0,'Données projet'!$E$10+1,1))</f>
        <v>259.74478933784656</v>
      </c>
      <c r="AO177" s="62">
        <f t="shared" si="144"/>
        <v>223.74038909289646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362.81292020448933</v>
      </c>
      <c r="T178" s="62">
        <f t="shared" si="142"/>
        <v>292.26503163353146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0.28601096239382023</v>
      </c>
      <c r="AA178" s="23">
        <f>EXP(-LN(2)/25)*AA177+(1-EXP(-LN(2)/25))/(LN(2)/25)*Calculateur!V178*Calculateur!X178*VLOOKUP('Données projet'!$B$9,Paramètres!$A$1:$I$89,3,0)*0.475*44/12</f>
        <v>0.20702249271795797</v>
      </c>
      <c r="AB178" s="23">
        <f>EXP(-LN(2)/2)*AB177+(1-EXP(-LN(2)/2))/(LN(2)/2)*V178*Y178*VLOOKUP('Données projet'!$B$9,Paramètres!$A$1:$I$89,3,0)*0.475*44/12</f>
        <v>1.1362683567002196E-20</v>
      </c>
      <c r="AC178" s="24">
        <f t="shared" si="163"/>
        <v>0.49303345511177821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5.3205440053716299E-14</v>
      </c>
      <c r="AK178" s="14">
        <f t="shared" si="164"/>
        <v>8.602146238565607E-13</v>
      </c>
      <c r="AL178" s="22">
        <f t="shared" si="165"/>
        <v>1.590873277977066E-12</v>
      </c>
      <c r="AM178" s="62">
        <f t="shared" si="113"/>
        <v>293.33333333333491</v>
      </c>
      <c r="AN178" s="62">
        <f ca="1">AVERAGE(OFFSET($AM$3,0,0,'Données projet'!$E$10+1,1))-AVERAGE(OFFSET($H$3,0,0,'Données projet'!$E$10+1,1))</f>
        <v>259.74478933784656</v>
      </c>
      <c r="AO178" s="62">
        <f t="shared" si="144"/>
        <v>223.74038909289646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362.81292020448933</v>
      </c>
      <c r="T179" s="62">
        <f t="shared" si="142"/>
        <v>292.26503163353146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0.28040246187073903</v>
      </c>
      <c r="AA179" s="23">
        <f>EXP(-LN(2)/25)*AA178+(1-EXP(-LN(2)/25))/(LN(2)/25)*Calculateur!V179*Calculateur!X179*VLOOKUP('Données projet'!$B$9,Paramètres!$A$1:$I$89,3,0)*0.475*44/12</f>
        <v>0.20136145176774567</v>
      </c>
      <c r="AB179" s="23">
        <f>EXP(-LN(2)/2)*AB178+(1-EXP(-LN(2)/2))/(LN(2)/2)*V179*Y179*VLOOKUP('Données projet'!$B$9,Paramètres!$A$1:$I$89,3,0)*0.475*44/12</f>
        <v>8.0346306027042012E-21</v>
      </c>
      <c r="AC179" s="24">
        <f t="shared" si="163"/>
        <v>0.4817639136384847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5.3205440053716299E-14</v>
      </c>
      <c r="AK179" s="14">
        <f t="shared" si="164"/>
        <v>8.602146238565607E-13</v>
      </c>
      <c r="AL179" s="22">
        <f t="shared" si="165"/>
        <v>1.590873277977066E-12</v>
      </c>
      <c r="AM179" s="62">
        <f t="shared" si="113"/>
        <v>293.33333333333491</v>
      </c>
      <c r="AN179" s="62">
        <f ca="1">AVERAGE(OFFSET($AM$3,0,0,'Données projet'!$E$10+1,1))-AVERAGE(OFFSET($H$3,0,0,'Données projet'!$E$10+1,1))</f>
        <v>259.74478933784656</v>
      </c>
      <c r="AO179" s="62">
        <f t="shared" si="144"/>
        <v>223.74038909289646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362.81292020448933</v>
      </c>
      <c r="T180" s="62">
        <f t="shared" si="142"/>
        <v>292.26503163353146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0.27490394062206791</v>
      </c>
      <c r="AA180" s="23">
        <f>EXP(-LN(2)/25)*AA179+(1-EXP(-LN(2)/25))/(LN(2)/25)*Calculateur!V180*Calculateur!X180*VLOOKUP('Données projet'!$B$9,Paramètres!$A$1:$I$89,3,0)*0.475*44/12</f>
        <v>0.19585521228001812</v>
      </c>
      <c r="AB180" s="23">
        <f>EXP(-LN(2)/2)*AB179+(1-EXP(-LN(2)/2))/(LN(2)/2)*V180*Y180*VLOOKUP('Données projet'!$B$9,Paramètres!$A$1:$I$89,3,0)*0.475*44/12</f>
        <v>5.6813417835010981E-21</v>
      </c>
      <c r="AC180" s="24">
        <f t="shared" si="163"/>
        <v>0.47075915290208603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5.3205440053716299E-14</v>
      </c>
      <c r="AK180" s="14">
        <f t="shared" si="164"/>
        <v>8.602146238565607E-13</v>
      </c>
      <c r="AL180" s="22">
        <f t="shared" si="165"/>
        <v>1.590873277977066E-12</v>
      </c>
      <c r="AM180" s="62">
        <f t="shared" si="113"/>
        <v>293.33333333333491</v>
      </c>
      <c r="AN180" s="62">
        <f ca="1">AVERAGE(OFFSET($AM$3,0,0,'Données projet'!$E$10+1,1))-AVERAGE(OFFSET($H$3,0,0,'Données projet'!$E$10+1,1))</f>
        <v>259.74478933784656</v>
      </c>
      <c r="AO180" s="62">
        <f t="shared" si="144"/>
        <v>223.74038909289646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362.81292020448933</v>
      </c>
      <c r="T181" s="62">
        <f t="shared" si="142"/>
        <v>292.26503163353146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0.26951324202131643</v>
      </c>
      <c r="AA181" s="23">
        <f>EXP(-LN(2)/25)*AA180+(1-EXP(-LN(2)/25))/(LN(2)/25)*Calculateur!V181*Calculateur!X181*VLOOKUP('Données projet'!$B$9,Paramètres!$A$1:$I$89,3,0)*0.475*44/12</f>
        <v>0.19049954120064305</v>
      </c>
      <c r="AB181" s="23">
        <f>EXP(-LN(2)/2)*AB180+(1-EXP(-LN(2)/2))/(LN(2)/2)*V181*Y181*VLOOKUP('Données projet'!$B$9,Paramètres!$A$1:$I$89,3,0)*0.475*44/12</f>
        <v>4.0173153013521006E-21</v>
      </c>
      <c r="AC181" s="24">
        <f t="shared" si="163"/>
        <v>0.46001278322195949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5.3205440053716299E-14</v>
      </c>
      <c r="AK181" s="14">
        <f t="shared" si="164"/>
        <v>8.602146238565607E-13</v>
      </c>
      <c r="AL181" s="22">
        <f t="shared" si="165"/>
        <v>1.590873277977066E-12</v>
      </c>
      <c r="AM181" s="62">
        <f t="shared" si="113"/>
        <v>293.33333333333491</v>
      </c>
      <c r="AN181" s="62">
        <f ca="1">AVERAGE(OFFSET($AM$3,0,0,'Données projet'!$E$10+1,1))-AVERAGE(OFFSET($H$3,0,0,'Données projet'!$E$10+1,1))</f>
        <v>259.74478933784656</v>
      </c>
      <c r="AO181" s="62">
        <f t="shared" si="144"/>
        <v>223.74038909289646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362.81292020448933</v>
      </c>
      <c r="T182" s="62">
        <f t="shared" si="142"/>
        <v>292.26503163353146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0.26422825173212422</v>
      </c>
      <c r="AA182" s="23">
        <f>EXP(-LN(2)/25)*AA181+(1-EXP(-LN(2)/25))/(LN(2)/25)*Calculateur!V182*Calculateur!X182*VLOOKUP('Données projet'!$B$9,Paramètres!$A$1:$I$89,3,0)*0.475*44/12</f>
        <v>0.185290321228576</v>
      </c>
      <c r="AB182" s="23">
        <f>EXP(-LN(2)/2)*AB181+(1-EXP(-LN(2)/2))/(LN(2)/2)*V182*Y182*VLOOKUP('Données projet'!$B$9,Paramètres!$A$1:$I$89,3,0)*0.475*44/12</f>
        <v>2.840670891750549E-21</v>
      </c>
      <c r="AC182" s="24">
        <f t="shared" si="163"/>
        <v>0.44951857296070019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5.3205440053716299E-14</v>
      </c>
      <c r="AK182" s="14">
        <f t="shared" si="164"/>
        <v>8.602146238565607E-13</v>
      </c>
      <c r="AL182" s="22">
        <f t="shared" si="165"/>
        <v>1.590873277977066E-12</v>
      </c>
      <c r="AM182" s="62">
        <f t="shared" si="113"/>
        <v>293.33333333333491</v>
      </c>
      <c r="AN182" s="62">
        <f ca="1">AVERAGE(OFFSET($AM$3,0,0,'Données projet'!$E$10+1,1))-AVERAGE(OFFSET($H$3,0,0,'Données projet'!$E$10+1,1))</f>
        <v>259.74478933784656</v>
      </c>
      <c r="AO182" s="62">
        <f t="shared" si="144"/>
        <v>223.74038909289646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362.81292020448933</v>
      </c>
      <c r="T183" s="62">
        <f t="shared" si="142"/>
        <v>292.26503163353146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0.25904689687897725</v>
      </c>
      <c r="AA183" s="23">
        <f>EXP(-LN(2)/25)*AA182+(1-EXP(-LN(2)/25))/(LN(2)/25)*Calculateur!V183*Calculateur!X183*VLOOKUP('Données projet'!$B$9,Paramètres!$A$1:$I$89,3,0)*0.475*44/12</f>
        <v>0.18022354765058607</v>
      </c>
      <c r="AB183" s="23">
        <f>EXP(-LN(2)/2)*AB182+(1-EXP(-LN(2)/2))/(LN(2)/2)*V183*Y183*VLOOKUP('Données projet'!$B$9,Paramètres!$A$1:$I$89,3,0)*0.475*44/12</f>
        <v>2.0086576506760503E-21</v>
      </c>
      <c r="AC183" s="24">
        <f t="shared" si="163"/>
        <v>0.43927044452956332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5.3205440053716299E-14</v>
      </c>
      <c r="AK183" s="14">
        <f t="shared" si="164"/>
        <v>8.602146238565607E-13</v>
      </c>
      <c r="AL183" s="22">
        <f t="shared" si="165"/>
        <v>1.590873277977066E-12</v>
      </c>
      <c r="AM183" s="62">
        <f t="shared" si="113"/>
        <v>293.33333333333491</v>
      </c>
      <c r="AN183" s="62">
        <f ca="1">AVERAGE(OFFSET($AM$3,0,0,'Données projet'!$E$10+1,1))-AVERAGE(OFFSET($H$3,0,0,'Données projet'!$E$10+1,1))</f>
        <v>259.74478933784656</v>
      </c>
      <c r="AO183" s="62">
        <f t="shared" si="144"/>
        <v>223.74038909289646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362.81292020448933</v>
      </c>
      <c r="T184" s="62">
        <f t="shared" si="142"/>
        <v>292.26503163353146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0.25396714523418612</v>
      </c>
      <c r="AA184" s="23">
        <f>EXP(-LN(2)/25)*AA183+(1-EXP(-LN(2)/25))/(LN(2)/25)*Calculateur!V184*Calculateur!X184*VLOOKUP('Données projet'!$B$9,Paramètres!$A$1:$I$89,3,0)*0.475*44/12</f>
        <v>0.17529532526253633</v>
      </c>
      <c r="AB184" s="23">
        <f>EXP(-LN(2)/2)*AB183+(1-EXP(-LN(2)/2))/(LN(2)/2)*V184*Y184*VLOOKUP('Données projet'!$B$9,Paramètres!$A$1:$I$89,3,0)*0.475*44/12</f>
        <v>1.4203354458752745E-21</v>
      </c>
      <c r="AC184" s="24">
        <f t="shared" si="163"/>
        <v>0.42926247049672245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5.3205440053716299E-14</v>
      </c>
      <c r="AK184" s="14">
        <f t="shared" si="164"/>
        <v>8.602146238565607E-13</v>
      </c>
      <c r="AL184" s="22">
        <f t="shared" si="165"/>
        <v>1.590873277977066E-12</v>
      </c>
      <c r="AM184" s="62">
        <f t="shared" si="113"/>
        <v>293.33333333333491</v>
      </c>
      <c r="AN184" s="62">
        <f ca="1">AVERAGE(OFFSET($AM$3,0,0,'Données projet'!$E$10+1,1))-AVERAGE(OFFSET($H$3,0,0,'Données projet'!$E$10+1,1))</f>
        <v>259.74478933784656</v>
      </c>
      <c r="AO184" s="62">
        <f t="shared" si="144"/>
        <v>223.74038909289646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362.81292020448933</v>
      </c>
      <c r="T185" s="62">
        <f t="shared" si="142"/>
        <v>292.26503163353146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0.24898700442080676</v>
      </c>
      <c r="AA185" s="23">
        <f>EXP(-LN(2)/25)*AA184+(1-EXP(-LN(2)/25))/(LN(2)/25)*Calculateur!V185*Calculateur!X185*VLOOKUP('Données projet'!$B$9,Paramètres!$A$1:$I$89,3,0)*0.475*44/12</f>
        <v>0.17050186537485176</v>
      </c>
      <c r="AB185" s="23">
        <f>EXP(-LN(2)/2)*AB184+(1-EXP(-LN(2)/2))/(LN(2)/2)*V185*Y185*VLOOKUP('Données projet'!$B$9,Paramètres!$A$1:$I$89,3,0)*0.475*44/12</f>
        <v>1.0043288253380251E-21</v>
      </c>
      <c r="AC185" s="24">
        <f t="shared" si="163"/>
        <v>0.41948886979565853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5.3205440053716299E-14</v>
      </c>
      <c r="AK185" s="14">
        <f t="shared" si="164"/>
        <v>8.602146238565607E-13</v>
      </c>
      <c r="AL185" s="22">
        <f t="shared" si="165"/>
        <v>1.590873277977066E-12</v>
      </c>
      <c r="AM185" s="62">
        <f t="shared" si="113"/>
        <v>293.33333333333491</v>
      </c>
      <c r="AN185" s="62">
        <f ca="1">AVERAGE(OFFSET($AM$3,0,0,'Données projet'!$E$10+1,1))-AVERAGE(OFFSET($H$3,0,0,'Données projet'!$E$10+1,1))</f>
        <v>259.74478933784656</v>
      </c>
      <c r="AO185" s="62">
        <f t="shared" si="144"/>
        <v>223.74038909289646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362.81292020448933</v>
      </c>
      <c r="T186" s="62">
        <f t="shared" si="142"/>
        <v>292.26503163353146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0.2441045211311918</v>
      </c>
      <c r="AA186" s="23">
        <f>EXP(-LN(2)/25)*AA185+(1-EXP(-LN(2)/25))/(LN(2)/25)*Calculateur!V186*Calculateur!X186*VLOOKUP('Données projet'!$B$9,Paramètres!$A$1:$I$89,3,0)*0.475*44/12</f>
        <v>0.16583948289987302</v>
      </c>
      <c r="AB186" s="23">
        <f>EXP(-LN(2)/2)*AB185+(1-EXP(-LN(2)/2))/(LN(2)/2)*V186*Y186*VLOOKUP('Données projet'!$B$9,Paramètres!$A$1:$I$89,3,0)*0.475*44/12</f>
        <v>7.1016772293763726E-22</v>
      </c>
      <c r="AC186" s="24">
        <f t="shared" si="163"/>
        <v>0.40994400403106479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5.3205440053716299E-14</v>
      </c>
      <c r="AK186" s="14">
        <f t="shared" si="164"/>
        <v>8.602146238565607E-13</v>
      </c>
      <c r="AL186" s="22">
        <f t="shared" si="165"/>
        <v>1.590873277977066E-12</v>
      </c>
      <c r="AM186" s="62">
        <f t="shared" si="113"/>
        <v>293.33333333333491</v>
      </c>
      <c r="AN186" s="62">
        <f ca="1">AVERAGE(OFFSET($AM$3,0,0,'Données projet'!$E$10+1,1))-AVERAGE(OFFSET($H$3,0,0,'Données projet'!$E$10+1,1))</f>
        <v>259.74478933784656</v>
      </c>
      <c r="AO186" s="62">
        <f t="shared" si="144"/>
        <v>223.74038909289646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362.81292020448933</v>
      </c>
      <c r="T187" s="62">
        <f t="shared" si="142"/>
        <v>292.26503163353146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0.23931778036086546</v>
      </c>
      <c r="AA187" s="23">
        <f>EXP(-LN(2)/25)*AA186+(1-EXP(-LN(2)/25))/(LN(2)/25)*Calculateur!V187*Calculateur!X187*VLOOKUP('Données projet'!$B$9,Paramètres!$A$1:$I$89,3,0)*0.475*44/12</f>
        <v>0.16130459351885662</v>
      </c>
      <c r="AB187" s="23">
        <f>EXP(-LN(2)/2)*AB186+(1-EXP(-LN(2)/2))/(LN(2)/2)*V187*Y187*VLOOKUP('Données projet'!$B$9,Paramètres!$A$1:$I$89,3,0)*0.475*44/12</f>
        <v>5.0216441266901257E-22</v>
      </c>
      <c r="AC187" s="24">
        <f t="shared" si="163"/>
        <v>0.4006223738797221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5.3205440053716299E-14</v>
      </c>
      <c r="AK187" s="14">
        <f t="shared" si="164"/>
        <v>8.602146238565607E-13</v>
      </c>
      <c r="AL187" s="22">
        <f t="shared" si="165"/>
        <v>1.590873277977066E-12</v>
      </c>
      <c r="AM187" s="62">
        <f t="shared" si="113"/>
        <v>293.33333333333491</v>
      </c>
      <c r="AN187" s="62">
        <f ca="1">AVERAGE(OFFSET($AM$3,0,0,'Données projet'!$E$10+1,1))-AVERAGE(OFFSET($H$3,0,0,'Données projet'!$E$10+1,1))</f>
        <v>259.74478933784656</v>
      </c>
      <c r="AO187" s="62">
        <f t="shared" si="144"/>
        <v>223.74038909289646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362.81292020448933</v>
      </c>
      <c r="T188" s="62">
        <f t="shared" si="142"/>
        <v>292.26503163353146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0.23462490465742161</v>
      </c>
      <c r="AA188" s="23">
        <f>EXP(-LN(2)/25)*AA187+(1-EXP(-LN(2)/25))/(LN(2)/25)*Calculateur!V188*Calculateur!X188*VLOOKUP('Données projet'!$B$9,Paramètres!$A$1:$I$89,3,0)*0.475*44/12</f>
        <v>0.15689371092644358</v>
      </c>
      <c r="AB188" s="23">
        <f>EXP(-LN(2)/2)*AB187+(1-EXP(-LN(2)/2))/(LN(2)/2)*V188*Y188*VLOOKUP('Données projet'!$B$9,Paramètres!$A$1:$I$89,3,0)*0.475*44/12</f>
        <v>3.5508386146881863E-22</v>
      </c>
      <c r="AC188" s="24">
        <f t="shared" si="163"/>
        <v>0.39151861558386519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5.3205440053716299E-14</v>
      </c>
      <c r="AK188" s="14">
        <f t="shared" si="164"/>
        <v>8.602146238565607E-13</v>
      </c>
      <c r="AL188" s="22">
        <f t="shared" si="165"/>
        <v>1.590873277977066E-12</v>
      </c>
      <c r="AM188" s="62">
        <f t="shared" si="113"/>
        <v>293.33333333333491</v>
      </c>
      <c r="AN188" s="62">
        <f ca="1">AVERAGE(OFFSET($AM$3,0,0,'Données projet'!$E$10+1,1))-AVERAGE(OFFSET($H$3,0,0,'Données projet'!$E$10+1,1))</f>
        <v>259.74478933784656</v>
      </c>
      <c r="AO188" s="62">
        <f t="shared" si="144"/>
        <v>223.74038909289646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362.81292020448933</v>
      </c>
      <c r="T189" s="62">
        <f t="shared" si="142"/>
        <v>292.26503163353146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0.23002405338415077</v>
      </c>
      <c r="AA189" s="23">
        <f>EXP(-LN(2)/25)*AA188+(1-EXP(-LN(2)/25))/(LN(2)/25)*Calculateur!V189*Calculateur!X189*VLOOKUP('Données projet'!$B$9,Paramètres!$A$1:$I$89,3,0)*0.475*44/12</f>
        <v>0.1526034441504783</v>
      </c>
      <c r="AB189" s="23">
        <f>EXP(-LN(2)/2)*AB188+(1-EXP(-LN(2)/2))/(LN(2)/2)*V189*Y189*VLOOKUP('Données projet'!$B$9,Paramètres!$A$1:$I$89,3,0)*0.475*44/12</f>
        <v>2.5108220633450629E-22</v>
      </c>
      <c r="AC189" s="24">
        <f t="shared" si="163"/>
        <v>0.3826274975346291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5.3205440053716299E-14</v>
      </c>
      <c r="AK189" s="14">
        <f t="shared" si="164"/>
        <v>8.602146238565607E-13</v>
      </c>
      <c r="AL189" s="22">
        <f t="shared" si="165"/>
        <v>1.590873277977066E-12</v>
      </c>
      <c r="AM189" s="62">
        <f t="shared" si="113"/>
        <v>293.33333333333491</v>
      </c>
      <c r="AN189" s="62">
        <f ca="1">AVERAGE(OFFSET($AM$3,0,0,'Données projet'!$E$10+1,1))-AVERAGE(OFFSET($H$3,0,0,'Données projet'!$E$10+1,1))</f>
        <v>259.74478933784656</v>
      </c>
      <c r="AO189" s="62">
        <f t="shared" si="144"/>
        <v>223.74038909289646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362.81292020448933</v>
      </c>
      <c r="T190" s="62">
        <f t="shared" si="142"/>
        <v>292.26503163353146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0.22551342199810659</v>
      </c>
      <c r="AA190" s="23">
        <f>EXP(-LN(2)/25)*AA189+(1-EXP(-LN(2)/25))/(LN(2)/25)*Calculateur!V190*Calculateur!X190*VLOOKUP('Données projet'!$B$9,Paramètres!$A$1:$I$89,3,0)*0.475*44/12</f>
        <v>0.14843049494511712</v>
      </c>
      <c r="AB190" s="23">
        <f>EXP(-LN(2)/2)*AB189+(1-EXP(-LN(2)/2))/(LN(2)/2)*V190*Y190*VLOOKUP('Données projet'!$B$9,Paramètres!$A$1:$I$89,3,0)*0.475*44/12</f>
        <v>1.7754193073440931E-22</v>
      </c>
      <c r="AC190" s="24">
        <f t="shared" si="163"/>
        <v>0.37394391694322371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5.3205440053716299E-14</v>
      </c>
      <c r="AK190" s="14">
        <f t="shared" si="164"/>
        <v>8.602146238565607E-13</v>
      </c>
      <c r="AL190" s="22">
        <f t="shared" si="165"/>
        <v>1.590873277977066E-12</v>
      </c>
      <c r="AM190" s="62">
        <f t="shared" si="113"/>
        <v>293.33333333333491</v>
      </c>
      <c r="AN190" s="62">
        <f ca="1">AVERAGE(OFFSET($AM$3,0,0,'Données projet'!$E$10+1,1))-AVERAGE(OFFSET($H$3,0,0,'Données projet'!$E$10+1,1))</f>
        <v>259.74478933784656</v>
      </c>
      <c r="AO190" s="62">
        <f t="shared" si="144"/>
        <v>223.74038909289646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362.81292020448933</v>
      </c>
      <c r="T191" s="62">
        <f t="shared" si="142"/>
        <v>292.26503163353146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0.22109124134232924</v>
      </c>
      <c r="AA191" s="23">
        <f>EXP(-LN(2)/25)*AA190+(1-EXP(-LN(2)/25))/(LN(2)/25)*Calculateur!V191*Calculateur!X191*VLOOKUP('Données projet'!$B$9,Paramètres!$A$1:$I$89,3,0)*0.475*44/12</f>
        <v>0.14437165525522241</v>
      </c>
      <c r="AB191" s="23">
        <f>EXP(-LN(2)/2)*AB190+(1-EXP(-LN(2)/2))/(LN(2)/2)*V191*Y191*VLOOKUP('Données projet'!$B$9,Paramètres!$A$1:$I$89,3,0)*0.475*44/12</f>
        <v>1.2554110316725314E-22</v>
      </c>
      <c r="AC191" s="24">
        <f t="shared" si="163"/>
        <v>0.36546289659755166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5.3205440053716299E-14</v>
      </c>
      <c r="AK191" s="14">
        <f t="shared" si="164"/>
        <v>8.602146238565607E-13</v>
      </c>
      <c r="AL191" s="22">
        <f t="shared" si="165"/>
        <v>1.590873277977066E-12</v>
      </c>
      <c r="AM191" s="62">
        <f t="shared" si="113"/>
        <v>293.33333333333491</v>
      </c>
      <c r="AN191" s="62">
        <f ca="1">AVERAGE(OFFSET($AM$3,0,0,'Données projet'!$E$10+1,1))-AVERAGE(OFFSET($H$3,0,0,'Données projet'!$E$10+1,1))</f>
        <v>259.74478933784656</v>
      </c>
      <c r="AO191" s="62">
        <f t="shared" si="144"/>
        <v>223.74038909289646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362.81292020448933</v>
      </c>
      <c r="T192" s="62">
        <f t="shared" si="142"/>
        <v>292.26503163353146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0.21675577695194781</v>
      </c>
      <c r="AA192" s="23">
        <f>EXP(-LN(2)/25)*AA191+(1-EXP(-LN(2)/25))/(LN(2)/25)*Calculateur!V192*Calculateur!X192*VLOOKUP('Données projet'!$B$9,Paramètres!$A$1:$I$89,3,0)*0.475*44/12</f>
        <v>0.14042380475009297</v>
      </c>
      <c r="AB192" s="23">
        <f>EXP(-LN(2)/2)*AB191+(1-EXP(-LN(2)/2))/(LN(2)/2)*V192*Y192*VLOOKUP('Données projet'!$B$9,Paramètres!$A$1:$I$89,3,0)*0.475*44/12</f>
        <v>8.8770965367204657E-23</v>
      </c>
      <c r="AC192" s="24">
        <f t="shared" si="163"/>
        <v>0.35717958170204078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5.3205440053716299E-14</v>
      </c>
      <c r="AK192" s="14">
        <f t="shared" si="164"/>
        <v>8.602146238565607E-13</v>
      </c>
      <c r="AL192" s="22">
        <f t="shared" si="165"/>
        <v>1.590873277977066E-12</v>
      </c>
      <c r="AM192" s="62">
        <f t="shared" si="113"/>
        <v>293.33333333333491</v>
      </c>
      <c r="AN192" s="62">
        <f ca="1">AVERAGE(OFFSET($AM$3,0,0,'Données projet'!$E$10+1,1))-AVERAGE(OFFSET($H$3,0,0,'Données projet'!$E$10+1,1))</f>
        <v>259.74478933784656</v>
      </c>
      <c r="AO192" s="62">
        <f t="shared" si="144"/>
        <v>223.74038909289646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362.81292020448933</v>
      </c>
      <c r="T193" s="62">
        <f t="shared" si="142"/>
        <v>292.26503163353146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0.21250532837388961</v>
      </c>
      <c r="AA193" s="23">
        <f>EXP(-LN(2)/25)*AA192+(1-EXP(-LN(2)/25))/(LN(2)/25)*Calculateur!V193*Calculateur!X193*VLOOKUP('Données projet'!$B$9,Paramètres!$A$1:$I$89,3,0)*0.475*44/12</f>
        <v>0.13658390842463472</v>
      </c>
      <c r="AB193" s="23">
        <f>EXP(-LN(2)/2)*AB192+(1-EXP(-LN(2)/2))/(LN(2)/2)*V193*Y193*VLOOKUP('Données projet'!$B$9,Paramètres!$A$1:$I$89,3,0)*0.475*44/12</f>
        <v>6.2770551583626572E-23</v>
      </c>
      <c r="AC193" s="24">
        <f t="shared" si="163"/>
        <v>0.34908923679852433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5.3205440053716299E-14</v>
      </c>
      <c r="AK193" s="14">
        <f t="shared" si="164"/>
        <v>8.602146238565607E-13</v>
      </c>
      <c r="AL193" s="22">
        <f t="shared" si="165"/>
        <v>1.590873277977066E-12</v>
      </c>
      <c r="AM193" s="62">
        <f t="shared" si="113"/>
        <v>293.33333333333491</v>
      </c>
      <c r="AN193" s="62">
        <f ca="1">AVERAGE(OFFSET($AM$3,0,0,'Données projet'!$E$10+1,1))-AVERAGE(OFFSET($H$3,0,0,'Données projet'!$E$10+1,1))</f>
        <v>259.74478933784656</v>
      </c>
      <c r="AO193" s="62">
        <f t="shared" si="144"/>
        <v>223.74038909289646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362.81292020448933</v>
      </c>
      <c r="T194" s="62">
        <f t="shared" si="142"/>
        <v>292.26503163353146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0.20833822849992947</v>
      </c>
      <c r="AA194" s="23">
        <f>EXP(-LN(2)/25)*AA193+(1-EXP(-LN(2)/25))/(LN(2)/25)*Calculateur!V194*Calculateur!X194*VLOOKUP('Données projet'!$B$9,Paramètres!$A$1:$I$89,3,0)*0.475*44/12</f>
        <v>0.1328490142661275</v>
      </c>
      <c r="AB194" s="23">
        <f>EXP(-LN(2)/2)*AB193+(1-EXP(-LN(2)/2))/(LN(2)/2)*V194*Y194*VLOOKUP('Données projet'!$B$9,Paramètres!$A$1:$I$89,3,0)*0.475*44/12</f>
        <v>4.4385482683602329E-23</v>
      </c>
      <c r="AC194" s="24">
        <f t="shared" si="163"/>
        <v>0.34118724276605694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5.3205440053716299E-14</v>
      </c>
      <c r="AK194" s="14">
        <f t="shared" si="164"/>
        <v>8.602146238565607E-13</v>
      </c>
      <c r="AL194" s="22">
        <f t="shared" si="165"/>
        <v>1.590873277977066E-12</v>
      </c>
      <c r="AM194" s="62">
        <f t="shared" si="113"/>
        <v>293.33333333333491</v>
      </c>
      <c r="AN194" s="62">
        <f ca="1">AVERAGE(OFFSET($AM$3,0,0,'Données projet'!$E$10+1,1))-AVERAGE(OFFSET($H$3,0,0,'Données projet'!$E$10+1,1))</f>
        <v>259.74478933784656</v>
      </c>
      <c r="AO194" s="62">
        <f t="shared" si="144"/>
        <v>223.74038909289646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362.81292020448933</v>
      </c>
      <c r="T195" s="62">
        <f t="shared" si="142"/>
        <v>292.26503163353146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0.20425284291281776</v>
      </c>
      <c r="AA195" s="23">
        <f>EXP(-LN(2)/25)*AA194+(1-EXP(-LN(2)/25))/(LN(2)/25)*Calculateur!V195*Calculateur!X195*VLOOKUP('Données projet'!$B$9,Paramètres!$A$1:$I$89,3,0)*0.475*44/12</f>
        <v>0.12921625098479422</v>
      </c>
      <c r="AB195" s="23">
        <f>EXP(-LN(2)/2)*AB194+(1-EXP(-LN(2)/2))/(LN(2)/2)*V195*Y195*VLOOKUP('Données projet'!$B$9,Paramètres!$A$1:$I$89,3,0)*0.475*44/12</f>
        <v>3.1385275791813286E-23</v>
      </c>
      <c r="AC195" s="24">
        <f t="shared" si="163"/>
        <v>0.33346909389761198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5.3205440053716299E-14</v>
      </c>
      <c r="AK195" s="14">
        <f t="shared" si="164"/>
        <v>8.602146238565607E-13</v>
      </c>
      <c r="AL195" s="22">
        <f t="shared" si="165"/>
        <v>1.590873277977066E-12</v>
      </c>
      <c r="AM195" s="62">
        <f t="shared" si="113"/>
        <v>293.33333333333491</v>
      </c>
      <c r="AN195" s="62">
        <f ca="1">AVERAGE(OFFSET($AM$3,0,0,'Données projet'!$E$10+1,1))-AVERAGE(OFFSET($H$3,0,0,'Données projet'!$E$10+1,1))</f>
        <v>259.74478933784656</v>
      </c>
      <c r="AO195" s="62">
        <f t="shared" si="144"/>
        <v>223.74038909289646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362.81292020448933</v>
      </c>
      <c r="T196" s="62">
        <f t="shared" si="142"/>
        <v>292.26503163353146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0.20024756924523013</v>
      </c>
      <c r="AA196" s="23">
        <f>EXP(-LN(2)/25)*AA195+(1-EXP(-LN(2)/25))/(LN(2)/25)*Calculateur!V196*Calculateur!X196*VLOOKUP('Données projet'!$B$9,Paramètres!$A$1:$I$89,3,0)*0.475*44/12</f>
        <v>0.1256828258064277</v>
      </c>
      <c r="AB196" s="23">
        <f>EXP(-LN(2)/2)*AB195+(1-EXP(-LN(2)/2))/(LN(2)/2)*V196*Y196*VLOOKUP('Données projet'!$B$9,Paramètres!$A$1:$I$89,3,0)*0.475*44/12</f>
        <v>2.2192741341801164E-23</v>
      </c>
      <c r="AC196" s="24">
        <f t="shared" si="163"/>
        <v>0.32593039505165783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5.3205440053716299E-14</v>
      </c>
      <c r="AK196" s="14">
        <f t="shared" si="164"/>
        <v>8.602146238565607E-13</v>
      </c>
      <c r="AL196" s="22">
        <f t="shared" si="165"/>
        <v>1.590873277977066E-12</v>
      </c>
      <c r="AM196" s="62">
        <f t="shared" ref="AM196:AM203" si="193">AL196+(AD196+AE196)*44/12</f>
        <v>293.33333333333491</v>
      </c>
      <c r="AN196" s="62">
        <f ca="1">AVERAGE(OFFSET($AM$3,0,0,'Données projet'!$E$10+1,1))-AVERAGE(OFFSET($H$3,0,0,'Données projet'!$E$10+1,1))</f>
        <v>259.74478933784656</v>
      </c>
      <c r="AO196" s="62">
        <f t="shared" si="144"/>
        <v>223.74038909289646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362.81292020448933</v>
      </c>
      <c r="T197" s="62">
        <f t="shared" ref="T197:T203" si="204">$T$3</f>
        <v>292.26503163353146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0.19632083655128818</v>
      </c>
      <c r="AA197" s="23">
        <f>EXP(-LN(2)/25)*AA196+(1-EXP(-LN(2)/25))/(LN(2)/25)*Calculateur!V197*Calculateur!X197*VLOOKUP('Données projet'!$B$9,Paramètres!$A$1:$I$89,3,0)*0.475*44/12</f>
        <v>0.12224602232537837</v>
      </c>
      <c r="AB197" s="23">
        <f>EXP(-LN(2)/2)*AB196+(1-EXP(-LN(2)/2))/(LN(2)/2)*V197*Y197*VLOOKUP('Données projet'!$B$9,Paramètres!$A$1:$I$89,3,0)*0.475*44/12</f>
        <v>1.5692637895906643E-23</v>
      </c>
      <c r="AC197" s="24">
        <f t="shared" si="163"/>
        <v>0.31856685887666658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5.3205440053716299E-14</v>
      </c>
      <c r="AK197" s="14">
        <f t="shared" si="164"/>
        <v>8.602146238565607E-13</v>
      </c>
      <c r="AL197" s="22">
        <f t="shared" si="165"/>
        <v>1.590873277977066E-12</v>
      </c>
      <c r="AM197" s="62">
        <f t="shared" si="193"/>
        <v>293.33333333333491</v>
      </c>
      <c r="AN197" s="62">
        <f ca="1">AVERAGE(OFFSET($AM$3,0,0,'Données projet'!$E$10+1,1))-AVERAGE(OFFSET($H$3,0,0,'Données projet'!$E$10+1,1))</f>
        <v>259.74478933784656</v>
      </c>
      <c r="AO197" s="62">
        <f t="shared" ref="AO197:AO203" si="205">$AO$3</f>
        <v>223.74038909289646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362.81292020448933</v>
      </c>
      <c r="T198" s="62">
        <f t="shared" si="204"/>
        <v>292.26503163353146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0.19247110469040399</v>
      </c>
      <c r="AA198" s="23">
        <f>EXP(-LN(2)/25)*AA197+(1-EXP(-LN(2)/25))/(LN(2)/25)*Calculateur!V198*Calculateur!X198*VLOOKUP('Données projet'!$B$9,Paramètres!$A$1:$I$89,3,0)*0.475*44/12</f>
        <v>0.11890319841625198</v>
      </c>
      <c r="AB198" s="23">
        <f>EXP(-LN(2)/2)*AB197+(1-EXP(-LN(2)/2))/(LN(2)/2)*V198*Y198*VLOOKUP('Données projet'!$B$9,Paramètres!$A$1:$I$89,3,0)*0.475*44/12</f>
        <v>1.1096370670900582E-23</v>
      </c>
      <c r="AC198" s="24">
        <f t="shared" si="163"/>
        <v>0.31137430310665598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5.3205440053716299E-14</v>
      </c>
      <c r="AK198" s="14">
        <f t="shared" si="164"/>
        <v>8.602146238565607E-13</v>
      </c>
      <c r="AL198" s="22">
        <f t="shared" si="165"/>
        <v>1.590873277977066E-12</v>
      </c>
      <c r="AM198" s="62">
        <f t="shared" si="193"/>
        <v>293.33333333333491</v>
      </c>
      <c r="AN198" s="62">
        <f ca="1">AVERAGE(OFFSET($AM$3,0,0,'Données projet'!$E$10+1,1))-AVERAGE(OFFSET($H$3,0,0,'Données projet'!$E$10+1,1))</f>
        <v>259.74478933784656</v>
      </c>
      <c r="AO198" s="62">
        <f t="shared" si="205"/>
        <v>223.74038909289646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362.81292020448933</v>
      </c>
      <c r="T199" s="62">
        <f t="shared" si="204"/>
        <v>292.26503163353146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0.18869686372320715</v>
      </c>
      <c r="AA199" s="23">
        <f>EXP(-LN(2)/25)*AA198+(1-EXP(-LN(2)/25))/(LN(2)/25)*Calculateur!V199*Calculateur!X199*VLOOKUP('Données projet'!$B$9,Paramètres!$A$1:$I$89,3,0)*0.475*44/12</f>
        <v>0.11565178420271212</v>
      </c>
      <c r="AB199" s="23">
        <f>EXP(-LN(2)/2)*AB198+(1-EXP(-LN(2)/2))/(LN(2)/2)*V199*Y199*VLOOKUP('Données projet'!$B$9,Paramètres!$A$1:$I$89,3,0)*0.475*44/12</f>
        <v>7.8463189479533215E-24</v>
      </c>
      <c r="AC199" s="24">
        <f t="shared" si="163"/>
        <v>0.30434864792591926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5.3205440053716299E-14</v>
      </c>
      <c r="AK199" s="14">
        <f t="shared" si="164"/>
        <v>8.602146238565607E-13</v>
      </c>
      <c r="AL199" s="22">
        <f t="shared" si="165"/>
        <v>1.590873277977066E-12</v>
      </c>
      <c r="AM199" s="62">
        <f t="shared" si="193"/>
        <v>293.33333333333491</v>
      </c>
      <c r="AN199" s="62">
        <f ca="1">AVERAGE(OFFSET($AM$3,0,0,'Données projet'!$E$10+1,1))-AVERAGE(OFFSET($H$3,0,0,'Données projet'!$E$10+1,1))</f>
        <v>259.74478933784656</v>
      </c>
      <c r="AO199" s="62">
        <f t="shared" si="205"/>
        <v>223.74038909289646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362.81292020448933</v>
      </c>
      <c r="T200" s="62">
        <f t="shared" si="204"/>
        <v>292.26503163353146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0.18499663331931737</v>
      </c>
      <c r="AA200" s="23">
        <f>EXP(-LN(2)/25)*AA199+(1-EXP(-LN(2)/25))/(LN(2)/25)*Calculateur!V200*Calculateur!X200*VLOOKUP('Données projet'!$B$9,Paramètres!$A$1:$I$89,3,0)*0.475*44/12</f>
        <v>0.11248928008182595</v>
      </c>
      <c r="AB200" s="23">
        <f>EXP(-LN(2)/2)*AB199+(1-EXP(-LN(2)/2))/(LN(2)/2)*V200*Y200*VLOOKUP('Données projet'!$B$9,Paramètres!$A$1:$I$89,3,0)*0.475*44/12</f>
        <v>5.5481853354502911E-24</v>
      </c>
      <c r="AC200" s="24">
        <f t="shared" si="163"/>
        <v>0.29748591340114333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5.3205440053716299E-14</v>
      </c>
      <c r="AK200" s="14">
        <f t="shared" si="164"/>
        <v>8.602146238565607E-13</v>
      </c>
      <c r="AL200" s="22">
        <f t="shared" si="165"/>
        <v>1.590873277977066E-12</v>
      </c>
      <c r="AM200" s="62">
        <f t="shared" si="193"/>
        <v>293.33333333333491</v>
      </c>
      <c r="AN200" s="62">
        <f ca="1">AVERAGE(OFFSET($AM$3,0,0,'Données projet'!$E$10+1,1))-AVERAGE(OFFSET($H$3,0,0,'Données projet'!$E$10+1,1))</f>
        <v>259.74478933784656</v>
      </c>
      <c r="AO200" s="62">
        <f t="shared" si="205"/>
        <v>223.74038909289646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362.81292020448933</v>
      </c>
      <c r="T201" s="62">
        <f t="shared" si="204"/>
        <v>292.26503163353146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0.18136896217673018</v>
      </c>
      <c r="AA201" s="23">
        <f>EXP(-LN(2)/25)*AA200+(1-EXP(-LN(2)/25))/(LN(2)/25)*Calculateur!V201*Calculateur!X201*VLOOKUP('Données projet'!$B$9,Paramètres!$A$1:$I$89,3,0)*0.475*44/12</f>
        <v>0.10941325480243427</v>
      </c>
      <c r="AB201" s="23">
        <f>EXP(-LN(2)/2)*AB200+(1-EXP(-LN(2)/2))/(LN(2)/2)*V201*Y201*VLOOKUP('Données projet'!$B$9,Paramètres!$A$1:$I$89,3,0)*0.475*44/12</f>
        <v>3.9231594739766607E-24</v>
      </c>
      <c r="AC201" s="24">
        <f t="shared" si="163"/>
        <v>0.29078221697916445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5.3205440053716299E-14</v>
      </c>
      <c r="AK201" s="14">
        <f t="shared" si="164"/>
        <v>8.602146238565607E-13</v>
      </c>
      <c r="AL201" s="22">
        <f t="shared" si="165"/>
        <v>1.590873277977066E-12</v>
      </c>
      <c r="AM201" s="62">
        <f t="shared" si="193"/>
        <v>293.33333333333491</v>
      </c>
      <c r="AN201" s="62">
        <f ca="1">AVERAGE(OFFSET($AM$3,0,0,'Données projet'!$E$10+1,1))-AVERAGE(OFFSET($H$3,0,0,'Données projet'!$E$10+1,1))</f>
        <v>259.74478933784656</v>
      </c>
      <c r="AO201" s="62">
        <f t="shared" si="205"/>
        <v>223.74038909289646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362.81292020448933</v>
      </c>
      <c r="T202" s="62">
        <f t="shared" si="204"/>
        <v>292.26503163353146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0.17781242745258821</v>
      </c>
      <c r="AA202" s="23">
        <f>EXP(-LN(2)/25)*AA201+(1-EXP(-LN(2)/25))/(LN(2)/25)*Calculateur!V202*Calculateur!X202*VLOOKUP('Données projet'!$B$9,Paramètres!$A$1:$I$89,3,0)*0.475*44/12</f>
        <v>0.10642134359606871</v>
      </c>
      <c r="AB202" s="23">
        <f>EXP(-LN(2)/2)*AB201+(1-EXP(-LN(2)/2))/(LN(2)/2)*V202*Y202*VLOOKUP('Données projet'!$B$9,Paramètres!$A$1:$I$89,3,0)*0.475*44/12</f>
        <v>2.7740926677251455E-24</v>
      </c>
      <c r="AC202" s="24">
        <f t="shared" si="163"/>
        <v>0.28423377104865694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5.3205440053716299E-14</v>
      </c>
      <c r="AK202" s="14">
        <f t="shared" si="164"/>
        <v>8.602146238565607E-13</v>
      </c>
      <c r="AL202" s="22">
        <f t="shared" si="165"/>
        <v>1.590873277977066E-12</v>
      </c>
      <c r="AM202" s="62">
        <f t="shared" si="193"/>
        <v>293.33333333333491</v>
      </c>
      <c r="AN202" s="62">
        <f ca="1">AVERAGE(OFFSET($AM$3,0,0,'Données projet'!$E$10+1,1))-AVERAGE(OFFSET($H$3,0,0,'Données projet'!$E$10+1,1))</f>
        <v>259.74478933784656</v>
      </c>
      <c r="AO202" s="62">
        <f t="shared" si="205"/>
        <v>223.74038909289646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362.81292020448933</v>
      </c>
      <c r="T203" s="62">
        <f t="shared" si="204"/>
        <v>292.26503163353146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0.17432563420511468</v>
      </c>
      <c r="AA203" s="23">
        <f>EXP(-LN(2)/25)*AA202+(1-EXP(-LN(2)/25))/(LN(2)/25)*Calculateur!V203*Calculateur!X203*VLOOKUP('Données projet'!$B$9,Paramètres!$A$1:$I$89,3,0)*0.475*44/12</f>
        <v>0.10351124635897899</v>
      </c>
      <c r="AB203" s="23">
        <f>EXP(-LN(2)/2)*AB202+(1-EXP(-LN(2)/2))/(LN(2)/2)*V203*Y203*VLOOKUP('Données projet'!$B$9,Paramètres!$A$1:$I$89,3,0)*0.475*44/12</f>
        <v>1.9615797369883304E-24</v>
      </c>
      <c r="AC203" s="24">
        <f t="shared" si="163"/>
        <v>0.27783688056409367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5.3205440053716299E-14</v>
      </c>
      <c r="AK203" s="14">
        <f t="shared" si="164"/>
        <v>8.602146238565607E-13</v>
      </c>
      <c r="AL203" s="22">
        <f t="shared" si="165"/>
        <v>1.590873277977066E-12</v>
      </c>
      <c r="AM203" s="62">
        <f t="shared" si="193"/>
        <v>293.33333333333491</v>
      </c>
      <c r="AN203" s="62">
        <f ca="1">AVERAGE(OFFSET($AM$3,0,0,'Données projet'!$E$10+1,1))-AVERAGE(OFFSET($H$3,0,0,'Données projet'!$E$10+1,1))</f>
        <v>259.74478933784656</v>
      </c>
      <c r="AO203" s="62">
        <f t="shared" si="205"/>
        <v>223.74038909289646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1.244502252163008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1.2677537154322802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20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21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20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2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2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21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20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21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S32" sqref="S32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11" t="s">
        <v>271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3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laricio</v>
      </c>
      <c r="B6" s="155">
        <f>'Données projet'!D9</f>
        <v>3.9200000000000004</v>
      </c>
      <c r="C6" s="156">
        <f ca="1">IF(OR('Données projet'!B9="",'Données projet'!C9="",'Données projet'!C9=0%),0,Calculateur!S3)</f>
        <v>362.81292020448933</v>
      </c>
      <c r="D6" s="156">
        <f>IF(OR('Données projet'!B9="",'Données projet'!C9="",'Données projet'!C9=0%),0,Calculateur!T3)</f>
        <v>292.26503163353146</v>
      </c>
      <c r="E6" s="156">
        <f ca="1">MIN(C6,D6)</f>
        <v>292.26503163353146</v>
      </c>
      <c r="F6" s="156">
        <f ca="1">E6*B6</f>
        <v>1145.6789240034434</v>
      </c>
      <c r="G6" s="156">
        <f ca="1">F6*(100%-'Données projet'!$C$24)*(100%-'Données projet'!$C$25)*(100%-'Données projet'!$C$26)*(100%-'Données projet'!$C$27)</f>
        <v>876.44437686263416</v>
      </c>
      <c r="H6" s="157">
        <f>IF(OR('Données projet'!B9="",'Données projet'!C9="",'Données projet'!C9=0%),0,AVERAGE(Calculateur!$AC$3:$AC$33)*B6)</f>
        <v>10.970195131620805</v>
      </c>
      <c r="I6" s="158">
        <f>H6*(100%-'Données projet'!$C$24)*(100%-'Données projet'!$C$25)*(100%-'Données projet'!$C$26)*(100%-'Données projet'!$C$27)</f>
        <v>8.3921992756899169</v>
      </c>
      <c r="J6" s="159">
        <f>IF(OR('Données projet'!B9="",'Données projet'!C9="",'Données projet'!C9=0%),0,SUM(Calculateur!$V$3:$V$33)*VLOOKUP('Données projet'!$B$9,Paramètres!$A$1:$I$89,9,0)*B6)</f>
        <v>112.93520000000001</v>
      </c>
      <c r="K6" s="160">
        <f>J6*(100%-'Données projet'!$C$24)*(100%-'Données projet'!$C$25)*(100%-'Données projet'!$C$26)*(100%-'Données projet'!$C$27)</f>
        <v>86.39542800000001</v>
      </c>
      <c r="L6" s="161">
        <f ca="1">G6+I6+K6</f>
        <v>971.2320041383241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Cèdre de l'Atlas</v>
      </c>
      <c r="B7" s="163">
        <f>'Données projet'!D10</f>
        <v>0.98000000000000009</v>
      </c>
      <c r="C7" s="156">
        <f ca="1">IF(OR('Données projet'!B10="",'Données projet'!C10="",'Données projet'!C10=0%),0,Calculateur!AN3)</f>
        <v>259.74478933784656</v>
      </c>
      <c r="D7" s="156">
        <f>IF(OR('Données projet'!B10="",'Données projet'!C10="",'Données projet'!C10=0%),0,Calculateur!AO3)</f>
        <v>223.74038909289646</v>
      </c>
      <c r="E7" s="156">
        <f t="shared" ref="E7:E15" ca="1" si="0">MIN(C7,D7)</f>
        <v>223.74038909289646</v>
      </c>
      <c r="F7" s="156">
        <f t="shared" ref="F7:F15" ca="1" si="1">E7*B7</f>
        <v>219.26558131103855</v>
      </c>
      <c r="G7" s="156">
        <f ca="1">F7*(100%-'Données projet'!$C$24)*(100%-'Données projet'!$C$25)*(100%-'Données projet'!$C$26)*(100%-'Données projet'!$C$27)</f>
        <v>167.73816970294448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167.73816970294448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1364.9445053144818</v>
      </c>
      <c r="G16" s="175">
        <f t="shared" ca="1" si="3"/>
        <v>1044.1825465655786</v>
      </c>
      <c r="H16" s="176">
        <f t="shared" si="3"/>
        <v>10.970195131620805</v>
      </c>
      <c r="I16" s="176">
        <f t="shared" si="3"/>
        <v>8.3921992756899169</v>
      </c>
      <c r="J16" s="177">
        <f t="shared" si="3"/>
        <v>112.93520000000001</v>
      </c>
      <c r="K16" s="177">
        <f t="shared" si="3"/>
        <v>86.39542800000001</v>
      </c>
      <c r="L16" s="178">
        <f t="shared" ca="1" si="3"/>
        <v>1138.9701738412687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3" t="s">
        <v>246</v>
      </c>
      <c r="G17" s="324"/>
      <c r="H17" s="324"/>
      <c r="I17" s="324"/>
      <c r="J17" s="324"/>
      <c r="K17" s="324"/>
      <c r="L17" s="324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5"/>
      <c r="G18" s="325"/>
      <c r="H18" s="325"/>
      <c r="I18" s="325"/>
      <c r="J18" s="325"/>
      <c r="K18" s="325"/>
      <c r="L18" s="325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laricio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Cèdre de l'Atlas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3" zoomScale="90" zoomScaleNormal="90" workbookViewId="0">
      <selection activeCell="Q33" sqref="Q33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11" t="s">
        <v>272</v>
      </c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3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3" t="s">
        <v>315</v>
      </c>
      <c r="I4" s="343"/>
      <c r="K4" s="340" t="s">
        <v>253</v>
      </c>
      <c r="L4" s="341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2" t="s">
        <v>310</v>
      </c>
      <c r="S7" s="333"/>
      <c r="T7" s="333"/>
      <c r="U7" s="333"/>
      <c r="V7" s="334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laricio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1997.5625420038677</v>
      </c>
      <c r="U10" s="190">
        <f>'Données projet'!D9</f>
        <v>3.9200000000000004</v>
      </c>
      <c r="V10" s="189">
        <f>U10*T10</f>
        <v>7830.4451646551624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Cèdre de l'Atlas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635.76066620224924</v>
      </c>
      <c r="U11" s="190">
        <f>'Données projet'!D10</f>
        <v>0.98000000000000009</v>
      </c>
      <c r="V11" s="189">
        <f t="shared" ref="V11" si="0">U11*T11</f>
        <v>623.04545287820429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laricio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4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4"/>
      <c r="H16" s="203"/>
      <c r="I16" s="204"/>
      <c r="J16" s="216"/>
      <c r="K16" s="225"/>
      <c r="L16" s="340" t="s">
        <v>254</v>
      </c>
      <c r="M16" s="341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4"/>
      <c r="J17" s="216"/>
      <c r="K17" s="225"/>
      <c r="L17" s="298" t="s">
        <v>289</v>
      </c>
      <c r="M17" s="300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4"/>
      <c r="J18" s="216"/>
      <c r="K18" s="225"/>
      <c r="L18" s="298" t="s">
        <v>255</v>
      </c>
      <c r="M18" s="300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4"/>
      <c r="H19" s="232" t="s">
        <v>178</v>
      </c>
      <c r="I19" s="232" t="s">
        <v>287</v>
      </c>
      <c r="J19" s="260"/>
      <c r="K19" s="183"/>
      <c r="L19" s="340" t="s">
        <v>288</v>
      </c>
      <c r="M19" s="341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4"/>
      <c r="H20" s="203">
        <v>0</v>
      </c>
      <c r="I20" s="204">
        <f>11198/4.9</f>
        <v>2285.3061224489793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(5239/4.9)+314</f>
        <v>1383.1836734693877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f>5439/4.9</f>
        <v>1110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22</v>
      </c>
      <c r="B23" s="193">
        <f>'Données projet'!D36</f>
        <v>16</v>
      </c>
      <c r="C23" s="293">
        <v>12</v>
      </c>
      <c r="D23" s="194">
        <f>B23*C23</f>
        <v>192</v>
      </c>
      <c r="E23" s="206"/>
      <c r="F23" s="261"/>
      <c r="H23" s="203">
        <v>3</v>
      </c>
      <c r="I23" s="204">
        <f>5739/4.9</f>
        <v>1171.2244897959183</v>
      </c>
      <c r="K23" s="225"/>
      <c r="L23" s="342" t="s">
        <v>260</v>
      </c>
      <c r="M23" s="342"/>
      <c r="N23" s="342"/>
      <c r="O23" s="25"/>
      <c r="P23" s="25"/>
      <c r="Q23" s="265"/>
      <c r="R23" s="25"/>
      <c r="S23" s="185" t="s">
        <v>264</v>
      </c>
      <c r="T23" s="33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-19239.972424712127</v>
      </c>
      <c r="U23" s="337"/>
      <c r="V23" s="337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17</v>
      </c>
      <c r="C24" s="293">
        <v>12</v>
      </c>
      <c r="D24" s="194">
        <f t="shared" ref="D24:D42" si="2">B24*C24</f>
        <v>204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8"/>
      <c r="V24" s="338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34</v>
      </c>
      <c r="C25" s="293">
        <v>15</v>
      </c>
      <c r="D25" s="194">
        <f t="shared" si="2"/>
        <v>510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9">
        <f ca="1">T23-T24</f>
        <v>-19239.972424712127</v>
      </c>
      <c r="U25" s="339"/>
      <c r="V25" s="339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41</v>
      </c>
      <c r="C26" s="293">
        <v>17</v>
      </c>
      <c r="D26" s="194">
        <f t="shared" si="2"/>
        <v>697</v>
      </c>
      <c r="E26" s="206"/>
      <c r="F26" s="264"/>
      <c r="G26" s="259"/>
      <c r="H26" s="203"/>
      <c r="I26" s="204"/>
      <c r="K26" s="225"/>
      <c r="L26" s="326" t="s">
        <v>258</v>
      </c>
      <c r="M26" s="327"/>
      <c r="N26" s="327"/>
      <c r="O26" s="327"/>
      <c r="P26" s="328"/>
      <c r="Q26" s="265"/>
      <c r="R26" s="25"/>
      <c r="S26" s="198" t="s">
        <v>265</v>
      </c>
      <c r="T26" s="336" t="str">
        <f ca="1">IF(T25&lt;0,"Votre projet est additionnel","Votre projet n'est pas additionnel")</f>
        <v>Votre projet est additionnel</v>
      </c>
      <c r="U26" s="336"/>
      <c r="V26" s="336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41</v>
      </c>
      <c r="C27" s="293">
        <v>17</v>
      </c>
      <c r="D27" s="194">
        <f t="shared" si="2"/>
        <v>697</v>
      </c>
      <c r="E27" s="206"/>
      <c r="F27" s="264"/>
      <c r="G27" s="259"/>
      <c r="H27" s="203"/>
      <c r="I27" s="204"/>
      <c r="K27" s="225"/>
      <c r="L27" s="329"/>
      <c r="M27" s="330"/>
      <c r="N27" s="330"/>
      <c r="O27" s="330"/>
      <c r="P27" s="331"/>
      <c r="Q27" s="265"/>
      <c r="R27" s="25"/>
      <c r="S27" s="335" t="s">
        <v>267</v>
      </c>
      <c r="T27" s="335"/>
      <c r="U27" s="335"/>
      <c r="V27" s="33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53</v>
      </c>
      <c r="C28" s="293">
        <v>17</v>
      </c>
      <c r="D28" s="194">
        <f t="shared" si="2"/>
        <v>901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53</v>
      </c>
      <c r="C29" s="293">
        <v>20</v>
      </c>
      <c r="D29" s="194">
        <f t="shared" si="2"/>
        <v>1060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58</v>
      </c>
      <c r="B30" s="193">
        <f>'Données projet'!D43</f>
        <v>78</v>
      </c>
      <c r="C30" s="293">
        <v>25</v>
      </c>
      <c r="D30" s="194">
        <f t="shared" si="2"/>
        <v>1950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66</v>
      </c>
      <c r="B31" s="193">
        <f>'Données projet'!D44</f>
        <v>65</v>
      </c>
      <c r="C31" s="293">
        <v>30</v>
      </c>
      <c r="D31" s="194">
        <f t="shared" si="2"/>
        <v>1950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74</v>
      </c>
      <c r="B32" s="193">
        <f>'Données projet'!D45</f>
        <v>37</v>
      </c>
      <c r="C32" s="293">
        <v>35</v>
      </c>
      <c r="D32" s="194">
        <f t="shared" si="2"/>
        <v>1295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82</v>
      </c>
      <c r="B33" s="193">
        <f>'Données projet'!D46</f>
        <v>555</v>
      </c>
      <c r="C33" s="293">
        <v>60</v>
      </c>
      <c r="D33" s="194">
        <f t="shared" si="2"/>
        <v>33300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Cèdre de l'Atlas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0</v>
      </c>
      <c r="C54" s="29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0</v>
      </c>
      <c r="C55" s="29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40</v>
      </c>
      <c r="B56" s="193">
        <f>'Données projet'!D64</f>
        <v>63</v>
      </c>
      <c r="C56" s="293">
        <v>15</v>
      </c>
      <c r="D56" s="191">
        <f t="shared" si="4"/>
        <v>945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50</v>
      </c>
      <c r="B57" s="193">
        <f>'Données projet'!D65</f>
        <v>0</v>
      </c>
      <c r="C57" s="29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60</v>
      </c>
      <c r="B58" s="193">
        <f>'Données projet'!D66</f>
        <v>67</v>
      </c>
      <c r="C58" s="293">
        <v>18</v>
      </c>
      <c r="D58" s="191">
        <f t="shared" si="4"/>
        <v>1206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70</v>
      </c>
      <c r="B59" s="193">
        <f>'Données projet'!D67</f>
        <v>69</v>
      </c>
      <c r="C59" s="293">
        <v>20</v>
      </c>
      <c r="D59" s="191">
        <f t="shared" si="4"/>
        <v>1380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80</v>
      </c>
      <c r="B60" s="193">
        <f>'Données projet'!D68</f>
        <v>71</v>
      </c>
      <c r="C60" s="293">
        <v>25</v>
      </c>
      <c r="D60" s="191">
        <f t="shared" si="4"/>
        <v>1775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90</v>
      </c>
      <c r="B61" s="193">
        <f>'Données projet'!D69</f>
        <v>73</v>
      </c>
      <c r="C61" s="293">
        <v>30</v>
      </c>
      <c r="D61" s="191">
        <f t="shared" si="4"/>
        <v>2190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100</v>
      </c>
      <c r="B62" s="193">
        <f>'Données projet'!D70</f>
        <v>375</v>
      </c>
      <c r="C62" s="293">
        <v>50</v>
      </c>
      <c r="D62" s="191">
        <f t="shared" si="4"/>
        <v>18750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>
        <f>IF(O113+1&lt;=MIN('Données projet'!$E$9:$E$18),O113+1,"STOP")</f>
        <v>81</v>
      </c>
      <c r="P114" s="197">
        <f t="shared" si="7"/>
        <v>0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>
        <f>IF(O114+1&lt;=MIN('Données projet'!$E$9:$E$18),O114+1,"STOP")</f>
        <v>82</v>
      </c>
      <c r="P115" s="197">
        <f t="shared" si="7"/>
        <v>0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str">
        <f>IF(O115+1&lt;=MIN('Données projet'!$E$9:$E$18),O115+1,"STOP")</f>
        <v>STOP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2024-08-09T14:01:12Z</dcterms:modified>
</cp:coreProperties>
</file>