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Evreux\PUTANGES-LE-LAC (61) - DU DOUET DE GRAVILLE\Dossier déposé 08-04-2024\"/>
    </mc:Choice>
  </mc:AlternateContent>
  <xr:revisionPtr revIDLastSave="0" documentId="13_ncr:1_{7D701255-5226-411A-A3C7-D39865D17E5A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EB156" i="2"/>
  <c r="HH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EA161" i="2"/>
  <c r="HH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HG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B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A193" i="2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W199" i="2"/>
  <c r="EA199" i="2"/>
  <c r="HH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FS201" i="2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72" i="2" l="1" a="1"/>
  <c r="CS72" i="2" s="1"/>
  <c r="CS120" i="2" a="1"/>
  <c r="CS120" i="2" s="1"/>
  <c r="CS114" i="2" a="1"/>
  <c r="CS114" i="2" s="1"/>
  <c r="CS56" i="2" a="1"/>
  <c r="CS56" i="2" s="1"/>
  <c r="CS77" i="2" a="1"/>
  <c r="CS77" i="2" s="1"/>
  <c r="CS24" i="2" a="1"/>
  <c r="CS24" i="2" s="1"/>
  <c r="CS137" i="2" a="1"/>
  <c r="CS137" i="2" s="1"/>
  <c r="CS129" i="2" a="1"/>
  <c r="CS129" i="2" s="1"/>
  <c r="CS185" i="2" a="1"/>
  <c r="CS185" i="2" s="1"/>
  <c r="CS52" i="2" a="1"/>
  <c r="CS52" i="2" s="1"/>
  <c r="CS38" i="2" a="1"/>
  <c r="CS38" i="2" s="1"/>
  <c r="CS66" i="2" a="1"/>
  <c r="CS66" i="2" s="1"/>
  <c r="CS134" i="2" a="1"/>
  <c r="CS134" i="2" s="1"/>
  <c r="CS105" i="2" a="1"/>
  <c r="CS105" i="2" s="1"/>
  <c r="CS161" i="2" a="1"/>
  <c r="CS161" i="2" s="1"/>
  <c r="CS116" i="2" a="1"/>
  <c r="CS116" i="2" s="1"/>
  <c r="BX107" i="2" a="1"/>
  <c r="BX107" i="2" s="1"/>
  <c r="FS203" i="2"/>
  <c r="AH151" i="2" a="1"/>
  <c r="AH151" i="2" s="1"/>
  <c r="AH163" i="2" a="1"/>
  <c r="AH163" i="2" s="1"/>
  <c r="AH62" i="2" a="1"/>
  <c r="AH62" i="2" s="1"/>
  <c r="AH92" i="2" a="1"/>
  <c r="AH92" i="2" s="1"/>
  <c r="BC192" i="2" a="1"/>
  <c r="BC192" i="2" s="1"/>
  <c r="BC117" i="2" a="1"/>
  <c r="BC117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126" i="2" l="1"/>
  <c r="BI47" i="2"/>
  <c r="BI123" i="2"/>
  <c r="BI203" i="2"/>
  <c r="BI54" i="2"/>
  <c r="BI108" i="2"/>
  <c r="BI43" i="2"/>
  <c r="BI53" i="2"/>
  <c r="BI57" i="2"/>
  <c r="BI159" i="2"/>
  <c r="BI142" i="2"/>
  <c r="BI146" i="2"/>
  <c r="BI8" i="2"/>
  <c r="BI35" i="2"/>
  <c r="BI138" i="2"/>
  <c r="BI173" i="2"/>
  <c r="BI97" i="2"/>
  <c r="BI19" i="2"/>
  <c r="BI38" i="2"/>
  <c r="BI39" i="2"/>
  <c r="BI13" i="2"/>
  <c r="BI129" i="2"/>
  <c r="BI165" i="2"/>
  <c r="BI105" i="2"/>
  <c r="BI34" i="2"/>
  <c r="BI135" i="2"/>
  <c r="BI81" i="2"/>
  <c r="BI56" i="2"/>
  <c r="BI33" i="2"/>
  <c r="BI200" i="2"/>
  <c r="BI134" i="2"/>
  <c r="BI140" i="2"/>
  <c r="BI52" i="2"/>
  <c r="BI111" i="2"/>
  <c r="BI182" i="2"/>
  <c r="BI161" i="2"/>
  <c r="BI88" i="2"/>
  <c r="BI36" i="2"/>
  <c r="BI4" i="2"/>
  <c r="BI145" i="2"/>
  <c r="BI62" i="2"/>
  <c r="BI112" i="2"/>
  <c r="BI118" i="2"/>
  <c r="BI152" i="2"/>
  <c r="BI147" i="2"/>
  <c r="BI40" i="2"/>
  <c r="BI17" i="2"/>
  <c r="BI137" i="2"/>
  <c r="BI63" i="2"/>
  <c r="BI49" i="2"/>
  <c r="BI85" i="2"/>
  <c r="BI196" i="2"/>
  <c r="BI156" i="2"/>
  <c r="BI107" i="2"/>
  <c r="BI82" i="2"/>
  <c r="BI169" i="2"/>
  <c r="BI31" i="2"/>
  <c r="BI55" i="2"/>
  <c r="BI153" i="2"/>
  <c r="BI23" i="2"/>
  <c r="BI150" i="2"/>
  <c r="BI26" i="2"/>
  <c r="BI7" i="2"/>
  <c r="BI116" i="2"/>
  <c r="BI117" i="2"/>
  <c r="BI160" i="2"/>
  <c r="BI148" i="2"/>
  <c r="BI199" i="2"/>
  <c r="BI50" i="2"/>
  <c r="BI89" i="2"/>
  <c r="BI42" i="2"/>
  <c r="BI133" i="2"/>
  <c r="BI48" i="2"/>
  <c r="BI59" i="2"/>
  <c r="BI79" i="2"/>
  <c r="BI69" i="2"/>
  <c r="BI130" i="2"/>
  <c r="BI95" i="2"/>
  <c r="BI188" i="2"/>
  <c r="BI80" i="2"/>
  <c r="BI164" i="2"/>
  <c r="BI78" i="2"/>
  <c r="BI30" i="2"/>
  <c r="BI98" i="2"/>
  <c r="BI84" i="2"/>
  <c r="BI192" i="2"/>
  <c r="BI149" i="2"/>
  <c r="BI181" i="2"/>
  <c r="BI163" i="2"/>
  <c r="BI44" i="2"/>
  <c r="BI110" i="2"/>
  <c r="BI5" i="2"/>
  <c r="BI72" i="2"/>
  <c r="BI187" i="2"/>
  <c r="BI155" i="2"/>
  <c r="BI189" i="2"/>
  <c r="BI115" i="2"/>
  <c r="BI16" i="2"/>
  <c r="BI176" i="2"/>
  <c r="BI68" i="2"/>
  <c r="BI14" i="2"/>
  <c r="BI3" i="2"/>
  <c r="C8" i="4" s="1"/>
  <c r="E8" i="4" s="1"/>
  <c r="F8" i="4" s="1"/>
  <c r="G8" i="4" s="1"/>
  <c r="L8" i="4" s="1"/>
  <c r="BI195" i="2"/>
  <c r="BI87" i="2"/>
  <c r="BI11" i="2"/>
  <c r="BI67" i="2"/>
  <c r="BI180" i="2"/>
  <c r="BI136" i="2"/>
  <c r="BI113" i="2"/>
  <c r="BI167" i="2"/>
  <c r="BI194" i="2"/>
  <c r="BI184" i="2"/>
  <c r="BI9" i="2"/>
  <c r="BI70" i="2"/>
  <c r="BI168" i="2"/>
  <c r="BI179" i="2"/>
  <c r="BI18" i="2"/>
  <c r="BI32" i="2"/>
  <c r="BI100" i="2"/>
  <c r="BI122" i="2"/>
  <c r="BI10" i="2"/>
  <c r="BI185" i="2"/>
  <c r="BI102" i="2"/>
  <c r="BI166" i="2"/>
  <c r="BI175" i="2"/>
  <c r="BI28" i="2"/>
  <c r="BI83" i="2"/>
  <c r="BI76" i="2"/>
  <c r="BI12" i="2"/>
  <c r="BI201" i="2"/>
  <c r="BI114" i="2"/>
  <c r="BI172" i="2"/>
  <c r="BI131" i="2"/>
  <c r="BI109" i="2"/>
  <c r="BI93" i="2"/>
  <c r="BI190" i="2"/>
  <c r="BI177" i="2"/>
  <c r="BI92" i="2"/>
  <c r="BI74" i="2"/>
  <c r="BI154" i="2"/>
  <c r="BI191" i="2"/>
  <c r="BI58" i="2"/>
  <c r="BI162" i="2"/>
  <c r="BI75" i="2"/>
  <c r="BI96" i="2"/>
  <c r="BI202" i="2"/>
  <c r="BI73" i="2"/>
  <c r="BI127" i="2"/>
  <c r="BI193" i="2"/>
  <c r="BI22" i="2"/>
  <c r="BI157" i="2"/>
  <c r="BI143" i="2"/>
  <c r="BI186" i="2"/>
  <c r="BI103" i="2"/>
  <c r="BI71" i="2"/>
  <c r="BI41" i="2"/>
  <c r="BI20" i="2"/>
  <c r="BI94" i="2"/>
  <c r="BI64" i="2"/>
  <c r="BI60" i="2"/>
  <c r="BI174" i="2"/>
  <c r="BI37" i="2"/>
  <c r="BI51" i="2"/>
  <c r="BI15" i="2"/>
  <c r="BI170" i="2"/>
  <c r="BI139" i="2"/>
  <c r="BI128" i="2"/>
  <c r="BI119" i="2"/>
  <c r="BI29" i="2"/>
  <c r="BI101" i="2"/>
  <c r="BI197" i="2"/>
  <c r="BI66" i="2"/>
  <c r="BI86" i="2"/>
  <c r="BI132" i="2"/>
  <c r="BI24" i="2"/>
  <c r="BI91" i="2"/>
  <c r="BI151" i="2"/>
  <c r="BI106" i="2"/>
  <c r="BI144" i="2"/>
  <c r="BI171" i="2"/>
  <c r="BI25" i="2"/>
  <c r="BI6" i="2"/>
  <c r="BI141" i="2"/>
  <c r="BI77" i="2"/>
  <c r="BI125" i="2"/>
  <c r="BI27" i="2"/>
  <c r="BI124" i="2"/>
  <c r="BI61" i="2"/>
  <c r="BI178" i="2"/>
  <c r="BI121" i="2"/>
  <c r="BI183" i="2"/>
  <c r="BI104" i="2"/>
  <c r="BI158" i="2"/>
  <c r="BI90" i="2"/>
  <c r="BI120" i="2"/>
  <c r="BI45" i="2"/>
  <c r="BI198" i="2"/>
  <c r="BI21" i="2"/>
  <c r="BI46" i="2"/>
  <c r="BI99" i="2"/>
  <c r="BI65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<sst xmlns="http://schemas.openxmlformats.org/spreadsheetml/2006/main" count="1173" uniqueCount="324">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</sst>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1" fillId="20" borderId="1" xfId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254.47610699585906</c:v>
                </c:pt>
                <c:pt idx="27">
                  <c:v>279.23900597474056</c:v>
                </c:pt>
                <c:pt idx="28">
                  <c:v>303.95265143464229</c:v>
                </c:pt>
                <c:pt idx="29">
                  <c:v>328.62160871118198</c:v>
                </c:pt>
                <c:pt idx="30">
                  <c:v>353.24970174806896</c:v>
                </c:pt>
                <c:pt idx="31">
                  <c:v>293.47377793906497</c:v>
                </c:pt>
                <c:pt idx="32">
                  <c:v>315.91868734548365</c:v>
                </c:pt>
                <c:pt idx="33">
                  <c:v>338.32827143043045</c:v>
                </c:pt>
                <c:pt idx="34">
                  <c:v>360.70519760433905</c:v>
                </c:pt>
                <c:pt idx="35">
                  <c:v>383.05177541071208</c:v>
                </c:pt>
                <c:pt idx="36">
                  <c:v>325.26014493454323</c:v>
                </c:pt>
                <c:pt idx="37">
                  <c:v>345.79075477962851</c:v>
                </c:pt>
                <c:pt idx="38">
                  <c:v>366.29460383970854</c:v>
                </c:pt>
                <c:pt idx="39">
                  <c:v>386.77339997206701</c:v>
                </c:pt>
                <c:pt idx="40">
                  <c:v>407.22865549260905</c:v>
                </c:pt>
                <c:pt idx="41">
                  <c:v>352.87683705646697</c:v>
                </c:pt>
                <c:pt idx="42">
                  <c:v>371.1372483365563</c:v>
                </c:pt>
                <c:pt idx="43">
                  <c:v>389.37807388667096</c:v>
                </c:pt>
                <c:pt idx="44">
                  <c:v>407.60035995338376</c:v>
                </c:pt>
                <c:pt idx="45">
                  <c:v>425.80505163704925</c:v>
                </c:pt>
                <c:pt idx="46">
                  <c:v>374.8614207616456</c:v>
                </c:pt>
                <c:pt idx="47">
                  <c:v>390.86628899650532</c:v>
                </c:pt>
                <c:pt idx="48">
                  <c:v>406.85694369927228</c:v>
                </c:pt>
                <c:pt idx="49">
                  <c:v>422.83402201018413</c:v>
                </c:pt>
                <c:pt idx="50">
                  <c:v>438.79810900392067</c:v>
                </c:pt>
                <c:pt idx="51">
                  <c:v>391.9823696123172</c:v>
                </c:pt>
                <c:pt idx="52">
                  <c:v>406.4852245657151</c:v>
                </c:pt>
                <c:pt idx="53">
                  <c:v>420.97690043878225</c:v>
                </c:pt>
                <c:pt idx="54">
                  <c:v>435.45783620208476</c:v>
                </c:pt>
                <c:pt idx="55">
                  <c:v>449.92843925372966</c:v>
                </c:pt>
                <c:pt idx="56">
                  <c:v>408.71542941668866</c:v>
                </c:pt>
                <c:pt idx="57">
                  <c:v>421.34833884363525</c:v>
                </c:pt>
                <c:pt idx="58">
                  <c:v>433.97309421022027</c:v>
                </c:pt>
                <c:pt idx="59">
                  <c:v>446.58996615169781</c:v>
                </c:pt>
                <c:pt idx="60">
                  <c:v>459.19920876443302</c:v>
                </c:pt>
                <c:pt idx="61">
                  <c:v>422.09119450330439</c:v>
                </c:pt>
                <c:pt idx="62">
                  <c:v>433.2306823305874</c:v>
                </c:pt>
                <c:pt idx="63">
                  <c:v>444.36402075569362</c:v>
                </c:pt>
                <c:pt idx="64">
                  <c:v>455.49138558575561</c:v>
                </c:pt>
                <c:pt idx="65">
                  <c:v>466.61294333655451</c:v>
                </c:pt>
                <c:pt idx="66">
                  <c:v>433.60189168293101</c:v>
                </c:pt>
                <c:pt idx="67">
                  <c:v>443.25095855050785</c:v>
                </c:pt>
                <c:pt idx="68">
                  <c:v>452.89552584845813</c:v>
                </c:pt>
                <c:pt idx="69">
                  <c:v>462.53570293273191</c:v>
                </c:pt>
                <c:pt idx="70">
                  <c:v>472.17159422788433</c:v>
                </c:pt>
                <c:pt idx="71">
                  <c:v>1.4960899118586383E-12</c:v>
                </c:pt>
                <c:pt idx="72">
                  <c:v>1.4960899118586383E-12</c:v>
                </c:pt>
                <c:pt idx="73">
                  <c:v>1.4960899118586383E-12</c:v>
                </c:pt>
                <c:pt idx="74">
                  <c:v>1.4960899118586383E-12</c:v>
                </c:pt>
                <c:pt idx="75">
                  <c:v>1.4960899118586383E-12</c:v>
                </c:pt>
                <c:pt idx="76">
                  <c:v>1.4960899118586383E-12</c:v>
                </c:pt>
                <c:pt idx="77">
                  <c:v>1.4960899118586383E-12</c:v>
                </c:pt>
                <c:pt idx="78">
                  <c:v>1.4960899118586383E-12</c:v>
                </c:pt>
                <c:pt idx="79">
                  <c:v>1.4960899118586383E-12</c:v>
                </c:pt>
                <c:pt idx="80">
                  <c:v>1.4960899118586383E-12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1.945758313630227</c:v>
                </c:pt>
                <c:pt idx="2">
                  <c:v>2.6050980468053448</c:v>
                </c:pt>
                <c:pt idx="3">
                  <c:v>3.4887980517210706</c:v>
                </c:pt>
                <c:pt idx="4">
                  <c:v>4.6735040654797206</c:v>
                </c:pt>
                <c:pt idx="5">
                  <c:v>6.2621414188034761</c:v>
                </c:pt>
                <c:pt idx="6">
                  <c:v>8.3929560750059693</c:v>
                </c:pt>
                <c:pt idx="7">
                  <c:v>11.251675760913587</c:v>
                </c:pt>
                <c:pt idx="8">
                  <c:v>15.087871001792513</c:v>
                </c:pt>
                <c:pt idx="9">
                  <c:v>20.236970540629144</c:v>
                </c:pt>
                <c:pt idx="10">
                  <c:v>27.149890593651492</c:v>
                </c:pt>
                <c:pt idx="11">
                  <c:v>36.432918080797933</c:v>
                </c:pt>
                <c:pt idx="12">
                  <c:v>48.901405640152291</c:v>
                </c:pt>
                <c:pt idx="13">
                  <c:v>65.652073559199778</c:v>
                </c:pt>
                <c:pt idx="14">
                  <c:v>88.160382293019723</c:v>
                </c:pt>
                <c:pt idx="15">
                  <c:v>118.41168955175056</c:v>
                </c:pt>
                <c:pt idx="16">
                  <c:v>159.07794124592061</c:v>
                </c:pt>
                <c:pt idx="17">
                  <c:v>213.75574019899872</c:v>
                </c:pt>
                <c:pt idx="18">
                  <c:v>249.31858647831859</c:v>
                </c:pt>
                <c:pt idx="19">
                  <c:v>186.65295119618835</c:v>
                </c:pt>
                <c:pt idx="20">
                  <c:v>219.38527831101297</c:v>
                </c:pt>
                <c:pt idx="21">
                  <c:v>252.00526262376073</c:v>
                </c:pt>
                <c:pt idx="22">
                  <c:v>284.52949620568376</c:v>
                </c:pt>
                <c:pt idx="23">
                  <c:v>316.97045957191079</c:v>
                </c:pt>
                <c:pt idx="24">
                  <c:v>353.21835259366952</c:v>
                </c:pt>
                <c:pt idx="25">
                  <c:v>324.75291318794217</c:v>
                </c:pt>
                <c:pt idx="26">
                  <c:v>357.64353127694949</c:v>
                </c:pt>
                <c:pt idx="27">
                  <c:v>391.75345691850794</c:v>
                </c:pt>
                <c:pt idx="28">
                  <c:v>425.79897297789597</c:v>
                </c:pt>
                <c:pt idx="29">
                  <c:v>461.70741999611255</c:v>
                </c:pt>
                <c:pt idx="30">
                  <c:v>497.55629175055515</c:v>
                </c:pt>
                <c:pt idx="31">
                  <c:v>434.07832225738576</c:v>
                </c:pt>
                <c:pt idx="32">
                  <c:v>466.6407952399947</c:v>
                </c:pt>
                <c:pt idx="33">
                  <c:v>500.64674115998105</c:v>
                </c:pt>
                <c:pt idx="34">
                  <c:v>534.60381399607388</c:v>
                </c:pt>
                <c:pt idx="35">
                  <c:v>569.77901956235246</c:v>
                </c:pt>
                <c:pt idx="36">
                  <c:v>604.90887079787183</c:v>
                </c:pt>
                <c:pt idx="37">
                  <c:v>535.66200804942548</c:v>
                </c:pt>
                <c:pt idx="38">
                  <c:v>567.84246187417853</c:v>
                </c:pt>
                <c:pt idx="39">
                  <c:v>600.99917872090748</c:v>
                </c:pt>
                <c:pt idx="40">
                  <c:v>634.11789501107194</c:v>
                </c:pt>
                <c:pt idx="41">
                  <c:v>668.08943967387813</c:v>
                </c:pt>
                <c:pt idx="42">
                  <c:v>702.0254786345663</c:v>
                </c:pt>
                <c:pt idx="43">
                  <c:v>625.80482280365356</c:v>
                </c:pt>
                <c:pt idx="44">
                  <c:v>657.01294905815314</c:v>
                </c:pt>
                <c:pt idx="45">
                  <c:v>688.88449344969774</c:v>
                </c:pt>
                <c:pt idx="46">
                  <c:v>720.72582265116989</c:v>
                </c:pt>
                <c:pt idx="47">
                  <c:v>753.17243083327423</c:v>
                </c:pt>
                <c:pt idx="48">
                  <c:v>785.59065255131372</c:v>
                </c:pt>
                <c:pt idx="49">
                  <c:v>696.17586923903229</c:v>
                </c:pt>
                <c:pt idx="50">
                  <c:v>725.80175633672332</c:v>
                </c:pt>
                <c:pt idx="51">
                  <c:v>756.00757035468848</c:v>
                </c:pt>
                <c:pt idx="52">
                  <c:v>786.18888455630861</c:v>
                </c:pt>
                <c:pt idx="53">
                  <c:v>816.78630665073081</c:v>
                </c:pt>
                <c:pt idx="54">
                  <c:v>847.360640692846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160.02029104347795</c:v>
                </c:pt>
                <c:pt idx="22">
                  <c:v>175.13585803907259</c:v>
                </c:pt>
                <c:pt idx="23">
                  <c:v>190.22078828852798</c:v>
                </c:pt>
                <c:pt idx="24">
                  <c:v>205.2778545096966</c:v>
                </c:pt>
                <c:pt idx="25">
                  <c:v>220.30938898976538</c:v>
                </c:pt>
                <c:pt idx="26">
                  <c:v>181.00569664728371</c:v>
                </c:pt>
                <c:pt idx="27">
                  <c:v>200.26177659150264</c:v>
                </c:pt>
                <c:pt idx="28">
                  <c:v>219.47493841333153</c:v>
                </c:pt>
                <c:pt idx="29">
                  <c:v>238.64946815456821</c:v>
                </c:pt>
                <c:pt idx="30">
                  <c:v>257.78890626510474</c:v>
                </c:pt>
                <c:pt idx="31">
                  <c:v>221.97807266554162</c:v>
                </c:pt>
                <c:pt idx="32">
                  <c:v>244.47808276569106</c:v>
                </c:pt>
                <c:pt idx="33">
                  <c:v>266.93103161478729</c:v>
                </c:pt>
                <c:pt idx="34">
                  <c:v>289.3414331694662</c:v>
                </c:pt>
                <c:pt idx="35">
                  <c:v>311.71304479765803</c:v>
                </c:pt>
                <c:pt idx="36">
                  <c:v>276.89622424264081</c:v>
                </c:pt>
                <c:pt idx="37">
                  <c:v>300.11758429718861</c:v>
                </c:pt>
                <c:pt idx="38">
                  <c:v>323.29893699066071</c:v>
                </c:pt>
                <c:pt idx="39">
                  <c:v>346.4435525568872</c:v>
                </c:pt>
                <c:pt idx="40">
                  <c:v>369.55422870449632</c:v>
                </c:pt>
                <c:pt idx="41">
                  <c:v>335.28894123596257</c:v>
                </c:pt>
                <c:pt idx="42">
                  <c:v>358.82833079757535</c:v>
                </c:pt>
                <c:pt idx="43">
                  <c:v>382.33394334423559</c:v>
                </c:pt>
                <c:pt idx="44">
                  <c:v>405.80814582937325</c:v>
                </c:pt>
                <c:pt idx="45">
                  <c:v>429.25300917701088</c:v>
                </c:pt>
                <c:pt idx="46">
                  <c:v>394.28074727616126</c:v>
                </c:pt>
                <c:pt idx="47">
                  <c:v>416.91714761061024</c:v>
                </c:pt>
                <c:pt idx="48">
                  <c:v>439.52706413119489</c:v>
                </c:pt>
                <c:pt idx="49">
                  <c:v>462.11204968448237</c:v>
                </c:pt>
                <c:pt idx="50">
                  <c:v>484.67349306043207</c:v>
                </c:pt>
                <c:pt idx="51">
                  <c:v>448.15328569496359</c:v>
                </c:pt>
                <c:pt idx="52">
                  <c:v>469.08803973384329</c:v>
                </c:pt>
                <c:pt idx="53">
                  <c:v>490.00289665080521</c:v>
                </c:pt>
                <c:pt idx="54">
                  <c:v>510.89882453659499</c:v>
                </c:pt>
                <c:pt idx="55">
                  <c:v>531.77670589409706</c:v>
                </c:pt>
                <c:pt idx="56">
                  <c:v>493.69176260852379</c:v>
                </c:pt>
                <c:pt idx="57">
                  <c:v>512.94645994076382</c:v>
                </c:pt>
                <c:pt idx="58">
                  <c:v>532.18590126973982</c:v>
                </c:pt>
                <c:pt idx="59">
                  <c:v>551.41071534837477</c:v>
                </c:pt>
                <c:pt idx="60">
                  <c:v>570.62148354470401</c:v>
                </c:pt>
                <c:pt idx="61">
                  <c:v>531.36750389275585</c:v>
                </c:pt>
                <c:pt idx="62">
                  <c:v>549.3661998253956</c:v>
                </c:pt>
                <c:pt idx="63">
                  <c:v>567.35253375731543</c:v>
                </c:pt>
                <c:pt idx="64">
                  <c:v>585.32695249209939</c:v>
                </c:pt>
                <c:pt idx="65">
                  <c:v>603.28987317463418</c:v>
                </c:pt>
                <c:pt idx="66">
                  <c:v>562.85708424728386</c:v>
                </c:pt>
                <c:pt idx="67">
                  <c:v>579.60908578354815</c:v>
                </c:pt>
                <c:pt idx="68">
                  <c:v>596.35099138861813</c:v>
                </c:pt>
                <c:pt idx="69">
                  <c:v>613.08312422226595</c:v>
                </c:pt>
                <c:pt idx="70">
                  <c:v>629.80578837901965</c:v>
                </c:pt>
                <c:pt idx="71">
                  <c:v>588.18544859108772</c:v>
                </c:pt>
                <c:pt idx="72">
                  <c:v>603.69799084952581</c:v>
                </c:pt>
                <c:pt idx="73">
                  <c:v>619.20225497367608</c:v>
                </c:pt>
                <c:pt idx="74">
                  <c:v>634.69847731101868</c:v>
                </c:pt>
                <c:pt idx="75">
                  <c:v>650.18688173454336</c:v>
                </c:pt>
                <c:pt idx="76">
                  <c:v>607.77885306593191</c:v>
                </c:pt>
                <c:pt idx="77">
                  <c:v>622.4652781759479</c:v>
                </c:pt>
                <c:pt idx="78">
                  <c:v>637.1445290217099</c:v>
                </c:pt>
                <c:pt idx="79">
                  <c:v>651.81679408188654</c:v>
                </c:pt>
                <c:pt idx="80">
                  <c:v>666.48225266324471</c:v>
                </c:pt>
                <c:pt idx="81">
                  <c:v>623.2809785427969</c:v>
                </c:pt>
                <c:pt idx="82">
                  <c:v>637.1445290217099</c:v>
                </c:pt>
                <c:pt idx="83">
                  <c:v>651.00184842596218</c:v>
                </c:pt>
                <c:pt idx="84">
                  <c:v>664.85308800712107</c:v>
                </c:pt>
                <c:pt idx="85">
                  <c:v>678.69839220429378</c:v>
                </c:pt>
                <c:pt idx="86">
                  <c:v>634.69847731101868</c:v>
                </c:pt>
                <c:pt idx="87">
                  <c:v>647.74185514581279</c:v>
                </c:pt>
                <c:pt idx="88">
                  <c:v>660.77981648497882</c:v>
                </c:pt>
                <c:pt idx="89">
                  <c:v>673.81248320912653</c:v>
                </c:pt>
                <c:pt idx="90">
                  <c:v>686.83997210216705</c:v>
                </c:pt>
                <c:pt idx="91">
                  <c:v>642.03605120322266</c:v>
                </c:pt>
                <c:pt idx="92">
                  <c:v>654.26150513657501</c:v>
                </c:pt>
                <c:pt idx="93">
                  <c:v>666.48225266324471</c:v>
                </c:pt>
                <c:pt idx="94">
                  <c:v>678.69839220429355</c:v>
                </c:pt>
                <c:pt idx="95">
                  <c:v>690.91001835052748</c:v>
                </c:pt>
                <c:pt idx="96">
                  <c:v>645.70418757261734</c:v>
                </c:pt>
                <c:pt idx="97">
                  <c:v>657.5208271917312</c:v>
                </c:pt>
                <c:pt idx="98">
                  <c:v>669.33309384269342</c:v>
                </c:pt>
                <c:pt idx="99">
                  <c:v>681.14107554314921</c:v>
                </c:pt>
                <c:pt idx="100">
                  <c:v>692.94485701159203</c:v>
                </c:pt>
                <c:pt idx="101">
                  <c:v>648.96439218997557</c:v>
                </c:pt>
                <c:pt idx="102">
                  <c:v>659.96510025530517</c:v>
                </c:pt>
                <c:pt idx="103">
                  <c:v>670.96203378278858</c:v>
                </c:pt>
                <c:pt idx="104">
                  <c:v>681.95526333416171</c:v>
                </c:pt>
                <c:pt idx="105">
                  <c:v>692.94485701159181</c:v>
                </c:pt>
                <c:pt idx="106">
                  <c:v>650.18688173454302</c:v>
                </c:pt>
                <c:pt idx="107">
                  <c:v>660.37246095701687</c:v>
                </c:pt>
                <c:pt idx="108">
                  <c:v>670.55480642750729</c:v>
                </c:pt>
                <c:pt idx="109">
                  <c:v>680.73397415831266</c:v>
                </c:pt>
                <c:pt idx="110">
                  <c:v>690.91001835052737</c:v>
                </c:pt>
                <c:pt idx="111">
                  <c:v>649.37189397752024</c:v>
                </c:pt>
                <c:pt idx="112">
                  <c:v>658.74298707117862</c:v>
                </c:pt>
                <c:pt idx="113">
                  <c:v>668.11133540519438</c:v>
                </c:pt>
                <c:pt idx="114">
                  <c:v>677.47698288468996</c:v>
                </c:pt>
                <c:pt idx="115">
                  <c:v>686.83997210216705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2.1295883841675698</c:v>
                </c:pt>
                <c:pt idx="2">
                  <c:v>2.6183010229241539</c:v>
                </c:pt>
                <c:pt idx="3">
                  <c:v>3.219599731773831</c:v>
                </c:pt>
                <c:pt idx="4">
                  <c:v>3.9595154786884472</c:v>
                </c:pt>
                <c:pt idx="5">
                  <c:v>4.8701182595926094</c:v>
                </c:pt>
                <c:pt idx="6">
                  <c:v>5.9909225271685296</c:v>
                </c:pt>
                <c:pt idx="7">
                  <c:v>7.3706206465688275</c:v>
                </c:pt>
                <c:pt idx="8">
                  <c:v>9.0692211432014602</c:v>
                </c:pt>
                <c:pt idx="9">
                  <c:v>11.160686515995073</c:v>
                </c:pt>
                <c:pt idx="10">
                  <c:v>13.736187631630221</c:v>
                </c:pt>
                <c:pt idx="11">
                  <c:v>16.908119188508362</c:v>
                </c:pt>
                <c:pt idx="12">
                  <c:v>20.815054676478152</c:v>
                </c:pt>
                <c:pt idx="13">
                  <c:v>25.627861183311392</c:v>
                </c:pt>
                <c:pt idx="14">
                  <c:v>31.557246195200772</c:v>
                </c:pt>
                <c:pt idx="15">
                  <c:v>38.863072534636395</c:v>
                </c:pt>
                <c:pt idx="16">
                  <c:v>47.865856653573566</c:v>
                </c:pt>
                <c:pt idx="17">
                  <c:v>58.960963211844557</c:v>
                </c:pt>
                <c:pt idx="18">
                  <c:v>72.636129620687001</c:v>
                </c:pt>
                <c:pt idx="19">
                  <c:v>89.493103460024415</c:v>
                </c:pt>
                <c:pt idx="20">
                  <c:v>110.27436011367904</c:v>
                </c:pt>
                <c:pt idx="21">
                  <c:v>112.03893205390368</c:v>
                </c:pt>
                <c:pt idx="22">
                  <c:v>122.61245229101463</c:v>
                </c:pt>
                <c:pt idx="23">
                  <c:v>133.16379985429114</c:v>
                </c:pt>
                <c:pt idx="24">
                  <c:v>143.69498143753458</c:v>
                </c:pt>
                <c:pt idx="25">
                  <c:v>154.20768498250132</c:v>
                </c:pt>
                <c:pt idx="26">
                  <c:v>126.71827041123917</c:v>
                </c:pt>
                <c:pt idx="27">
                  <c:v>140.18671834451746</c:v>
                </c:pt>
                <c:pt idx="28">
                  <c:v>153.62410522695768</c:v>
                </c:pt>
                <c:pt idx="29">
                  <c:v>167.03353298741314</c:v>
                </c:pt>
                <c:pt idx="30">
                  <c:v>180.41756394892988</c:v>
                </c:pt>
                <c:pt idx="31">
                  <c:v>155.37468709930818</c:v>
                </c:pt>
                <c:pt idx="32">
                  <c:v>171.1095161428722</c:v>
                </c:pt>
                <c:pt idx="33">
                  <c:v>186.81028563699499</c:v>
                </c:pt>
                <c:pt idx="34">
                  <c:v>202.48026245890085</c:v>
                </c:pt>
                <c:pt idx="35">
                  <c:v>218.12216592131381</c:v>
                </c:pt>
                <c:pt idx="36">
                  <c:v>193.77834866786895</c:v>
                </c:pt>
                <c:pt idx="37">
                  <c:v>210.01490336956445</c:v>
                </c:pt>
                <c:pt idx="38">
                  <c:v>226.2225036201547</c:v>
                </c:pt>
                <c:pt idx="39">
                  <c:v>242.40351617973047</c:v>
                </c:pt>
                <c:pt idx="40">
                  <c:v>258.55996582862014</c:v>
                </c:pt>
                <c:pt idx="41">
                  <c:v>234.60514077955398</c:v>
                </c:pt>
                <c:pt idx="42">
                  <c:v>251.06169458557397</c:v>
                </c:pt>
                <c:pt idx="43">
                  <c:v>267.49380301700216</c:v>
                </c:pt>
                <c:pt idx="44">
                  <c:v>283.90317910452893</c:v>
                </c:pt>
                <c:pt idx="45">
                  <c:v>300.2913216340458</c:v>
                </c:pt>
                <c:pt idx="46">
                  <c:v>275.8451748960195</c:v>
                </c:pt>
                <c:pt idx="47">
                  <c:v>291.66854559956113</c:v>
                </c:pt>
                <c:pt idx="48">
                  <c:v>307.47274922302051</c:v>
                </c:pt>
                <c:pt idx="49">
                  <c:v>323.25890960508139</c:v>
                </c:pt>
                <c:pt idx="50">
                  <c:v>339.02803185205124</c:v>
                </c:pt>
                <c:pt idx="51">
                  <c:v>313.50226463243462</c:v>
                </c:pt>
                <c:pt idx="52">
                  <c:v>328.13477724523267</c:v>
                </c:pt>
                <c:pt idx="53">
                  <c:v>342.75288975194491</c:v>
                </c:pt>
                <c:pt idx="54">
                  <c:v>357.35730278704</c:v>
                </c:pt>
                <c:pt idx="55">
                  <c:v>371.94865504264635</c:v>
                </c:pt>
                <c:pt idx="56">
                  <c:v>345.33111561712332</c:v>
                </c:pt>
                <c:pt idx="57">
                  <c:v>358.78839513118527</c:v>
                </c:pt>
                <c:pt idx="58">
                  <c:v>372.23463344711035</c:v>
                </c:pt>
                <c:pt idx="59">
                  <c:v>385.67028561105195</c:v>
                </c:pt>
                <c:pt idx="60">
                  <c:v>399.09577237538934</c:v>
                </c:pt>
                <c:pt idx="61">
                  <c:v>371.66267184297811</c:v>
                </c:pt>
                <c:pt idx="62">
                  <c:v>384.24145121256805</c:v>
                </c:pt>
                <c:pt idx="63">
                  <c:v>396.81128385496095</c:v>
                </c:pt>
                <c:pt idx="64">
                  <c:v>409.37249313446256</c:v>
                </c:pt>
                <c:pt idx="65">
                  <c:v>421.92538095054584</c:v>
                </c:pt>
                <c:pt idx="66">
                  <c:v>393.66964638244121</c:v>
                </c:pt>
                <c:pt idx="67">
                  <c:v>405.37666134724668</c:v>
                </c:pt>
                <c:pt idx="68">
                  <c:v>417.07636960302989</c:v>
                </c:pt>
                <c:pt idx="69">
                  <c:v>428.76900502959637</c:v>
                </c:pt>
                <c:pt idx="70">
                  <c:v>440.4547877086984</c:v>
                </c:pt>
                <c:pt idx="71">
                  <c:v>411.37009257413553</c:v>
                </c:pt>
                <c:pt idx="72">
                  <c:v>422.21057939270116</c:v>
                </c:pt>
                <c:pt idx="73">
                  <c:v>433.04507509293188</c:v>
                </c:pt>
                <c:pt idx="74">
                  <c:v>443.87375072613833</c:v>
                </c:pt>
                <c:pt idx="75">
                  <c:v>454.69676831549236</c:v>
                </c:pt>
                <c:pt idx="76">
                  <c:v>425.06233617824211</c:v>
                </c:pt>
                <c:pt idx="77">
                  <c:v>435.32527437722064</c:v>
                </c:pt>
                <c:pt idx="78">
                  <c:v>445.58302035961742</c:v>
                </c:pt>
                <c:pt idx="79">
                  <c:v>455.83571053274028</c:v>
                </c:pt>
                <c:pt idx="80">
                  <c:v>466.08347466593324</c:v>
                </c:pt>
                <c:pt idx="81">
                  <c:v>435.89528407935296</c:v>
                </c:pt>
                <c:pt idx="82">
                  <c:v>445.58302035961742</c:v>
                </c:pt>
                <c:pt idx="83">
                  <c:v>455.26624703610543</c:v>
                </c:pt>
                <c:pt idx="84">
                  <c:v>464.94507357382503</c:v>
                </c:pt>
                <c:pt idx="85">
                  <c:v>474.61960450741594</c:v>
                </c:pt>
                <c:pt idx="86">
                  <c:v>443.87375072613833</c:v>
                </c:pt>
                <c:pt idx="87">
                  <c:v>452.98824059157391</c:v>
                </c:pt>
                <c:pt idx="88">
                  <c:v>462.09881038696238</c:v>
                </c:pt>
                <c:pt idx="89">
                  <c:v>471.20554832072474</c:v>
                </c:pt>
                <c:pt idx="90">
                  <c:v>480.30853891265798</c:v>
                </c:pt>
                <c:pt idx="91">
                  <c:v>449.00113896695387</c:v>
                </c:pt>
                <c:pt idx="92">
                  <c:v>457.5440098958083</c:v>
                </c:pt>
                <c:pt idx="93">
                  <c:v>466.08347466593301</c:v>
                </c:pt>
                <c:pt idx="94">
                  <c:v>474.61960450741572</c:v>
                </c:pt>
                <c:pt idx="95">
                  <c:v>483.15246787827965</c:v>
                </c:pt>
                <c:pt idx="96">
                  <c:v>451.56436224672251</c:v>
                </c:pt>
                <c:pt idx="97">
                  <c:v>459.82153055595603</c:v>
                </c:pt>
                <c:pt idx="98">
                  <c:v>468.07553402529197</c:v>
                </c:pt>
                <c:pt idx="99">
                  <c:v>476.32643635557253</c:v>
                </c:pt>
                <c:pt idx="100">
                  <c:v>484.5742988599518</c:v>
                </c:pt>
                <c:pt idx="101">
                  <c:v>453.84252164192867</c:v>
                </c:pt>
                <c:pt idx="102">
                  <c:v>461.52951293255023</c:v>
                </c:pt>
                <c:pt idx="103">
                  <c:v>469.21377248409726</c:v>
                </c:pt>
                <c:pt idx="104">
                  <c:v>476.89535136408062</c:v>
                </c:pt>
                <c:pt idx="105">
                  <c:v>484.57429885995163</c:v>
                </c:pt>
                <c:pt idx="106">
                  <c:v>454.69676831549208</c:v>
                </c:pt>
                <c:pt idx="107">
                  <c:v>461.81416353195027</c:v>
                </c:pt>
                <c:pt idx="108">
                  <c:v>468.92921839125489</c:v>
                </c:pt>
                <c:pt idx="109">
                  <c:v>476.0419734310799</c:v>
                </c:pt>
                <c:pt idx="110">
                  <c:v>483.15246787827965</c:v>
                </c:pt>
                <c:pt idx="111">
                  <c:v>454.12727434910954</c:v>
                </c:pt>
                <c:pt idx="112">
                  <c:v>460.67553864161101</c:v>
                </c:pt>
                <c:pt idx="113">
                  <c:v>467.22181647445245</c:v>
                </c:pt>
                <c:pt idx="114">
                  <c:v>473.76613962300468</c:v>
                </c:pt>
                <c:pt idx="115">
                  <c:v>480.30853891265809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269" sqref="C26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9" t="s">
        <v>190</v>
      </c>
      <c r="D1" s="299"/>
      <c r="E1" s="299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2.9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</v>
      </c>
      <c r="C9" s="35">
        <v>0.185</v>
      </c>
      <c r="D9" s="36">
        <f t="shared" ref="D9:D18" si="0">C9*$C$5</f>
        <v>0.53649999999999998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0.12</v>
      </c>
      <c r="D10" s="36">
        <f t="shared" si="0"/>
        <v>0.34799999999999998</v>
      </c>
      <c r="E10" s="37">
        <v>54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0.48</v>
      </c>
      <c r="D11" s="36">
        <f t="shared" si="0"/>
        <v>1.3919999999999999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7.0000000000000007E-2</v>
      </c>
      <c r="D12" s="36">
        <f t="shared" si="0"/>
        <v>0.20300000000000001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50</v>
      </c>
      <c r="C13" s="35">
        <v>0.14000000000000001</v>
      </c>
      <c r="D13" s="36">
        <f t="shared" si="0"/>
        <v>0.40600000000000003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0.995</v>
      </c>
      <c r="D19" s="41">
        <f>SUM(D9:D18)</f>
        <v>2.8855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rouge d'Amérique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15</v>
      </c>
      <c r="B36" s="63">
        <v>87</v>
      </c>
      <c r="C36" s="63">
        <v>1</v>
      </c>
      <c r="D36" s="63">
        <v>21</v>
      </c>
      <c r="E36" s="54"/>
      <c r="F36" s="54"/>
      <c r="G36" s="54"/>
      <c r="H36" s="54">
        <v>1</v>
      </c>
      <c r="I36" s="52">
        <f>IFERROR(B36/A36,"")</f>
        <v>5.8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20</v>
      </c>
      <c r="B37" s="63">
        <v>137</v>
      </c>
      <c r="C37" s="63">
        <v>2</v>
      </c>
      <c r="D37" s="63">
        <v>43</v>
      </c>
      <c r="E37" s="54"/>
      <c r="F37" s="54">
        <v>0.5</v>
      </c>
      <c r="G37" s="54">
        <v>0.5</v>
      </c>
      <c r="H37" s="54"/>
      <c r="I37" s="56">
        <f t="shared" ref="I37:I55" si="1">IF(A37&lt;&gt;0,(B37-(B36-D36))/(A37-A36),"")</f>
        <v>14.2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163</v>
      </c>
      <c r="C38" s="63">
        <v>3</v>
      </c>
      <c r="D38" s="63">
        <v>44</v>
      </c>
      <c r="E38" s="54"/>
      <c r="F38" s="54">
        <v>0.5</v>
      </c>
      <c r="G38" s="54">
        <v>0.5</v>
      </c>
      <c r="H38" s="54"/>
      <c r="I38" s="56">
        <f t="shared" si="1"/>
        <v>13.8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185</v>
      </c>
      <c r="C39" s="63">
        <v>4</v>
      </c>
      <c r="D39" s="63">
        <v>44</v>
      </c>
      <c r="E39" s="54"/>
      <c r="F39" s="54">
        <v>0.6</v>
      </c>
      <c r="G39" s="54">
        <v>0.4</v>
      </c>
      <c r="H39" s="54"/>
      <c r="I39" s="52">
        <f t="shared" si="1"/>
        <v>13.2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v>201</v>
      </c>
      <c r="C40" s="63">
        <v>5</v>
      </c>
      <c r="D40" s="63">
        <v>42</v>
      </c>
      <c r="E40" s="54"/>
      <c r="F40" s="54"/>
      <c r="G40" s="54"/>
      <c r="H40" s="54"/>
      <c r="I40" s="52">
        <f t="shared" si="1"/>
        <v>12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40</v>
      </c>
      <c r="B41" s="63">
        <v>214</v>
      </c>
      <c r="C41" s="63">
        <v>6</v>
      </c>
      <c r="D41" s="63">
        <v>39</v>
      </c>
      <c r="E41" s="54"/>
      <c r="F41" s="54"/>
      <c r="G41" s="54"/>
      <c r="H41" s="54"/>
      <c r="I41" s="56">
        <f t="shared" si="1"/>
        <v>11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45</v>
      </c>
      <c r="B42" s="63">
        <v>224</v>
      </c>
      <c r="C42" s="63">
        <v>7</v>
      </c>
      <c r="D42" s="63">
        <v>36</v>
      </c>
      <c r="E42" s="54"/>
      <c r="F42" s="54"/>
      <c r="G42" s="54"/>
      <c r="H42" s="54"/>
      <c r="I42" s="56">
        <f t="shared" si="1"/>
        <v>9.8000000000000007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50</v>
      </c>
      <c r="B43" s="63">
        <v>231</v>
      </c>
      <c r="C43" s="63">
        <v>8</v>
      </c>
      <c r="D43" s="63">
        <v>33</v>
      </c>
      <c r="E43" s="54"/>
      <c r="F43" s="54"/>
      <c r="G43" s="54"/>
      <c r="H43" s="54"/>
      <c r="I43" s="52">
        <f t="shared" si="1"/>
        <v>8.6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55</v>
      </c>
      <c r="B44" s="63">
        <v>237</v>
      </c>
      <c r="C44" s="63">
        <v>9</v>
      </c>
      <c r="D44" s="63">
        <v>29</v>
      </c>
      <c r="E44" s="54"/>
      <c r="F44" s="54"/>
      <c r="G44" s="54"/>
      <c r="H44" s="54"/>
      <c r="I44" s="52">
        <f t="shared" si="1"/>
        <v>7.8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60</v>
      </c>
      <c r="B45" s="63">
        <v>242</v>
      </c>
      <c r="C45" s="63">
        <v>10</v>
      </c>
      <c r="D45" s="63">
        <v>26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65</v>
      </c>
      <c r="B46" s="63">
        <v>246</v>
      </c>
      <c r="C46" s="63">
        <v>11</v>
      </c>
      <c r="D46" s="63">
        <v>23</v>
      </c>
      <c r="E46" s="54"/>
      <c r="F46" s="54"/>
      <c r="G46" s="54"/>
      <c r="H46" s="54"/>
      <c r="I46" s="52">
        <f t="shared" si="1"/>
        <v>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70</v>
      </c>
      <c r="B47" s="63">
        <v>249</v>
      </c>
      <c r="C47" s="63">
        <v>12</v>
      </c>
      <c r="D47" s="63">
        <v>249</v>
      </c>
      <c r="E47" s="54"/>
      <c r="F47" s="54"/>
      <c r="G47" s="54"/>
      <c r="H47" s="54"/>
      <c r="I47" s="52">
        <f t="shared" si="1"/>
        <v>5.2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17</v>
      </c>
      <c r="B62" s="63">
        <v>172.78</v>
      </c>
      <c r="C62" s="63">
        <v>1</v>
      </c>
      <c r="D62" s="63">
        <v>0</v>
      </c>
      <c r="E62" s="292"/>
      <c r="F62" s="292"/>
      <c r="G62" s="292"/>
      <c r="H62" s="292"/>
      <c r="I62" s="56">
        <f>IFERROR(B62/A62,"")</f>
        <v>10.163529411764706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202.31</v>
      </c>
      <c r="C63" s="63">
        <v>2</v>
      </c>
      <c r="D63" s="63">
        <v>74.819999999999993</v>
      </c>
      <c r="E63" s="54">
        <v>0.1</v>
      </c>
      <c r="F63" s="54">
        <v>0.4</v>
      </c>
      <c r="G63" s="54">
        <v>0.5</v>
      </c>
      <c r="H63" s="54">
        <v>0</v>
      </c>
      <c r="I63" s="52">
        <f>IF(A63&lt;&gt;0,(B63-(B62-D62))/(A63-A62),"")</f>
        <v>29.53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19</v>
      </c>
      <c r="B64" s="63">
        <v>150.35</v>
      </c>
      <c r="C64" s="63">
        <v>3</v>
      </c>
      <c r="D64" s="63">
        <v>0</v>
      </c>
      <c r="E64" s="54">
        <v>0.4</v>
      </c>
      <c r="F64" s="54">
        <v>0.3</v>
      </c>
      <c r="G64" s="54">
        <v>0.3</v>
      </c>
      <c r="H64" s="54">
        <v>0</v>
      </c>
      <c r="I64" s="52">
        <f>IF(A64&lt;&gt;0,(B64-(B63-D63))/(A64-A63),"")</f>
        <v>22.859999999999985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23</v>
      </c>
      <c r="B65" s="63">
        <v>258.74</v>
      </c>
      <c r="C65" s="63">
        <v>4</v>
      </c>
      <c r="D65" s="63">
        <v>0</v>
      </c>
      <c r="I65" s="52">
        <f>IF(A65&lt;&gt;0,(B65-(B64-D64))/(A65-A64),"")</f>
        <v>27.097500000000004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24</v>
      </c>
      <c r="B66" s="63">
        <v>289.08999999999997</v>
      </c>
      <c r="C66" s="63">
        <v>5</v>
      </c>
      <c r="D66" s="53">
        <v>51.39</v>
      </c>
      <c r="E66" s="54">
        <v>0.4</v>
      </c>
      <c r="F66" s="54">
        <v>0.3</v>
      </c>
      <c r="G66" s="54">
        <v>0.3</v>
      </c>
      <c r="H66" s="54">
        <v>0</v>
      </c>
      <c r="I66" s="52">
        <f t="shared" ref="I66:I81" si="2">IF(A66&lt;&gt;0,(B66-(B65-D65))/(A66-A65),"")</f>
        <v>30.349999999999966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26</v>
      </c>
      <c r="B67" s="53">
        <v>292.8</v>
      </c>
      <c r="C67" s="63">
        <v>6</v>
      </c>
      <c r="D67" s="53">
        <v>0</v>
      </c>
      <c r="E67" s="54"/>
      <c r="F67" s="54"/>
      <c r="G67" s="54"/>
      <c r="H67" s="54"/>
      <c r="I67" s="52">
        <f t="shared" si="2"/>
        <v>27.550000000000011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28</v>
      </c>
      <c r="B68" s="53">
        <v>350.06</v>
      </c>
      <c r="C68" s="63">
        <v>7</v>
      </c>
      <c r="D68" s="53">
        <v>0</v>
      </c>
      <c r="E68" s="54"/>
      <c r="F68" s="54"/>
      <c r="G68" s="54"/>
      <c r="H68" s="54"/>
      <c r="I68" s="52">
        <f t="shared" si="2"/>
        <v>28.629999999999995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30</v>
      </c>
      <c r="B69" s="53">
        <v>410.56</v>
      </c>
      <c r="C69" s="63">
        <v>8</v>
      </c>
      <c r="D69" s="53">
        <v>80.97</v>
      </c>
      <c r="E69" s="54">
        <v>0.5</v>
      </c>
      <c r="F69" s="54">
        <v>0.3</v>
      </c>
      <c r="G69" s="54">
        <v>0.2</v>
      </c>
      <c r="H69" s="54">
        <v>0</v>
      </c>
      <c r="I69" s="52">
        <f t="shared" si="2"/>
        <v>30.25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32</v>
      </c>
      <c r="B70" s="53">
        <v>384.47</v>
      </c>
      <c r="C70" s="63">
        <v>9</v>
      </c>
      <c r="D70" s="53">
        <v>0</v>
      </c>
      <c r="E70" s="54"/>
      <c r="F70" s="54"/>
      <c r="G70" s="54"/>
      <c r="H70" s="54"/>
      <c r="I70" s="52">
        <f t="shared" si="2"/>
        <v>27.439999999999998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34</v>
      </c>
      <c r="B71" s="53">
        <v>441.87</v>
      </c>
      <c r="C71" s="63">
        <v>10</v>
      </c>
      <c r="D71" s="53">
        <v>0</v>
      </c>
      <c r="E71" s="54"/>
      <c r="F71" s="54"/>
      <c r="G71" s="54"/>
      <c r="H71" s="54"/>
      <c r="I71" s="52">
        <f t="shared" si="2"/>
        <v>28.699999999999989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36</v>
      </c>
      <c r="B72" s="53">
        <v>501.41</v>
      </c>
      <c r="C72" s="63">
        <v>11</v>
      </c>
      <c r="D72" s="53">
        <v>85.88</v>
      </c>
      <c r="E72" s="54"/>
      <c r="F72" s="54"/>
      <c r="G72" s="54"/>
      <c r="H72" s="54"/>
      <c r="I72" s="52">
        <f t="shared" si="2"/>
        <v>29.77000000000001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38</v>
      </c>
      <c r="B73" s="53">
        <v>470</v>
      </c>
      <c r="C73" s="63">
        <v>12</v>
      </c>
      <c r="D73" s="53">
        <v>0</v>
      </c>
      <c r="E73" s="54"/>
      <c r="F73" s="54"/>
      <c r="G73" s="54"/>
      <c r="H73" s="54"/>
      <c r="I73" s="52">
        <f t="shared" si="2"/>
        <v>27.234999999999985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40</v>
      </c>
      <c r="B74" s="53">
        <v>526.19000000000005</v>
      </c>
      <c r="C74" s="63">
        <v>13</v>
      </c>
      <c r="D74" s="53">
        <v>0</v>
      </c>
      <c r="E74" s="54"/>
      <c r="F74" s="54"/>
      <c r="G74" s="54"/>
      <c r="H74" s="54"/>
      <c r="I74" s="52">
        <f t="shared" si="2"/>
        <v>28.095000000000027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42</v>
      </c>
      <c r="B75" s="53">
        <v>583.89</v>
      </c>
      <c r="C75" s="63">
        <v>14</v>
      </c>
      <c r="D75" s="53">
        <v>91.25</v>
      </c>
      <c r="E75" s="54"/>
      <c r="F75" s="54"/>
      <c r="G75" s="54"/>
      <c r="H75" s="54"/>
      <c r="I75" s="52">
        <f t="shared" si="2"/>
        <v>28.849999999999966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44</v>
      </c>
      <c r="B76" s="53">
        <v>545.63</v>
      </c>
      <c r="C76" s="63">
        <v>15</v>
      </c>
      <c r="D76" s="53">
        <v>0</v>
      </c>
      <c r="E76" s="54"/>
      <c r="F76" s="54"/>
      <c r="G76" s="54"/>
      <c r="H76" s="54"/>
      <c r="I76" s="52">
        <f t="shared" si="2"/>
        <v>26.495000000000005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46</v>
      </c>
      <c r="B77" s="53">
        <v>599.79999999999995</v>
      </c>
      <c r="C77" s="63">
        <v>16</v>
      </c>
      <c r="D77" s="53">
        <v>0</v>
      </c>
      <c r="E77" s="54"/>
      <c r="F77" s="54"/>
      <c r="G77" s="54"/>
      <c r="H77" s="54"/>
      <c r="I77" s="52">
        <f t="shared" si="2"/>
        <v>27.08499999999998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48</v>
      </c>
      <c r="B78" s="53">
        <v>655.04999999999995</v>
      </c>
      <c r="C78" s="63">
        <v>17</v>
      </c>
      <c r="D78" s="53">
        <v>101.34</v>
      </c>
      <c r="E78" s="54"/>
      <c r="F78" s="54"/>
      <c r="G78" s="54"/>
      <c r="H78" s="54"/>
      <c r="I78" s="52">
        <f t="shared" si="2"/>
        <v>27.625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50</v>
      </c>
      <c r="B79" s="53">
        <v>604.12</v>
      </c>
      <c r="C79" s="63">
        <v>18</v>
      </c>
      <c r="D79" s="53">
        <v>0</v>
      </c>
      <c r="E79" s="54"/>
      <c r="F79" s="54"/>
      <c r="G79" s="54"/>
      <c r="H79" s="54"/>
      <c r="I79" s="52">
        <f t="shared" si="2"/>
        <v>25.205000000000041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52</v>
      </c>
      <c r="B80" s="53">
        <v>655.56</v>
      </c>
      <c r="C80" s="63">
        <v>19</v>
      </c>
      <c r="D80" s="53">
        <v>0</v>
      </c>
      <c r="E80" s="54"/>
      <c r="F80" s="54"/>
      <c r="G80" s="54"/>
      <c r="H80" s="54"/>
      <c r="I80" s="52">
        <f t="shared" si="2"/>
        <v>25.71999999999997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54</v>
      </c>
      <c r="B81" s="53">
        <v>707.75</v>
      </c>
      <c r="C81" s="63">
        <v>20</v>
      </c>
      <c r="D81" s="53">
        <v>707.75</v>
      </c>
      <c r="E81" s="54"/>
      <c r="F81" s="54"/>
      <c r="G81" s="54"/>
      <c r="H81" s="54"/>
      <c r="I81" s="52">
        <f t="shared" si="2"/>
        <v>26.095000000000027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54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>
        <v>0.3</v>
      </c>
      <c r="G89" s="54">
        <v>0.7</v>
      </c>
      <c r="H89" s="54"/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54"/>
      <c r="F90" s="54">
        <v>0.5</v>
      </c>
      <c r="G90" s="54">
        <v>0.5</v>
      </c>
      <c r="H90" s="54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>
        <v>0.3</v>
      </c>
      <c r="G115" s="54">
        <v>0.7</v>
      </c>
      <c r="H115" s="54"/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>
        <v>0.5</v>
      </c>
      <c r="G116" s="54">
        <v>0.5</v>
      </c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Tilleul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3">
        <v>73</v>
      </c>
      <c r="C140" s="5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3">
        <v>103</v>
      </c>
      <c r="C141" s="53">
        <v>2</v>
      </c>
      <c r="D141" s="63">
        <v>28</v>
      </c>
      <c r="E141" s="54"/>
      <c r="F141" s="54">
        <v>0.3</v>
      </c>
      <c r="G141" s="54">
        <v>0.7</v>
      </c>
      <c r="H141" s="54"/>
      <c r="I141" s="60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3">
        <v>121</v>
      </c>
      <c r="C142" s="53">
        <v>3</v>
      </c>
      <c r="D142" s="63">
        <v>28</v>
      </c>
      <c r="E142" s="54"/>
      <c r="F142" s="54">
        <v>0.5</v>
      </c>
      <c r="G142" s="54">
        <v>0.5</v>
      </c>
      <c r="H142" s="54"/>
      <c r="I142" s="60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3">
        <v>147</v>
      </c>
      <c r="C143" s="53">
        <v>4</v>
      </c>
      <c r="D143" s="63">
        <v>28</v>
      </c>
      <c r="E143" s="54"/>
      <c r="F143" s="54"/>
      <c r="G143" s="54"/>
      <c r="H143" s="54"/>
      <c r="I143" s="60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3">
        <v>175</v>
      </c>
      <c r="C144" s="53">
        <v>5</v>
      </c>
      <c r="D144" s="63">
        <v>28</v>
      </c>
      <c r="E144" s="54"/>
      <c r="F144" s="54"/>
      <c r="G144" s="54"/>
      <c r="H144" s="54"/>
      <c r="I144" s="60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3">
        <v>204</v>
      </c>
      <c r="C145" s="53">
        <v>6</v>
      </c>
      <c r="D145" s="63">
        <v>28</v>
      </c>
      <c r="E145" s="54"/>
      <c r="F145" s="54"/>
      <c r="G145" s="54"/>
      <c r="H145" s="54"/>
      <c r="I145" s="60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3">
        <v>231</v>
      </c>
      <c r="C146" s="53">
        <v>7</v>
      </c>
      <c r="D146" s="63">
        <v>28</v>
      </c>
      <c r="E146" s="54"/>
      <c r="F146" s="54"/>
      <c r="G146" s="54"/>
      <c r="H146" s="54"/>
      <c r="I146" s="60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3">
        <v>254</v>
      </c>
      <c r="C147" s="53">
        <v>8</v>
      </c>
      <c r="D147" s="63">
        <v>28</v>
      </c>
      <c r="E147" s="54"/>
      <c r="F147" s="54"/>
      <c r="G147" s="54"/>
      <c r="H147" s="54"/>
      <c r="I147" s="60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63">
        <v>273</v>
      </c>
      <c r="C148" s="53">
        <v>9</v>
      </c>
      <c r="D148" s="63">
        <v>28</v>
      </c>
      <c r="E148" s="54"/>
      <c r="F148" s="54"/>
      <c r="G148" s="54"/>
      <c r="H148" s="54"/>
      <c r="I148" s="60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63">
        <v>289</v>
      </c>
      <c r="C149" s="53">
        <v>10</v>
      </c>
      <c r="D149" s="63">
        <v>28</v>
      </c>
      <c r="E149" s="54"/>
      <c r="F149" s="54"/>
      <c r="G149" s="54"/>
      <c r="H149" s="54"/>
      <c r="I149" s="60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63">
        <v>302</v>
      </c>
      <c r="C150" s="53">
        <v>11</v>
      </c>
      <c r="D150" s="63">
        <v>28</v>
      </c>
      <c r="E150" s="54"/>
      <c r="F150" s="54"/>
      <c r="G150" s="54"/>
      <c r="H150" s="54"/>
      <c r="I150" s="60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63">
        <v>312</v>
      </c>
      <c r="C151" s="53">
        <v>12</v>
      </c>
      <c r="D151" s="63">
        <v>28</v>
      </c>
      <c r="E151" s="54"/>
      <c r="F151" s="54"/>
      <c r="G151" s="54"/>
      <c r="H151" s="54"/>
      <c r="I151" s="60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63">
        <v>320</v>
      </c>
      <c r="C152" s="53">
        <v>13</v>
      </c>
      <c r="D152" s="63">
        <v>28</v>
      </c>
      <c r="E152" s="57"/>
      <c r="F152" s="57"/>
      <c r="G152" s="57"/>
      <c r="H152" s="57"/>
      <c r="I152" s="60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85</v>
      </c>
      <c r="B153" s="63">
        <v>326</v>
      </c>
      <c r="C153" s="53">
        <v>14</v>
      </c>
      <c r="D153" s="63">
        <v>28</v>
      </c>
      <c r="E153" s="57"/>
      <c r="F153" s="57"/>
      <c r="G153" s="57"/>
      <c r="H153" s="57"/>
      <c r="I153" s="60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90</v>
      </c>
      <c r="B154" s="59">
        <v>330</v>
      </c>
      <c r="C154" s="53">
        <v>15</v>
      </c>
      <c r="D154" s="53">
        <v>28</v>
      </c>
      <c r="E154" s="57"/>
      <c r="F154" s="57"/>
      <c r="G154" s="57"/>
      <c r="H154" s="57"/>
      <c r="I154" s="60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95</v>
      </c>
      <c r="B155" s="59">
        <v>332</v>
      </c>
      <c r="C155" s="53">
        <v>16</v>
      </c>
      <c r="D155" s="53">
        <v>28</v>
      </c>
      <c r="E155" s="57"/>
      <c r="F155" s="57"/>
      <c r="G155" s="57"/>
      <c r="H155" s="57"/>
      <c r="I155" s="60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100</v>
      </c>
      <c r="B156" s="59">
        <v>333</v>
      </c>
      <c r="C156" s="53">
        <v>17</v>
      </c>
      <c r="D156" s="53">
        <v>27</v>
      </c>
      <c r="E156" s="57"/>
      <c r="F156" s="57"/>
      <c r="G156" s="57"/>
      <c r="H156" s="57"/>
      <c r="I156" s="60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105</v>
      </c>
      <c r="B157" s="59">
        <v>333</v>
      </c>
      <c r="C157" s="53">
        <v>18</v>
      </c>
      <c r="D157" s="53">
        <v>26</v>
      </c>
      <c r="E157" s="57"/>
      <c r="F157" s="57"/>
      <c r="G157" s="57"/>
      <c r="H157" s="57"/>
      <c r="I157" s="60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110</v>
      </c>
      <c r="B158" s="59">
        <v>332</v>
      </c>
      <c r="C158" s="53">
        <v>19</v>
      </c>
      <c r="D158" s="53">
        <v>25</v>
      </c>
      <c r="E158" s="57"/>
      <c r="F158" s="57"/>
      <c r="G158" s="57"/>
      <c r="H158" s="57"/>
      <c r="I158" s="60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115</v>
      </c>
      <c r="B159" s="59">
        <v>330</v>
      </c>
      <c r="C159" s="53">
        <v>20</v>
      </c>
      <c r="D159" s="61">
        <v>330</v>
      </c>
      <c r="E159" s="57"/>
      <c r="F159" s="57"/>
      <c r="G159" s="57"/>
      <c r="H159" s="57"/>
      <c r="I159" s="60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rouge d'Amérique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Douglas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Chêne sessile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>Alisier torminal</v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>Tilleul</v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321.62968871874483</v>
      </c>
      <c r="T3" s="62">
        <f>IF('Données projet'!E9&gt;30,$R$33-$H$33,LOOKUP('Données projet'!$E$9,$A$3:$A$203,R3:R203)-LOOKUP('Données projet'!$E$9,$A$3:$A$203,$H$3:$H$203))</f>
        <v>389.91636841473559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405.09126081846171</v>
      </c>
      <c r="AO3" s="62">
        <f>IF('Données projet'!E10&gt;30,$AM$33-$H$33,LOOKUP('Données projet'!$E$10,$A$3:$A$203,AM3:AM203)-LOOKUP('Données projet'!$E$10,$A$3:$A$203,$H$3:$H$203))</f>
        <v>534.22295841722166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439.06700232017681</v>
      </c>
      <c r="BJ3" s="62">
        <f>IF('Données projet'!E11&gt;30,$BH$33-$H$33,LOOKUP('Données projet'!$E$11,$A$3:$A$203,BH3:BH203)-LOOKUP('Données projet'!$E$11,$A$3:$A$203,$H$3:$H$203))</f>
        <v>278.21741231699929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466.4945858005575</v>
      </c>
      <c r="CE3" s="62">
        <f>IF('Données projet'!E12&gt;30,$CC$33-$H$33,LOOKUP('Données projet'!$E$12,$A$3:$A$203,CC3:CC203)-LOOKUP('Données projet'!$E$12,$A$3:$A$203,$H$3:$H$203))</f>
        <v>294.45557293177131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335.83558218229564</v>
      </c>
      <c r="CZ3" s="62">
        <f>IF('Données projet'!E13&gt;30,$CX$33-$H$33,LOOKUP('Données projet'!$E$13,$A$3:$A$203,CX3:CX203)-LOOKUP('Données projet'!$E$13,$A$3:$A$203,$H$3:$H$203))</f>
        <v>217.08423061559648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5.8</v>
      </c>
      <c r="N4" s="14">
        <f>IF('Données projet'!$A$36&gt;35,N3+M4-V3,IF(A4&lt;'Données projet'!$A$36,$K$205^A4,IF(A4='Données projet'!$A$36,'Données projet'!$B$36,N3+M4-V3)))</f>
        <v>1.3467943429205997</v>
      </c>
      <c r="O4" s="14">
        <f>N4*VLOOKUP('Données projet'!$B$9,Paramètres!$A$1:$I$89,3,0)*VLOOKUP('Données projet'!$B$9,Paramètres!$A$1:$I$89,5,0)</f>
        <v>1.1765595379754361</v>
      </c>
      <c r="P4" s="14">
        <f>EXP(-1.0587+0.8836*LN(O4)+0.284)</f>
        <v>0.53204273185561757</v>
      </c>
      <c r="Q4" s="22">
        <f t="shared" ref="Q4:Q34" si="2">(O4+P4)*0.475*44/12</f>
        <v>2.9758156199557515</v>
      </c>
      <c r="R4" s="62">
        <f t="shared" si="0"/>
        <v>260.86470450884462</v>
      </c>
      <c r="S4" s="62">
        <f ca="1">AVERAGE(OFFSET($R$3,0,0,'Données projet'!$E$9+1,1))-AVERAGE(OFFSET($H$3,0,0,'Données projet'!$E$9+1,1))</f>
        <v>321.62968871874483</v>
      </c>
      <c r="T4" s="62">
        <f>$T$3</f>
        <v>389.91636841473559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10.163529411764706</v>
      </c>
      <c r="AI4" s="14">
        <f>IF('Données projet'!$A$62&gt;35,AI3+AH4-AQ3,IF(A4&lt;'Données projet'!$A$62,$AF$205^A4,IF(A4='Données projet'!$A$62,'Données projet'!$B$62,AI3+AH4-AQ3)))</f>
        <v>1.3539956307764309</v>
      </c>
      <c r="AJ4" s="14">
        <f>AI4*VLOOKUP('Données projet'!$B$10,Paramètres!$A$1:$I$89,3,0)*VLOOKUP('Données projet'!$B$10,Paramètres!$A$1:$I$89,5,0)</f>
        <v>0.75688355760402493</v>
      </c>
      <c r="AK4" s="14">
        <f>EXP(-1.0587+0.8836*LN(AJ4)+0.284)</f>
        <v>0.36029824926500498</v>
      </c>
      <c r="AL4" s="22">
        <f t="shared" ref="AL4:AL67" si="4">(AJ4+AK4)*0.475*44/12</f>
        <v>1.945758313630227</v>
      </c>
      <c r="AM4" s="62">
        <f t="shared" ref="AM4:AM67" si="5">AL4+(AD4+AE4)*44/12</f>
        <v>259.83464720251908</v>
      </c>
      <c r="AN4" s="62">
        <f ca="1">AVERAGE(OFFSET($AM$3,0,0,'Données projet'!$E$10+1,1))-AVERAGE(OFFSET($H$3,0,0,'Données projet'!$E$10+1,1))</f>
        <v>405.09126081846171</v>
      </c>
      <c r="AO4" s="62">
        <f>$AO$3</f>
        <v>534.22295841722166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260.72987866106189</v>
      </c>
      <c r="BI4" s="62">
        <f ca="1">AVERAGE(OFFSET($BH$3,0,0,'Données projet'!$E$11+1,1))-AVERAGE(OFFSET($H$3,0,0,'Données projet'!$E$11+1,1))</f>
        <v>439.06700232017681</v>
      </c>
      <c r="BJ4" s="62">
        <f>$BJ$3</f>
        <v>278.21741231699929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1.1986225139154763</v>
      </c>
      <c r="CA4" s="14">
        <f>EXP(-1.0587+0.8836*LN(BZ4)+0.284)</f>
        <v>0.54084878793982472</v>
      </c>
      <c r="CB4" s="22">
        <f t="shared" ref="CB4:CB67" si="10">(BZ4+CA4)*0.475*44/12</f>
        <v>3.0295791840646493</v>
      </c>
      <c r="CC4" s="62">
        <f t="shared" ref="CC4:CC67" si="11">CB4+(BT4+BU4)*44/12</f>
        <v>260.91846807295349</v>
      </c>
      <c r="CD4" s="62">
        <f ca="1">AVERAGE(OFFSET($CC$3,0,0,'Données projet'!$E$12+1,1))-AVERAGE(OFFSET($H$3,0,0,'Données projet'!$E$12+1,1))</f>
        <v>466.4945858005575</v>
      </c>
      <c r="CE4" s="62">
        <f>$CE$3</f>
        <v>294.45557293177131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0.83130271126395927</v>
      </c>
      <c r="CV4" s="14">
        <f>EXP(-1.0587+0.8836*LN(CU4)+0.284)</f>
        <v>0.39142746146383206</v>
      </c>
      <c r="CW4" s="22">
        <f t="shared" ref="CW4:CW67" si="13">(CU4+CV4)*0.475*44/12</f>
        <v>2.1295883841675698</v>
      </c>
      <c r="CX4" s="62">
        <f t="shared" ref="CX4:CX67" si="14">CW4+(CO4+CP4)*44/12</f>
        <v>260.01847727305642</v>
      </c>
      <c r="CY4" s="62">
        <f ca="1">AVERAGE(OFFSET($CX$3,0,0,'Données projet'!$E$13+1,1))-AVERAGE(OFFSET($H$3,0,0,'Données projet'!$E$13+1,1))</f>
        <v>335.83558218229564</v>
      </c>
      <c r="CZ4" s="62">
        <f>$CZ$3</f>
        <v>217.08423061559648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5.8</v>
      </c>
      <c r="N5" s="14">
        <f>IF('Données projet'!$A$36&gt;35,N4+M5-V4,IF(A5&lt;'Données projet'!$A$36,$K$205^A5,IF(A5='Données projet'!$A$36,'Données projet'!$B$36,N4+M5-V4)))</f>
        <v>1.81385500212293</v>
      </c>
      <c r="O5" s="14">
        <f>N5*VLOOKUP('Données projet'!$B$9,Paramètres!$A$1:$I$89,3,0)*VLOOKUP('Données projet'!$B$9,Paramètres!$A$1:$I$89,5,0)</f>
        <v>1.5845837298545919</v>
      </c>
      <c r="P5" s="14">
        <f t="shared" ref="P5:P68" si="33">EXP(-1.0587+0.8836*LN(O5)+0.284)</f>
        <v>0.69214506839939893</v>
      </c>
      <c r="Q5" s="22">
        <f t="shared" si="2"/>
        <v>3.9653026569590337</v>
      </c>
      <c r="R5" s="62">
        <f t="shared" si="0"/>
        <v>263.07641376807015</v>
      </c>
      <c r="S5" s="62">
        <f ca="1">AVERAGE(OFFSET($R$3,0,0,'Données projet'!$E$9+1,1))-AVERAGE(OFFSET($H$3,0,0,'Données projet'!$E$9+1,1))</f>
        <v>321.62968871874483</v>
      </c>
      <c r="T5" s="62">
        <f t="shared" ref="T5:T68" si="34">$T$3</f>
        <v>389.91636841473559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10.163529411764706</v>
      </c>
      <c r="AI5" s="14">
        <f>IF('Données projet'!$A$62&gt;35,AI4+AH5-AQ4,IF(A5&lt;'Données projet'!$A$62,$AF$205^A5,IF(A5='Données projet'!$A$62,'Données projet'!$B$62,AI4+AH5-AQ4)))</f>
        <v>1.8333041681616651</v>
      </c>
      <c r="AJ5" s="14">
        <f>AI5*VLOOKUP('Données projet'!$B$10,Paramètres!$A$1:$I$89,3,0)*VLOOKUP('Données projet'!$B$10,Paramètres!$A$1:$I$89,5,0)</f>
        <v>1.0248170300023709</v>
      </c>
      <c r="AK5" s="14">
        <f t="shared" ref="AK5:AK68" si="35">EXP(-1.0587+0.8836*LN(AJ5)+0.284)</f>
        <v>0.47093304471840119</v>
      </c>
      <c r="AL5" s="22">
        <f t="shared" si="4"/>
        <v>2.6050980468053448</v>
      </c>
      <c r="AM5" s="62">
        <f t="shared" si="5"/>
        <v>261.71620915791647</v>
      </c>
      <c r="AN5" s="62">
        <f ca="1">AVERAGE(OFFSET($AM$3,0,0,'Données projet'!$E$10+1,1))-AVERAGE(OFFSET($H$3,0,0,'Données projet'!$E$10+1,1))</f>
        <v>405.09126081846171</v>
      </c>
      <c r="AO5" s="62">
        <f t="shared" ref="AO5:AO68" si="36">$AO$3</f>
        <v>534.22295841722166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262.60472488787678</v>
      </c>
      <c r="BI5" s="62">
        <f ca="1">AVERAGE(OFFSET($BH$3,0,0,'Données projet'!$E$11+1,1))-AVERAGE(OFFSET($H$3,0,0,'Données projet'!$E$11+1,1))</f>
        <v>439.06700232017681</v>
      </c>
      <c r="BJ5" s="62">
        <f t="shared" ref="BJ5:BJ68" si="38">$BJ$3</f>
        <v>278.21741231699929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1.4854176290995202</v>
      </c>
      <c r="CA5" s="14">
        <f t="shared" ref="CA5:CA68" si="39">EXP(-1.0587+0.8836*LN(BZ5)+0.284)</f>
        <v>0.65372856897250708</v>
      </c>
      <c r="CB5" s="22">
        <f t="shared" si="10"/>
        <v>3.725679628308781</v>
      </c>
      <c r="CC5" s="62">
        <f t="shared" si="11"/>
        <v>262.83679073941994</v>
      </c>
      <c r="CD5" s="62">
        <f ca="1">AVERAGE(OFFSET($CC$3,0,0,'Données projet'!$E$12+1,1))-AVERAGE(OFFSET($H$3,0,0,'Données projet'!$E$12+1,1))</f>
        <v>466.4945858005575</v>
      </c>
      <c r="CE5" s="62">
        <f t="shared" ref="CE5:CE68" si="40">$CE$3</f>
        <v>294.45557293177131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1.0302090008270866</v>
      </c>
      <c r="CV5" s="14">
        <f t="shared" ref="CV5:CV68" si="41">EXP(-1.0587+0.8836*LN(CU5)+0.284)</f>
        <v>0.47312173003845642</v>
      </c>
      <c r="CW5" s="22">
        <f t="shared" si="13"/>
        <v>2.6183010229241539</v>
      </c>
      <c r="CX5" s="62">
        <f t="shared" si="14"/>
        <v>261.72941213403527</v>
      </c>
      <c r="CY5" s="62">
        <f ca="1">AVERAGE(OFFSET($CX$3,0,0,'Données projet'!$E$13+1,1))-AVERAGE(OFFSET($H$3,0,0,'Données projet'!$E$13+1,1))</f>
        <v>335.83558218229564</v>
      </c>
      <c r="CZ5" s="62">
        <f t="shared" ref="CZ5:CZ68" si="42">$CZ$3</f>
        <v>217.08423061559648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5.8</v>
      </c>
      <c r="N6" s="14">
        <f>IF('Données projet'!$A$36&gt;35,N5+M6-V5,IF(A6&lt;'Données projet'!$A$36,$K$205^A6,IF(A6='Données projet'!$A$36,'Données projet'!$B$36,N5+M6-V5)))</f>
        <v>2.4428896557373947</v>
      </c>
      <c r="O6" s="14">
        <f>N6*VLOOKUP('Données projet'!$B$9,Paramètres!$A$1:$I$89,3,0)*VLOOKUP('Données projet'!$B$9,Paramètres!$A$1:$I$89,5,0)</f>
        <v>2.1341084032521884</v>
      </c>
      <c r="P6" s="14">
        <f t="shared" si="33"/>
        <v>0.90042541139273424</v>
      </c>
      <c r="Q6" s="22">
        <f t="shared" si="2"/>
        <v>5.2851463938399075</v>
      </c>
      <c r="R6" s="62">
        <f t="shared" si="0"/>
        <v>265.61847972717322</v>
      </c>
      <c r="S6" s="62">
        <f ca="1">AVERAGE(OFFSET($R$3,0,0,'Données projet'!$E$9+1,1))-AVERAGE(OFFSET($H$3,0,0,'Données projet'!$E$9+1,1))</f>
        <v>321.62968871874483</v>
      </c>
      <c r="T6" s="62">
        <f t="shared" si="34"/>
        <v>389.91636841473559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10.163529411764706</v>
      </c>
      <c r="AI6" s="14">
        <f>IF('Données projet'!$A$62&gt;35,AI5+AH6-AQ5,IF(A6&lt;'Données projet'!$A$62,$AF$205^A6,IF(A6='Données projet'!$A$62,'Données projet'!$B$62,AI5+AH6-AQ5)))</f>
        <v>2.4822858335751139</v>
      </c>
      <c r="AJ6" s="14">
        <f>AI6*VLOOKUP('Données projet'!$B$10,Paramètres!$A$1:$I$89,3,0)*VLOOKUP('Données projet'!$B$10,Paramètres!$A$1:$I$89,5,0)</f>
        <v>1.3875977809684887</v>
      </c>
      <c r="AK6" s="14">
        <f t="shared" si="35"/>
        <v>0.61553985638332231</v>
      </c>
      <c r="AL6" s="22">
        <f t="shared" si="4"/>
        <v>3.4887980517210706</v>
      </c>
      <c r="AM6" s="62">
        <f t="shared" si="5"/>
        <v>263.82213138505438</v>
      </c>
      <c r="AN6" s="62">
        <f ca="1">AVERAGE(OFFSET($AM$3,0,0,'Données projet'!$E$10+1,1))-AVERAGE(OFFSET($H$3,0,0,'Données projet'!$E$10+1,1))</f>
        <v>405.09126081846171</v>
      </c>
      <c r="AO6" s="62">
        <f t="shared" si="36"/>
        <v>534.22295841722166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264.63006022433916</v>
      </c>
      <c r="BI6" s="62">
        <f ca="1">AVERAGE(OFFSET($BH$3,0,0,'Données projet'!$E$11+1,1))-AVERAGE(OFFSET($H$3,0,0,'Données projet'!$E$11+1,1))</f>
        <v>439.06700232017681</v>
      </c>
      <c r="BJ6" s="62">
        <f t="shared" si="38"/>
        <v>278.21741231699929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1.8408343804855598</v>
      </c>
      <c r="CA6" s="14">
        <f t="shared" si="39"/>
        <v>0.79016732850363813</v>
      </c>
      <c r="CB6" s="22">
        <f t="shared" si="10"/>
        <v>4.5823279764895188</v>
      </c>
      <c r="CC6" s="62">
        <f t="shared" si="11"/>
        <v>264.91566130982284</v>
      </c>
      <c r="CD6" s="62">
        <f ca="1">AVERAGE(OFFSET($CC$3,0,0,'Données projet'!$E$12+1,1))-AVERAGE(OFFSET($H$3,0,0,'Données projet'!$E$12+1,1))</f>
        <v>466.4945858005575</v>
      </c>
      <c r="CE6" s="62">
        <f t="shared" si="40"/>
        <v>294.45557293177131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1.2767077154980495</v>
      </c>
      <c r="CV6" s="14">
        <f t="shared" si="41"/>
        <v>0.57186629317592041</v>
      </c>
      <c r="CW6" s="22">
        <f t="shared" si="13"/>
        <v>3.219599731773831</v>
      </c>
      <c r="CX6" s="62">
        <f t="shared" si="14"/>
        <v>263.55293306510714</v>
      </c>
      <c r="CY6" s="62">
        <f ca="1">AVERAGE(OFFSET($CX$3,0,0,'Données projet'!$E$13+1,1))-AVERAGE(OFFSET($H$3,0,0,'Données projet'!$E$13+1,1))</f>
        <v>335.83558218229564</v>
      </c>
      <c r="CZ6" s="62">
        <f t="shared" si="42"/>
        <v>217.08423061559648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5.8</v>
      </c>
      <c r="N7" s="14">
        <f>IF('Données projet'!$A$36&gt;35,N6+M7-V6,IF(A7&lt;'Données projet'!$A$36,$K$205^A7,IF(A7='Données projet'!$A$36,'Données projet'!$B$36,N6+M7-V6)))</f>
        <v>3.2900699687263746</v>
      </c>
      <c r="O7" s="14">
        <f>N7*VLOOKUP('Données projet'!$B$9,Paramètres!$A$1:$I$89,3,0)*VLOOKUP('Données projet'!$B$9,Paramètres!$A$1:$I$89,5,0)</f>
        <v>2.874205124679361</v>
      </c>
      <c r="P7" s="14">
        <f t="shared" si="33"/>
        <v>1.1713814899478936</v>
      </c>
      <c r="Q7" s="22">
        <f t="shared" si="2"/>
        <v>7.0460633538091342</v>
      </c>
      <c r="R7" s="62">
        <f t="shared" si="0"/>
        <v>268.60161890936467</v>
      </c>
      <c r="S7" s="62">
        <f ca="1">AVERAGE(OFFSET($R$3,0,0,'Données projet'!$E$9+1,1))-AVERAGE(OFFSET($H$3,0,0,'Données projet'!$E$9+1,1))</f>
        <v>321.62968871874483</v>
      </c>
      <c r="T7" s="62">
        <f t="shared" si="34"/>
        <v>389.91636841473559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10.163529411764706</v>
      </c>
      <c r="AI7" s="14">
        <f>IF('Données projet'!$A$62&gt;35,AI6+AH7-AQ6,IF(A7&lt;'Données projet'!$A$62,$AF$205^A7,IF(A7='Données projet'!$A$62,'Données projet'!$B$62,AI6+AH7-AQ6)))</f>
        <v>3.3610041729989346</v>
      </c>
      <c r="AJ7" s="14">
        <f>AI7*VLOOKUP('Données projet'!$B$10,Paramètres!$A$1:$I$89,3,0)*VLOOKUP('Données projet'!$B$10,Paramètres!$A$1:$I$89,5,0)</f>
        <v>1.8788013327064044</v>
      </c>
      <c r="AK7" s="14">
        <f t="shared" si="35"/>
        <v>0.80455028383697591</v>
      </c>
      <c r="AL7" s="22">
        <f t="shared" si="4"/>
        <v>4.6735040654797206</v>
      </c>
      <c r="AM7" s="62">
        <f t="shared" si="5"/>
        <v>266.22905962103528</v>
      </c>
      <c r="AN7" s="62">
        <f ca="1">AVERAGE(OFFSET($AM$3,0,0,'Données projet'!$E$10+1,1))-AVERAGE(OFFSET($H$3,0,0,'Données projet'!$E$10+1,1))</f>
        <v>405.09126081846171</v>
      </c>
      <c r="AO7" s="62">
        <f t="shared" si="36"/>
        <v>534.22295841722166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266.84071003350698</v>
      </c>
      <c r="BI7" s="62">
        <f ca="1">AVERAGE(OFFSET($BH$3,0,0,'Données projet'!$E$11+1,1))-AVERAGE(OFFSET($H$3,0,0,'Données projet'!$E$11+1,1))</f>
        <v>439.06700232017681</v>
      </c>
      <c r="BJ7" s="62">
        <f t="shared" si="38"/>
        <v>278.21741231699929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2.2812919074024398</v>
      </c>
      <c r="CA7" s="14">
        <f t="shared" si="39"/>
        <v>0.95508202741684722</v>
      </c>
      <c r="CB7" s="22">
        <f t="shared" si="10"/>
        <v>5.6366846031435918</v>
      </c>
      <c r="CC7" s="62">
        <f t="shared" si="11"/>
        <v>267.19224015869912</v>
      </c>
      <c r="CD7" s="62">
        <f ca="1">AVERAGE(OFFSET($CC$3,0,0,'Données projet'!$E$12+1,1))-AVERAGE(OFFSET($H$3,0,0,'Données projet'!$E$12+1,1))</f>
        <v>466.4945858005575</v>
      </c>
      <c r="CE7" s="62">
        <f t="shared" si="40"/>
        <v>294.45557293177131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1.5821863228758857</v>
      </c>
      <c r="CV7" s="14">
        <f t="shared" si="41"/>
        <v>0.69121969359595015</v>
      </c>
      <c r="CW7" s="22">
        <f t="shared" si="13"/>
        <v>3.9595154786884472</v>
      </c>
      <c r="CX7" s="62">
        <f t="shared" si="14"/>
        <v>265.51507103424399</v>
      </c>
      <c r="CY7" s="62">
        <f ca="1">AVERAGE(OFFSET($CX$3,0,0,'Données projet'!$E$13+1,1))-AVERAGE(OFFSET($H$3,0,0,'Données projet'!$E$13+1,1))</f>
        <v>335.83558218229564</v>
      </c>
      <c r="CZ7" s="62">
        <f t="shared" si="42"/>
        <v>217.08423061559648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5.8</v>
      </c>
      <c r="N8" s="14">
        <f>IF('Données projet'!$A$36&gt;35,N7+M8-V7,IF(A8&lt;'Données projet'!$A$36,$K$205^A8,IF(A8='Données projet'!$A$36,'Données projet'!$B$36,N7+M8-V7)))</f>
        <v>4.4310476216936356</v>
      </c>
      <c r="O8" s="14">
        <f>N8*VLOOKUP('Données projet'!$B$9,Paramètres!$A$1:$I$89,3,0)*VLOOKUP('Données projet'!$B$9,Paramètres!$A$1:$I$89,5,0)</f>
        <v>3.8709632023115605</v>
      </c>
      <c r="P8" s="14">
        <f t="shared" si="33"/>
        <v>1.5238736908481918</v>
      </c>
      <c r="Q8" s="22">
        <f t="shared" si="2"/>
        <v>9.3960075889199022</v>
      </c>
      <c r="R8" s="62">
        <f t="shared" si="0"/>
        <v>272.1737853666977</v>
      </c>
      <c r="S8" s="62">
        <f ca="1">AVERAGE(OFFSET($R$3,0,0,'Données projet'!$E$9+1,1))-AVERAGE(OFFSET($H$3,0,0,'Données projet'!$E$9+1,1))</f>
        <v>321.62968871874483</v>
      </c>
      <c r="T8" s="62">
        <f t="shared" si="34"/>
        <v>389.91636841473559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10.163529411764706</v>
      </c>
      <c r="AI8" s="14">
        <f>IF('Données projet'!$A$62&gt;35,AI7+AH8-AQ7,IF(A8&lt;'Données projet'!$A$62,$AF$205^A8,IF(A8='Données projet'!$A$62,'Données projet'!$B$62,AI7+AH8-AQ7)))</f>
        <v>4.5507849652619088</v>
      </c>
      <c r="AJ8" s="14">
        <f>AI8*VLOOKUP('Données projet'!$B$10,Paramètres!$A$1:$I$89,3,0)*VLOOKUP('Données projet'!$B$10,Paramètres!$A$1:$I$89,5,0)</f>
        <v>2.5438887955814073</v>
      </c>
      <c r="AK8" s="14">
        <f t="shared" si="35"/>
        <v>1.0515991003823111</v>
      </c>
      <c r="AL8" s="22">
        <f t="shared" si="4"/>
        <v>6.2621414188034761</v>
      </c>
      <c r="AM8" s="62">
        <f t="shared" si="5"/>
        <v>269.03991919658125</v>
      </c>
      <c r="AN8" s="62">
        <f ca="1">AVERAGE(OFFSET($AM$3,0,0,'Données projet'!$E$10+1,1))-AVERAGE(OFFSET($H$3,0,0,'Données projet'!$E$10+1,1))</f>
        <v>405.09126081846171</v>
      </c>
      <c r="AO8" s="62">
        <f t="shared" si="36"/>
        <v>534.22295841722166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269.27958561684324</v>
      </c>
      <c r="BI8" s="62">
        <f ca="1">AVERAGE(OFFSET($BH$3,0,0,'Données projet'!$E$11+1,1))-AVERAGE(OFFSET($H$3,0,0,'Données projet'!$E$11+1,1))</f>
        <v>439.06700232017681</v>
      </c>
      <c r="BJ8" s="62">
        <f t="shared" si="38"/>
        <v>278.21741231699929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2.8271379663210752</v>
      </c>
      <c r="CA8" s="14">
        <f t="shared" si="39"/>
        <v>1.1544158385061292</v>
      </c>
      <c r="CB8" s="22">
        <f t="shared" si="10"/>
        <v>6.9345395434073795</v>
      </c>
      <c r="CC8" s="62">
        <f t="shared" si="11"/>
        <v>269.71231732118514</v>
      </c>
      <c r="CD8" s="62">
        <f ca="1">AVERAGE(OFFSET($CC$3,0,0,'Données projet'!$E$12+1,1))-AVERAGE(OFFSET($H$3,0,0,'Données projet'!$E$12+1,1))</f>
        <v>466.4945858005575</v>
      </c>
      <c r="CE8" s="62">
        <f t="shared" si="40"/>
        <v>294.45557293177131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1.9607569766420361</v>
      </c>
      <c r="CV8" s="14">
        <f t="shared" si="41"/>
        <v>0.83548317240635239</v>
      </c>
      <c r="CW8" s="22">
        <f t="shared" si="13"/>
        <v>4.8701182595926094</v>
      </c>
      <c r="CX8" s="62">
        <f t="shared" si="14"/>
        <v>267.6478960373704</v>
      </c>
      <c r="CY8" s="62">
        <f ca="1">AVERAGE(OFFSET($CX$3,0,0,'Données projet'!$E$13+1,1))-AVERAGE(OFFSET($H$3,0,0,'Données projet'!$E$13+1,1))</f>
        <v>335.83558218229564</v>
      </c>
      <c r="CZ8" s="62">
        <f t="shared" si="42"/>
        <v>217.08423061559648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5.8</v>
      </c>
      <c r="N9" s="14">
        <f>IF('Données projet'!$A$36&gt;35,N8+M9-V8,IF(A9&lt;'Données projet'!$A$36,$K$205^A9,IF(A9='Données projet'!$A$36,'Données projet'!$B$36,N8+M9-V8)))</f>
        <v>5.9677098701087665</v>
      </c>
      <c r="O9" s="14">
        <f>N9*VLOOKUP('Données projet'!$B$9,Paramètres!$A$1:$I$89,3,0)*VLOOKUP('Données projet'!$B$9,Paramètres!$A$1:$I$89,5,0)</f>
        <v>5.2133913425270189</v>
      </c>
      <c r="P9" s="14">
        <f t="shared" si="33"/>
        <v>1.9824378698032765</v>
      </c>
      <c r="Q9" s="22">
        <f t="shared" si="2"/>
        <v>12.53273587814193</v>
      </c>
      <c r="R9" s="62">
        <f t="shared" si="0"/>
        <v>276.53273587814192</v>
      </c>
      <c r="S9" s="62">
        <f ca="1">AVERAGE(OFFSET($R$3,0,0,'Données projet'!$E$9+1,1))-AVERAGE(OFFSET($H$3,0,0,'Données projet'!$E$9+1,1))</f>
        <v>321.62968871874483</v>
      </c>
      <c r="T9" s="62">
        <f t="shared" si="34"/>
        <v>389.91636841473559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10.163529411764706</v>
      </c>
      <c r="AI9" s="14">
        <f>IF('Données projet'!$A$62&gt;35,AI8+AH9-AQ8,IF(A9&lt;'Données projet'!$A$62,$AF$205^A9,IF(A9='Données projet'!$A$62,'Données projet'!$B$62,AI8+AH9-AQ8)))</f>
        <v>6.1617429595676967</v>
      </c>
      <c r="AJ9" s="14">
        <f>AI9*VLOOKUP('Données projet'!$B$10,Paramètres!$A$1:$I$89,3,0)*VLOOKUP('Données projet'!$B$10,Paramètres!$A$1:$I$89,5,0)</f>
        <v>3.4444143143983426</v>
      </c>
      <c r="AK9" s="14">
        <f t="shared" si="35"/>
        <v>1.3745078339304442</v>
      </c>
      <c r="AL9" s="22">
        <f t="shared" si="4"/>
        <v>8.3929560750059693</v>
      </c>
      <c r="AM9" s="62">
        <f t="shared" si="5"/>
        <v>272.39295607500594</v>
      </c>
      <c r="AN9" s="62">
        <f ca="1">AVERAGE(OFFSET($AM$3,0,0,'Données projet'!$E$10+1,1))-AVERAGE(OFFSET($H$3,0,0,'Données projet'!$E$10+1,1))</f>
        <v>405.09126081846171</v>
      </c>
      <c r="AO9" s="62">
        <f t="shared" si="36"/>
        <v>534.22295841722166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271.99956744330279</v>
      </c>
      <c r="BI9" s="62">
        <f ca="1">AVERAGE(OFFSET($BH$3,0,0,'Données projet'!$E$11+1,1))-AVERAGE(OFFSET($H$3,0,0,'Données projet'!$E$11+1,1))</f>
        <v>439.06700232017681</v>
      </c>
      <c r="BJ9" s="62">
        <f t="shared" si="38"/>
        <v>278.21741231699929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3.5035889333929422</v>
      </c>
      <c r="CA9" s="14">
        <f t="shared" si="39"/>
        <v>1.3953523257036018</v>
      </c>
      <c r="CB9" s="22">
        <f t="shared" si="10"/>
        <v>8.5323226929264795</v>
      </c>
      <c r="CC9" s="62">
        <f t="shared" si="11"/>
        <v>272.53232269292647</v>
      </c>
      <c r="CD9" s="62">
        <f ca="1">AVERAGE(OFFSET($CC$3,0,0,'Données projet'!$E$12+1,1))-AVERAGE(OFFSET($H$3,0,0,'Données projet'!$E$12+1,1))</f>
        <v>466.4945858005575</v>
      </c>
      <c r="CE9" s="62">
        <f t="shared" si="40"/>
        <v>294.45557293177131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2.4299084538047828</v>
      </c>
      <c r="CV9" s="14">
        <f t="shared" si="41"/>
        <v>1.0098556766269089</v>
      </c>
      <c r="CW9" s="22">
        <f t="shared" si="13"/>
        <v>5.9909225271685296</v>
      </c>
      <c r="CX9" s="62">
        <f t="shared" si="14"/>
        <v>269.99092252716855</v>
      </c>
      <c r="CY9" s="62">
        <f ca="1">AVERAGE(OFFSET($CX$3,0,0,'Données projet'!$E$13+1,1))-AVERAGE(OFFSET($H$3,0,0,'Données projet'!$E$13+1,1))</f>
        <v>335.83558218229564</v>
      </c>
      <c r="CZ9" s="62">
        <f t="shared" si="42"/>
        <v>217.08423061559648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5.8</v>
      </c>
      <c r="N10" s="14">
        <f>IF('Données projet'!$A$36&gt;35,N9+M10-V9,IF(A10&lt;'Données projet'!$A$36,$K$205^A10,IF(A10='Données projet'!$A$36,'Données projet'!$B$36,N9+M10-V9)))</f>
        <v>8.0372778932539148</v>
      </c>
      <c r="O10" s="14">
        <f>N10*VLOOKUP('Données projet'!$B$9,Paramètres!$A$1:$I$89,3,0)*VLOOKUP('Données projet'!$B$9,Paramètres!$A$1:$I$89,5,0)</f>
        <v>7.0213659675466209</v>
      </c>
      <c r="P10" s="14">
        <f t="shared" si="33"/>
        <v>2.5789932139603198</v>
      </c>
      <c r="Q10" s="22">
        <f t="shared" si="2"/>
        <v>16.72062557445792</v>
      </c>
      <c r="R10" s="62">
        <f t="shared" si="0"/>
        <v>281.94284779668016</v>
      </c>
      <c r="S10" s="62">
        <f ca="1">AVERAGE(OFFSET($R$3,0,0,'Données projet'!$E$9+1,1))-AVERAGE(OFFSET($H$3,0,0,'Données projet'!$E$9+1,1))</f>
        <v>321.62968871874483</v>
      </c>
      <c r="T10" s="62">
        <f t="shared" si="34"/>
        <v>389.91636841473559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10.163529411764706</v>
      </c>
      <c r="AI10" s="14">
        <f>IF('Données projet'!$A$62&gt;35,AI9+AH10-AQ9,IF(A10&lt;'Données projet'!$A$62,$AF$205^A10,IF(A10='Données projet'!$A$62,'Données projet'!$B$62,AI9+AH10-AQ9)))</f>
        <v>8.3429730452220969</v>
      </c>
      <c r="AJ10" s="14">
        <f>AI10*VLOOKUP('Données projet'!$B$10,Paramètres!$A$1:$I$89,3,0)*VLOOKUP('Données projet'!$B$10,Paramètres!$A$1:$I$89,5,0)</f>
        <v>4.6637219322791523</v>
      </c>
      <c r="AK10" s="14">
        <f t="shared" si="35"/>
        <v>1.7965703706377396</v>
      </c>
      <c r="AL10" s="22">
        <f t="shared" si="4"/>
        <v>11.251675760913587</v>
      </c>
      <c r="AM10" s="62">
        <f t="shared" si="5"/>
        <v>276.47389798313583</v>
      </c>
      <c r="AN10" s="62">
        <f ca="1">AVERAGE(OFFSET($AM$3,0,0,'Données projet'!$E$10+1,1))-AVERAGE(OFFSET($H$3,0,0,'Données projet'!$E$10+1,1))</f>
        <v>405.09126081846171</v>
      </c>
      <c r="AO10" s="62">
        <f t="shared" si="36"/>
        <v>534.22295841722166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275.06582823164507</v>
      </c>
      <c r="BI10" s="62">
        <f ca="1">AVERAGE(OFFSET($BH$3,0,0,'Données projet'!$E$11+1,1))-AVERAGE(OFFSET($H$3,0,0,'Données projet'!$E$11+1,1))</f>
        <v>439.06700232017681</v>
      </c>
      <c r="BJ10" s="62">
        <f t="shared" si="38"/>
        <v>278.21741231699929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4.3418947219498456</v>
      </c>
      <c r="CA10" s="14">
        <f t="shared" si="39"/>
        <v>1.6865743243491664</v>
      </c>
      <c r="CB10" s="22">
        <f t="shared" si="10"/>
        <v>10.499583588970779</v>
      </c>
      <c r="CC10" s="62">
        <f t="shared" si="11"/>
        <v>275.72180581119301</v>
      </c>
      <c r="CD10" s="62">
        <f ca="1">AVERAGE(OFFSET($CC$3,0,0,'Données projet'!$E$12+1,1))-AVERAGE(OFFSET($H$3,0,0,'Données projet'!$E$12+1,1))</f>
        <v>466.4945858005575</v>
      </c>
      <c r="CE10" s="62">
        <f t="shared" si="40"/>
        <v>294.45557293177131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3.011314081352312</v>
      </c>
      <c r="CV10" s="14">
        <f t="shared" si="41"/>
        <v>1.2206212181130434</v>
      </c>
      <c r="CW10" s="22">
        <f t="shared" si="13"/>
        <v>7.3706206465688275</v>
      </c>
      <c r="CX10" s="62">
        <f t="shared" si="14"/>
        <v>272.59284286879108</v>
      </c>
      <c r="CY10" s="62">
        <f ca="1">AVERAGE(OFFSET($CX$3,0,0,'Données projet'!$E$13+1,1))-AVERAGE(OFFSET($H$3,0,0,'Données projet'!$E$13+1,1))</f>
        <v>335.83558218229564</v>
      </c>
      <c r="CZ10" s="62">
        <f t="shared" si="42"/>
        <v>217.08423061559648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5.8</v>
      </c>
      <c r="N11" s="14">
        <f>IF('Données projet'!$A$36&gt;35,N10+M11-V10,IF(A11&lt;'Données projet'!$A$36,$K$205^A11,IF(A11='Données projet'!$A$36,'Données projet'!$B$36,N10+M11-V10)))</f>
        <v>10.824560399115168</v>
      </c>
      <c r="O11" s="14">
        <f>N11*VLOOKUP('Données projet'!$B$9,Paramètres!$A$1:$I$89,3,0)*VLOOKUP('Données projet'!$B$9,Paramètres!$A$1:$I$89,5,0)</f>
        <v>9.4563359646670122</v>
      </c>
      <c r="P11" s="14">
        <f t="shared" si="33"/>
        <v>3.3550640345230081</v>
      </c>
      <c r="Q11" s="22">
        <f t="shared" si="2"/>
        <v>22.313188331922618</v>
      </c>
      <c r="R11" s="62">
        <f t="shared" si="0"/>
        <v>288.75763277636707</v>
      </c>
      <c r="S11" s="62">
        <f ca="1">AVERAGE(OFFSET($R$3,0,0,'Données projet'!$E$9+1,1))-AVERAGE(OFFSET($H$3,0,0,'Données projet'!$E$9+1,1))</f>
        <v>321.62968871874483</v>
      </c>
      <c r="T11" s="62">
        <f t="shared" si="34"/>
        <v>389.91636841473559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10.163529411764706</v>
      </c>
      <c r="AI11" s="14">
        <f>IF('Données projet'!$A$62&gt;35,AI10+AH11-AQ10,IF(A11&lt;'Données projet'!$A$62,$AF$205^A11,IF(A11='Données projet'!$A$62,'Données projet'!$B$62,AI10+AH11-AQ10)))</f>
        <v>11.296349050916252</v>
      </c>
      <c r="AJ11" s="14">
        <f>AI11*VLOOKUP('Données projet'!$B$10,Paramètres!$A$1:$I$89,3,0)*VLOOKUP('Données projet'!$B$10,Paramètres!$A$1:$I$89,5,0)</f>
        <v>6.3146591194621848</v>
      </c>
      <c r="AK11" s="14">
        <f t="shared" si="35"/>
        <v>2.3482333217583955</v>
      </c>
      <c r="AL11" s="22">
        <f t="shared" si="4"/>
        <v>15.087871001792513</v>
      </c>
      <c r="AM11" s="62">
        <f t="shared" si="5"/>
        <v>281.53231544623696</v>
      </c>
      <c r="AN11" s="62">
        <f ca="1">AVERAGE(OFFSET($AM$3,0,0,'Données projet'!$E$10+1,1))-AVERAGE(OFFSET($H$3,0,0,'Données projet'!$E$10+1,1))</f>
        <v>405.09126081846171</v>
      </c>
      <c r="AO11" s="62">
        <f t="shared" si="36"/>
        <v>534.22295841722166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278.55869888669031</v>
      </c>
      <c r="BI11" s="62">
        <f ca="1">AVERAGE(OFFSET($BH$3,0,0,'Données projet'!$E$11+1,1))-AVERAGE(OFFSET($H$3,0,0,'Données projet'!$E$11+1,1))</f>
        <v>439.06700232017681</v>
      </c>
      <c r="BJ11" s="62">
        <f t="shared" si="38"/>
        <v>278.21741231699929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5.3807824305002701</v>
      </c>
      <c r="CA11" s="14">
        <f t="shared" si="39"/>
        <v>2.0385768519929188</v>
      </c>
      <c r="CB11" s="22">
        <f t="shared" si="10"/>
        <v>12.922050750342303</v>
      </c>
      <c r="CC11" s="62">
        <f t="shared" si="11"/>
        <v>279.36649519478675</v>
      </c>
      <c r="CD11" s="62">
        <f ca="1">AVERAGE(OFFSET($CC$3,0,0,'Données projet'!$E$12+1,1))-AVERAGE(OFFSET($H$3,0,0,'Données projet'!$E$12+1,1))</f>
        <v>466.4945858005575</v>
      </c>
      <c r="CE11" s="62">
        <f t="shared" si="40"/>
        <v>294.45557293177131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3.7318329759921229</v>
      </c>
      <c r="CV11" s="14">
        <f t="shared" si="41"/>
        <v>1.4753753358938833</v>
      </c>
      <c r="CW11" s="22">
        <f t="shared" si="13"/>
        <v>9.0692211432014602</v>
      </c>
      <c r="CX11" s="62">
        <f t="shared" si="14"/>
        <v>275.5136655876459</v>
      </c>
      <c r="CY11" s="62">
        <f ca="1">AVERAGE(OFFSET($CX$3,0,0,'Données projet'!$E$13+1,1))-AVERAGE(OFFSET($H$3,0,0,'Données projet'!$E$13+1,1))</f>
        <v>335.83558218229564</v>
      </c>
      <c r="CZ11" s="62">
        <f t="shared" si="42"/>
        <v>217.08423061559648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5.8</v>
      </c>
      <c r="N12" s="14">
        <f>IF('Données projet'!$A$36&gt;35,N11+M12-V11,IF(A12&lt;'Données projet'!$A$36,$K$205^A12,IF(A12='Données projet'!$A$36,'Données projet'!$B$36,N11+M12-V11)))</f>
        <v>14.578456710130657</v>
      </c>
      <c r="O12" s="14">
        <f>N12*VLOOKUP('Données projet'!$B$9,Paramètres!$A$1:$I$89,3,0)*VLOOKUP('Données projet'!$B$9,Paramètres!$A$1:$I$89,5,0)</f>
        <v>12.735739781970144</v>
      </c>
      <c r="P12" s="14">
        <f t="shared" si="33"/>
        <v>4.364670141362768</v>
      </c>
      <c r="Q12" s="22">
        <f t="shared" si="2"/>
        <v>29.783213949804821</v>
      </c>
      <c r="R12" s="62">
        <f t="shared" si="0"/>
        <v>297.44988061647149</v>
      </c>
      <c r="S12" s="62">
        <f ca="1">AVERAGE(OFFSET($R$3,0,0,'Données projet'!$E$9+1,1))-AVERAGE(OFFSET($H$3,0,0,'Données projet'!$E$9+1,1))</f>
        <v>321.62968871874483</v>
      </c>
      <c r="T12" s="62">
        <f t="shared" si="34"/>
        <v>389.91636841473559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10.163529411764706</v>
      </c>
      <c r="AI12" s="14">
        <f>IF('Données projet'!$A$62&gt;35,AI11+AH12-AQ11,IF(A12&lt;'Données projet'!$A$62,$AF$205^A12,IF(A12='Données projet'!$A$62,'Données projet'!$B$62,AI11+AH12-AQ11)))</f>
        <v>15.295207258666087</v>
      </c>
      <c r="AJ12" s="14">
        <f>AI12*VLOOKUP('Données projet'!$B$10,Paramètres!$A$1:$I$89,3,0)*VLOOKUP('Données projet'!$B$10,Paramètres!$A$1:$I$89,5,0)</f>
        <v>8.5500208575943439</v>
      </c>
      <c r="AK12" s="14">
        <f t="shared" si="35"/>
        <v>3.0692923714750222</v>
      </c>
      <c r="AL12" s="22">
        <f t="shared" si="4"/>
        <v>20.236970540629144</v>
      </c>
      <c r="AM12" s="62">
        <f t="shared" si="5"/>
        <v>287.90363720729584</v>
      </c>
      <c r="AN12" s="62">
        <f ca="1">AVERAGE(OFFSET($AM$3,0,0,'Données projet'!$E$10+1,1))-AVERAGE(OFFSET($H$3,0,0,'Données projet'!$E$10+1,1))</f>
        <v>405.09126081846171</v>
      </c>
      <c r="AO12" s="62">
        <f t="shared" si="36"/>
        <v>534.22295841722166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282.5772044671009</v>
      </c>
      <c r="BI12" s="62">
        <f ca="1">AVERAGE(OFFSET($BH$3,0,0,'Données projet'!$E$11+1,1))-AVERAGE(OFFSET($H$3,0,0,'Données projet'!$E$11+1,1))</f>
        <v>439.06700232017681</v>
      </c>
      <c r="BJ12" s="62">
        <f t="shared" si="38"/>
        <v>278.21741231699929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6.6682454132324853</v>
      </c>
      <c r="CA12" s="14">
        <f t="shared" si="39"/>
        <v>2.4640453263659414</v>
      </c>
      <c r="CB12" s="22">
        <f t="shared" si="10"/>
        <v>15.905406371467258</v>
      </c>
      <c r="CC12" s="62">
        <f t="shared" si="11"/>
        <v>283.57207303813396</v>
      </c>
      <c r="CD12" s="62">
        <f ca="1">AVERAGE(OFFSET($CC$3,0,0,'Données projet'!$E$12+1,1))-AVERAGE(OFFSET($H$3,0,0,'Données projet'!$E$12+1,1))</f>
        <v>466.4945858005575</v>
      </c>
      <c r="CE12" s="62">
        <f t="shared" si="40"/>
        <v>294.45557293177131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4.6247508511128528</v>
      </c>
      <c r="CV12" s="14">
        <f t="shared" si="41"/>
        <v>1.7832988231426912</v>
      </c>
      <c r="CW12" s="22">
        <f t="shared" si="13"/>
        <v>11.160686515995073</v>
      </c>
      <c r="CX12" s="62">
        <f t="shared" si="14"/>
        <v>278.82735318266174</v>
      </c>
      <c r="CY12" s="62">
        <f ca="1">AVERAGE(OFFSET($CX$3,0,0,'Données projet'!$E$13+1,1))-AVERAGE(OFFSET($H$3,0,0,'Données projet'!$E$13+1,1))</f>
        <v>335.83558218229564</v>
      </c>
      <c r="CZ12" s="62">
        <f t="shared" si="42"/>
        <v>217.08423061559648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5.8</v>
      </c>
      <c r="N13" s="14">
        <f>IF('Données projet'!$A$36&gt;35,N12+M13-V12,IF(A13&lt;'Données projet'!$A$36,$K$205^A13,IF(A13='Données projet'!$A$36,'Données projet'!$B$36,N12+M13-V12)))</f>
        <v>19.634183025716826</v>
      </c>
      <c r="O13" s="14">
        <f>N13*VLOOKUP('Données projet'!$B$9,Paramètres!$A$1:$I$89,3,0)*VLOOKUP('Données projet'!$B$9,Paramètres!$A$1:$I$89,5,0)</f>
        <v>17.152422291266223</v>
      </c>
      <c r="P13" s="14">
        <f t="shared" si="33"/>
        <v>5.678086989362658</v>
      </c>
      <c r="Q13" s="22">
        <f t="shared" si="2"/>
        <v>39.763136997095295</v>
      </c>
      <c r="R13" s="62">
        <f t="shared" si="0"/>
        <v>308.65202588598413</v>
      </c>
      <c r="S13" s="62">
        <f ca="1">AVERAGE(OFFSET($R$3,0,0,'Données projet'!$E$9+1,1))-AVERAGE(OFFSET($H$3,0,0,'Données projet'!$E$9+1,1))</f>
        <v>321.62968871874483</v>
      </c>
      <c r="T13" s="62">
        <f t="shared" si="34"/>
        <v>389.91636841473559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10.163529411764706</v>
      </c>
      <c r="AI13" s="14">
        <f>IF('Données projet'!$A$62&gt;35,AI12+AH13-AQ12,IF(A13&lt;'Données projet'!$A$62,$AF$205^A13,IF(A13='Données projet'!$A$62,'Données projet'!$B$62,AI12+AH13-AQ12)))</f>
        <v>20.709643800053833</v>
      </c>
      <c r="AJ13" s="14">
        <f>AI13*VLOOKUP('Données projet'!$B$10,Paramètres!$A$1:$I$89,3,0)*VLOOKUP('Données projet'!$B$10,Paramètres!$A$1:$I$89,5,0)</f>
        <v>11.576690884230093</v>
      </c>
      <c r="AK13" s="14">
        <f t="shared" si="35"/>
        <v>4.0117630451391877</v>
      </c>
      <c r="AL13" s="22">
        <f t="shared" si="4"/>
        <v>27.149890593651492</v>
      </c>
      <c r="AM13" s="62">
        <f t="shared" si="5"/>
        <v>296.03877948254035</v>
      </c>
      <c r="AN13" s="62">
        <f ca="1">AVERAGE(OFFSET($AM$3,0,0,'Données projet'!$E$10+1,1))-AVERAGE(OFFSET($H$3,0,0,'Données projet'!$E$10+1,1))</f>
        <v>405.09126081846171</v>
      </c>
      <c r="AO13" s="62">
        <f t="shared" si="36"/>
        <v>534.22295841722166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287.2434272262301</v>
      </c>
      <c r="BI13" s="62">
        <f ca="1">AVERAGE(OFFSET($BH$3,0,0,'Données projet'!$E$11+1,1))-AVERAGE(OFFSET($H$3,0,0,'Données projet'!$E$11+1,1))</f>
        <v>439.06700232017681</v>
      </c>
      <c r="BJ13" s="62">
        <f t="shared" si="38"/>
        <v>278.21741231699929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8.2637604224711172</v>
      </c>
      <c r="CA13" s="14">
        <f t="shared" si="39"/>
        <v>2.9783127206856603</v>
      </c>
      <c r="CB13" s="22">
        <f t="shared" si="10"/>
        <v>19.579944057664719</v>
      </c>
      <c r="CC13" s="62">
        <f t="shared" si="11"/>
        <v>288.46883294655356</v>
      </c>
      <c r="CD13" s="62">
        <f ca="1">AVERAGE(OFFSET($CC$3,0,0,'Données projet'!$E$12+1,1))-AVERAGE(OFFSET($H$3,0,0,'Données projet'!$E$12+1,1))</f>
        <v>466.4945858005575</v>
      </c>
      <c r="CE13" s="62">
        <f t="shared" si="40"/>
        <v>294.45557293177131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5.7313177123590009</v>
      </c>
      <c r="CV13" s="14">
        <f t="shared" si="41"/>
        <v>2.1554885833138533</v>
      </c>
      <c r="CW13" s="22">
        <f t="shared" si="13"/>
        <v>13.736187631630221</v>
      </c>
      <c r="CX13" s="62">
        <f t="shared" si="14"/>
        <v>282.62507652051909</v>
      </c>
      <c r="CY13" s="62">
        <f ca="1">AVERAGE(OFFSET($CX$3,0,0,'Données projet'!$E$13+1,1))-AVERAGE(OFFSET($H$3,0,0,'Données projet'!$E$13+1,1))</f>
        <v>335.83558218229564</v>
      </c>
      <c r="CZ13" s="62">
        <f t="shared" si="42"/>
        <v>217.08423061559648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5.8</v>
      </c>
      <c r="N14" s="14">
        <f>IF('Données projet'!$A$36&gt;35,N13+M14-V13,IF(A14&lt;'Données projet'!$A$36,$K$205^A14,IF(A14='Données projet'!$A$36,'Données projet'!$B$36,N13+M14-V13)))</f>
        <v>26.443206626903088</v>
      </c>
      <c r="O14" s="14">
        <f>N14*VLOOKUP('Données projet'!$B$9,Paramètres!$A$1:$I$89,3,0)*VLOOKUP('Données projet'!$B$9,Paramètres!$A$1:$I$89,5,0)</f>
        <v>23.100785309262541</v>
      </c>
      <c r="P14" s="14">
        <f t="shared" si="33"/>
        <v>7.3867373282653306</v>
      </c>
      <c r="Q14" s="22">
        <f t="shared" si="2"/>
        <v>53.099101927027704</v>
      </c>
      <c r="R14" s="62">
        <f t="shared" si="0"/>
        <v>323.21021303813882</v>
      </c>
      <c r="S14" s="62">
        <f ca="1">AVERAGE(OFFSET($R$3,0,0,'Données projet'!$E$9+1,1))-AVERAGE(OFFSET($H$3,0,0,'Données projet'!$E$9+1,1))</f>
        <v>321.62968871874483</v>
      </c>
      <c r="T14" s="62">
        <f t="shared" si="34"/>
        <v>389.91636841473559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10.163529411764706</v>
      </c>
      <c r="AI14" s="14">
        <f>IF('Données projet'!$A$62&gt;35,AI13+AH14-AQ13,IF(A14&lt;'Données projet'!$A$62,$AF$205^A14,IF(A14='Données projet'!$A$62,'Données projet'!$B$62,AI13+AH14-AQ13)))</f>
        <v>28.040767220209094</v>
      </c>
      <c r="AJ14" s="14">
        <f>AI14*VLOOKUP('Données projet'!$B$10,Paramètres!$A$1:$I$89,3,0)*VLOOKUP('Données projet'!$B$10,Paramètres!$A$1:$I$89,5,0)</f>
        <v>15.674788876096885</v>
      </c>
      <c r="AK14" s="14">
        <f t="shared" si="35"/>
        <v>5.2436329884760928</v>
      </c>
      <c r="AL14" s="22">
        <f t="shared" si="4"/>
        <v>36.432918080797933</v>
      </c>
      <c r="AM14" s="62">
        <f t="shared" si="5"/>
        <v>306.54402919190909</v>
      </c>
      <c r="AN14" s="62">
        <f ca="1">AVERAGE(OFFSET($AM$3,0,0,'Données projet'!$E$10+1,1))-AVERAGE(OFFSET($H$3,0,0,'Données projet'!$E$10+1,1))</f>
        <v>405.09126081846171</v>
      </c>
      <c r="AO14" s="62">
        <f t="shared" si="36"/>
        <v>534.22295841722166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292.70789065900522</v>
      </c>
      <c r="BI14" s="62">
        <f ca="1">AVERAGE(OFFSET($BH$3,0,0,'Données projet'!$E$11+1,1))-AVERAGE(OFFSET($H$3,0,0,'Données projet'!$E$11+1,1))</f>
        <v>439.06700232017681</v>
      </c>
      <c r="BJ14" s="62">
        <f t="shared" si="38"/>
        <v>278.21741231699929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10.241035248115747</v>
      </c>
      <c r="CA14" s="14">
        <f t="shared" si="39"/>
        <v>3.5999121311945652</v>
      </c>
      <c r="CB14" s="22">
        <f t="shared" si="10"/>
        <v>24.106316685632123</v>
      </c>
      <c r="CC14" s="62">
        <f t="shared" si="11"/>
        <v>294.21742779674327</v>
      </c>
      <c r="CD14" s="62">
        <f ca="1">AVERAGE(OFFSET($CC$3,0,0,'Données projet'!$E$12+1,1))-AVERAGE(OFFSET($H$3,0,0,'Données projet'!$E$12+1,1))</f>
        <v>466.4945858005575</v>
      </c>
      <c r="CE14" s="62">
        <f t="shared" si="40"/>
        <v>294.45557293177131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7.102653478531888</v>
      </c>
      <c r="CV14" s="14">
        <f t="shared" si="41"/>
        <v>2.6053575387934864</v>
      </c>
      <c r="CW14" s="22">
        <f t="shared" si="13"/>
        <v>16.908119188508362</v>
      </c>
      <c r="CX14" s="62">
        <f t="shared" si="14"/>
        <v>287.01923029961949</v>
      </c>
      <c r="CY14" s="62">
        <f ca="1">AVERAGE(OFFSET($CX$3,0,0,'Données projet'!$E$13+1,1))-AVERAGE(OFFSET($H$3,0,0,'Données projet'!$E$13+1,1))</f>
        <v>335.83558218229564</v>
      </c>
      <c r="CZ14" s="62">
        <f t="shared" si="42"/>
        <v>217.08423061559648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5.8</v>
      </c>
      <c r="N15" s="14">
        <f>IF('Données projet'!$A$36&gt;35,N14+M15-V14,IF(A15&lt;'Données projet'!$A$36,$K$205^A15,IF(A15='Données projet'!$A$36,'Données projet'!$B$36,N14+M15-V14)))</f>
        <v>35.613561093793592</v>
      </c>
      <c r="O15" s="14">
        <f>N15*VLOOKUP('Données projet'!$B$9,Paramètres!$A$1:$I$89,3,0)*VLOOKUP('Données projet'!$B$9,Paramètres!$A$1:$I$89,5,0)</f>
        <v>31.112006971538086</v>
      </c>
      <c r="P15" s="14">
        <f t="shared" si="33"/>
        <v>9.6095548481396289</v>
      </c>
      <c r="Q15" s="22">
        <f t="shared" si="2"/>
        <v>70.9233868359387</v>
      </c>
      <c r="R15" s="62">
        <f t="shared" si="0"/>
        <v>342.256720169272</v>
      </c>
      <c r="S15" s="62">
        <f ca="1">AVERAGE(OFFSET($R$3,0,0,'Données projet'!$E$9+1,1))-AVERAGE(OFFSET($H$3,0,0,'Données projet'!$E$9+1,1))</f>
        <v>321.62968871874483</v>
      </c>
      <c r="T15" s="62">
        <f t="shared" si="34"/>
        <v>389.91636841473559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10.163529411764706</v>
      </c>
      <c r="AI15" s="14">
        <f>IF('Données projet'!$A$62&gt;35,AI14+AH15-AQ14,IF(A15&lt;'Données projet'!$A$62,$AF$205^A15,IF(A15='Données projet'!$A$62,'Données projet'!$B$62,AI14+AH15-AQ14)))</f>
        <v>37.967076299782079</v>
      </c>
      <c r="AJ15" s="14">
        <f>AI15*VLOOKUP('Données projet'!$B$10,Paramètres!$A$1:$I$89,3,0)*VLOOKUP('Données projet'!$B$10,Paramètres!$A$1:$I$89,5,0)</f>
        <v>21.223595651578183</v>
      </c>
      <c r="AK15" s="14">
        <f t="shared" si="35"/>
        <v>6.8537664384614088</v>
      </c>
      <c r="AL15" s="22">
        <f t="shared" si="4"/>
        <v>48.901405640152291</v>
      </c>
      <c r="AM15" s="62">
        <f t="shared" si="5"/>
        <v>320.23473897348561</v>
      </c>
      <c r="AN15" s="62">
        <f ca="1">AVERAGE(OFFSET($AM$3,0,0,'Données projet'!$E$10+1,1))-AVERAGE(OFFSET($H$3,0,0,'Données projet'!$E$10+1,1))</f>
        <v>405.09126081846171</v>
      </c>
      <c r="AO15" s="62">
        <f t="shared" si="36"/>
        <v>534.22295841722166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299.15620406350808</v>
      </c>
      <c r="BI15" s="62">
        <f ca="1">AVERAGE(OFFSET($BH$3,0,0,'Données projet'!$E$11+1,1))-AVERAGE(OFFSET($H$3,0,0,'Données projet'!$E$11+1,1))</f>
        <v>439.06700232017681</v>
      </c>
      <c r="BJ15" s="62">
        <f t="shared" si="38"/>
        <v>278.21741231699929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12.69141378638699</v>
      </c>
      <c r="CA15" s="14">
        <f t="shared" si="39"/>
        <v>4.3512446702837533</v>
      </c>
      <c r="CB15" s="22">
        <f t="shared" si="10"/>
        <v>29.682630145368211</v>
      </c>
      <c r="CC15" s="62">
        <f t="shared" si="11"/>
        <v>301.01596347870151</v>
      </c>
      <c r="CD15" s="62">
        <f ca="1">AVERAGE(OFFSET($CC$3,0,0,'Données projet'!$E$12+1,1))-AVERAGE(OFFSET($H$3,0,0,'Données projet'!$E$12+1,1))</f>
        <v>466.4945858005575</v>
      </c>
      <c r="CE15" s="62">
        <f t="shared" si="40"/>
        <v>294.45557293177131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8.8021095615264606</v>
      </c>
      <c r="CV15" s="14">
        <f t="shared" si="41"/>
        <v>3.1491180039155391</v>
      </c>
      <c r="CW15" s="22">
        <f t="shared" si="13"/>
        <v>20.815054676478152</v>
      </c>
      <c r="CX15" s="62">
        <f t="shared" si="14"/>
        <v>292.14838800981147</v>
      </c>
      <c r="CY15" s="62">
        <f ca="1">AVERAGE(OFFSET($CX$3,0,0,'Données projet'!$E$13+1,1))-AVERAGE(OFFSET($H$3,0,0,'Données projet'!$E$13+1,1))</f>
        <v>335.83558218229564</v>
      </c>
      <c r="CZ15" s="62">
        <f t="shared" si="42"/>
        <v>217.08423061559648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5.8</v>
      </c>
      <c r="N16" s="14">
        <f>IF('Données projet'!$A$36&gt;35,N15+M16-V15,IF(A16&lt;'Données projet'!$A$36,$K$205^A16,IF(A16='Données projet'!$A$36,'Données projet'!$B$36,N15+M16-V15)))</f>
        <v>47.964142612378375</v>
      </c>
      <c r="O16" s="14">
        <f>N16*VLOOKUP('Données projet'!$B$9,Paramètres!$A$1:$I$89,3,0)*VLOOKUP('Données projet'!$B$9,Paramètres!$A$1:$I$89,5,0)</f>
        <v>41.901474986173753</v>
      </c>
      <c r="P16" s="14">
        <f t="shared" si="33"/>
        <v>12.501262773491545</v>
      </c>
      <c r="Q16" s="22">
        <f t="shared" si="2"/>
        <v>94.751434931417066</v>
      </c>
      <c r="R16" s="62">
        <f t="shared" si="0"/>
        <v>367.30699048697261</v>
      </c>
      <c r="S16" s="62">
        <f ca="1">AVERAGE(OFFSET($R$3,0,0,'Données projet'!$E$9+1,1))-AVERAGE(OFFSET($H$3,0,0,'Données projet'!$E$9+1,1))</f>
        <v>321.62968871874483</v>
      </c>
      <c r="T16" s="62">
        <f t="shared" si="34"/>
        <v>389.91636841473559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10.163529411764706</v>
      </c>
      <c r="AI16" s="14">
        <f>IF('Données projet'!$A$62&gt;35,AI15+AH16-AQ15,IF(A16&lt;'Données projet'!$A$62,$AF$205^A16,IF(A16='Données projet'!$A$62,'Données projet'!$B$62,AI15+AH16-AQ15)))</f>
        <v>51.40725542326031</v>
      </c>
      <c r="AJ16" s="14">
        <f>AI16*VLOOKUP('Données projet'!$B$10,Paramètres!$A$1:$I$89,3,0)*VLOOKUP('Données projet'!$B$10,Paramètres!$A$1:$I$89,5,0)</f>
        <v>28.736655781602511</v>
      </c>
      <c r="AK16" s="14">
        <f t="shared" si="35"/>
        <v>8.9583146830098084</v>
      </c>
      <c r="AL16" s="22">
        <f t="shared" si="4"/>
        <v>65.652073559199778</v>
      </c>
      <c r="AM16" s="62">
        <f t="shared" si="5"/>
        <v>338.20762911475532</v>
      </c>
      <c r="AN16" s="62">
        <f ca="1">AVERAGE(OFFSET($AM$3,0,0,'Données projet'!$E$10+1,1))-AVERAGE(OFFSET($H$3,0,0,'Données projet'!$E$10+1,1))</f>
        <v>405.09126081846171</v>
      </c>
      <c r="AO16" s="62">
        <f t="shared" si="36"/>
        <v>534.22295841722166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306.81726343399242</v>
      </c>
      <c r="BI16" s="62">
        <f ca="1">AVERAGE(OFFSET($BH$3,0,0,'Données projet'!$E$11+1,1))-AVERAGE(OFFSET($H$3,0,0,'Données projet'!$E$11+1,1))</f>
        <v>439.06700232017681</v>
      </c>
      <c r="BJ16" s="62">
        <f t="shared" si="38"/>
        <v>278.21741231699929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15.728095841377899</v>
      </c>
      <c r="CA16" s="14">
        <f t="shared" si="39"/>
        <v>5.2593867546400634</v>
      </c>
      <c r="CB16" s="22">
        <f t="shared" si="10"/>
        <v>36.553198854731285</v>
      </c>
      <c r="CC16" s="62">
        <f t="shared" si="11"/>
        <v>309.10875441028685</v>
      </c>
      <c r="CD16" s="62">
        <f ca="1">AVERAGE(OFFSET($CC$3,0,0,'Données projet'!$E$12+1,1))-AVERAGE(OFFSET($H$3,0,0,'Données projet'!$E$12+1,1))</f>
        <v>466.4945858005575</v>
      </c>
      <c r="CE16" s="62">
        <f t="shared" si="40"/>
        <v>294.45557293177131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10.908195502891123</v>
      </c>
      <c r="CV16" s="14">
        <f t="shared" si="41"/>
        <v>3.8063659420723552</v>
      </c>
      <c r="CW16" s="22">
        <f t="shared" si="13"/>
        <v>25.627861183311392</v>
      </c>
      <c r="CX16" s="62">
        <f t="shared" si="14"/>
        <v>298.18341673886692</v>
      </c>
      <c r="CY16" s="62">
        <f ca="1">AVERAGE(OFFSET($CX$3,0,0,'Données projet'!$E$13+1,1))-AVERAGE(OFFSET($H$3,0,0,'Données projet'!$E$13+1,1))</f>
        <v>335.83558218229564</v>
      </c>
      <c r="CZ16" s="62">
        <f t="shared" si="42"/>
        <v>217.08423061559648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5.8</v>
      </c>
      <c r="N17" s="14">
        <f>IF('Données projet'!$A$36&gt;35,N16+M17-V16,IF(A17&lt;'Données projet'!$A$36,$K$205^A17,IF(A17='Données projet'!$A$36,'Données projet'!$B$36,N16+M17-V16)))</f>
        <v>64.597835933388069</v>
      </c>
      <c r="O17" s="14">
        <f>N17*VLOOKUP('Données projet'!$B$9,Paramètres!$A$1:$I$89,3,0)*VLOOKUP('Données projet'!$B$9,Paramètres!$A$1:$I$89,5,0)</f>
        <v>56.432669471407827</v>
      </c>
      <c r="P17" s="14">
        <f t="shared" si="33"/>
        <v>16.263143652501352</v>
      </c>
      <c r="Q17" s="22">
        <f t="shared" si="2"/>
        <v>126.61187452414181</v>
      </c>
      <c r="R17" s="62">
        <f t="shared" si="0"/>
        <v>400.38965230191957</v>
      </c>
      <c r="S17" s="62">
        <f ca="1">AVERAGE(OFFSET($R$3,0,0,'Données projet'!$E$9+1,1))-AVERAGE(OFFSET($H$3,0,0,'Données projet'!$E$9+1,1))</f>
        <v>321.62968871874483</v>
      </c>
      <c r="T17" s="62">
        <f t="shared" si="34"/>
        <v>389.91636841473559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10.163529411764706</v>
      </c>
      <c r="AI17" s="14">
        <f>IF('Données projet'!$A$62&gt;35,AI16+AH17-AQ16,IF(A17&lt;'Données projet'!$A$62,$AF$205^A17,IF(A17='Données projet'!$A$62,'Données projet'!$B$62,AI16+AH17-AQ16)))</f>
        <v>69.605199233302443</v>
      </c>
      <c r="AJ17" s="14">
        <f>AI17*VLOOKUP('Données projet'!$B$10,Paramètres!$A$1:$I$89,3,0)*VLOOKUP('Données projet'!$B$10,Paramètres!$A$1:$I$89,5,0)</f>
        <v>38.909306371416065</v>
      </c>
      <c r="AK17" s="14">
        <f t="shared" si="35"/>
        <v>11.709094945150285</v>
      </c>
      <c r="AL17" s="22">
        <f t="shared" si="4"/>
        <v>88.160382293019723</v>
      </c>
      <c r="AM17" s="62">
        <f t="shared" si="5"/>
        <v>361.93816007079749</v>
      </c>
      <c r="AN17" s="62">
        <f ca="1">AVERAGE(OFFSET($AM$3,0,0,'Données projet'!$E$10+1,1))-AVERAGE(OFFSET($H$3,0,0,'Données projet'!$E$10+1,1))</f>
        <v>405.09126081846171</v>
      </c>
      <c r="AO17" s="62">
        <f t="shared" si="36"/>
        <v>534.22295841722166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315.9733740744461</v>
      </c>
      <c r="BI17" s="62">
        <f ca="1">AVERAGE(OFFSET($BH$3,0,0,'Données projet'!$E$11+1,1))-AVERAGE(OFFSET($H$3,0,0,'Données projet'!$E$11+1,1))</f>
        <v>439.06700232017681</v>
      </c>
      <c r="BJ17" s="62">
        <f t="shared" si="38"/>
        <v>278.21741231699929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19.491366601009023</v>
      </c>
      <c r="CA17" s="14">
        <f t="shared" si="39"/>
        <v>6.3570658813537859</v>
      </c>
      <c r="CB17" s="22">
        <f t="shared" si="10"/>
        <v>45.01935324011523</v>
      </c>
      <c r="CC17" s="62">
        <f t="shared" si="11"/>
        <v>318.79713101789298</v>
      </c>
      <c r="CD17" s="62">
        <f ca="1">AVERAGE(OFFSET($CC$3,0,0,'Données projet'!$E$12+1,1))-AVERAGE(OFFSET($H$3,0,0,'Données projet'!$E$12+1,1))</f>
        <v>466.4945858005575</v>
      </c>
      <c r="CE17" s="62">
        <f t="shared" si="40"/>
        <v>294.45557293177131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13.518205868441742</v>
      </c>
      <c r="CV17" s="14">
        <f t="shared" si="41"/>
        <v>4.6007871622955445</v>
      </c>
      <c r="CW17" s="22">
        <f t="shared" si="13"/>
        <v>31.557246195200772</v>
      </c>
      <c r="CX17" s="62">
        <f t="shared" si="14"/>
        <v>305.33502397297855</v>
      </c>
      <c r="CY17" s="62">
        <f ca="1">AVERAGE(OFFSET($CX$3,0,0,'Données projet'!$E$13+1,1))-AVERAGE(OFFSET($H$3,0,0,'Données projet'!$E$13+1,1))</f>
        <v>335.83558218229564</v>
      </c>
      <c r="CZ17" s="62">
        <f t="shared" si="42"/>
        <v>217.08423061559648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87</v>
      </c>
      <c r="L18" s="13">
        <f>VLOOKUP(A18,'Données projet'!$A$35:$I$55,9,0)</f>
        <v>5.8</v>
      </c>
      <c r="M18" s="13">
        <f t="array" ref="M18">INDEX(L:L,MIN(IF(ISNUMBER(L18:L214),ROW(L18:L214),"")))</f>
        <v>5.8</v>
      </c>
      <c r="N18" s="14">
        <f>IF('Données projet'!$A$36&gt;35,N17+M18-V17,IF(A18&lt;'Données projet'!$A$36,$K$205^A18,IF(A18='Données projet'!$A$36,'Données projet'!$B$36,N17+M18-V17)))</f>
        <v>87</v>
      </c>
      <c r="O18" s="14">
        <f>N18*VLOOKUP('Données projet'!$B$9,Paramètres!$A$1:$I$89,3,0)*VLOOKUP('Données projet'!$B$9,Paramètres!$A$1:$I$89,5,0)</f>
        <v>76.003200000000007</v>
      </c>
      <c r="P18" s="14">
        <f t="shared" si="33"/>
        <v>21.157049992000456</v>
      </c>
      <c r="Q18" s="22">
        <f t="shared" si="2"/>
        <v>169.22076873606747</v>
      </c>
      <c r="R18" s="62">
        <f t="shared" si="0"/>
        <v>444.2207687360675</v>
      </c>
      <c r="S18" s="62">
        <f ca="1">AVERAGE(OFFSET($R$3,0,0,'Données projet'!$E$9+1,1))-AVERAGE(OFFSET($H$3,0,0,'Données projet'!$E$9+1,1))</f>
        <v>321.62968871874483</v>
      </c>
      <c r="T18" s="62">
        <f t="shared" si="34"/>
        <v>389.91636841473559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21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10.163529411764706</v>
      </c>
      <c r="AI18" s="14">
        <f>IF('Données projet'!$A$62&gt;35,AI17+AH18-AQ17,IF(A18&lt;'Données projet'!$A$62,$AF$205^A18,IF(A18='Données projet'!$A$62,'Données projet'!$B$62,AI17+AH18-AQ17)))</f>
        <v>94.245135641214503</v>
      </c>
      <c r="AJ18" s="14">
        <f>AI18*VLOOKUP('Données projet'!$B$10,Paramètres!$A$1:$I$89,3,0)*VLOOKUP('Données projet'!$B$10,Paramètres!$A$1:$I$89,5,0)</f>
        <v>52.683030823438912</v>
      </c>
      <c r="AK18" s="14">
        <f t="shared" si="35"/>
        <v>15.304542124934633</v>
      </c>
      <c r="AL18" s="22">
        <f t="shared" si="4"/>
        <v>118.41168955175056</v>
      </c>
      <c r="AM18" s="62">
        <f t="shared" si="5"/>
        <v>393.41168955175056</v>
      </c>
      <c r="AN18" s="62">
        <f ca="1">AVERAGE(OFFSET($AM$3,0,0,'Données projet'!$E$10+1,1))-AVERAGE(OFFSET($H$3,0,0,'Données projet'!$E$10+1,1))</f>
        <v>405.09126081846171</v>
      </c>
      <c r="AO18" s="62">
        <f t="shared" si="36"/>
        <v>534.22295841722166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326.97274628871452</v>
      </c>
      <c r="BI18" s="62">
        <f ca="1">AVERAGE(OFFSET($BH$3,0,0,'Données projet'!$E$11+1,1))-AVERAGE(OFFSET($H$3,0,0,'Données projet'!$E$11+1,1))</f>
        <v>439.06700232017681</v>
      </c>
      <c r="BJ18" s="62">
        <f t="shared" si="38"/>
        <v>278.21741231699929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24.155077372776663</v>
      </c>
      <c r="CA18" s="14">
        <f t="shared" si="39"/>
        <v>7.6838400568695304</v>
      </c>
      <c r="CB18" s="22">
        <f t="shared" si="10"/>
        <v>55.452781189967119</v>
      </c>
      <c r="CC18" s="62">
        <f t="shared" si="11"/>
        <v>330.45278118996714</v>
      </c>
      <c r="CD18" s="62">
        <f ca="1">AVERAGE(OFFSET($CC$3,0,0,'Données projet'!$E$12+1,1))-AVERAGE(OFFSET($H$3,0,0,'Données projet'!$E$12+1,1))</f>
        <v>466.4945858005575</v>
      </c>
      <c r="CE18" s="62">
        <f t="shared" si="40"/>
        <v>294.45557293177131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16.75271495208704</v>
      </c>
      <c r="CV18" s="14">
        <f t="shared" si="41"/>
        <v>5.561010905120459</v>
      </c>
      <c r="CW18" s="22">
        <f t="shared" si="13"/>
        <v>38.863072534636395</v>
      </c>
      <c r="CX18" s="62">
        <f t="shared" si="14"/>
        <v>313.86307253463639</v>
      </c>
      <c r="CY18" s="62">
        <f ca="1">AVERAGE(OFFSET($CX$3,0,0,'Données projet'!$E$13+1,1))-AVERAGE(OFFSET($H$3,0,0,'Données projet'!$E$13+1,1))</f>
        <v>335.83558218229564</v>
      </c>
      <c r="CZ18" s="62">
        <f t="shared" si="42"/>
        <v>217.08423061559648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14.2</v>
      </c>
      <c r="N19" s="14">
        <f>IF('Données projet'!$A$36&gt;35,N18+M19-V18,IF(A19&lt;'Données projet'!$A$36,$K$205^A19,IF(A19='Données projet'!$A$36,'Données projet'!$B$36,N18+M19-V18)))</f>
        <v>80.2</v>
      </c>
      <c r="O19" s="14">
        <f>N19*VLOOKUP('Données projet'!$B$9,Paramètres!$A$1:$I$89,3,0)*VLOOKUP('Données projet'!$B$9,Paramètres!$A$1:$I$89,5,0)</f>
        <v>70.062720000000013</v>
      </c>
      <c r="P19" s="14">
        <f t="shared" si="33"/>
        <v>19.689032345957123</v>
      </c>
      <c r="Q19" s="22">
        <f t="shared" si="2"/>
        <v>156.31763533587534</v>
      </c>
      <c r="R19" s="62">
        <f t="shared" si="0"/>
        <v>432.53985755809754</v>
      </c>
      <c r="S19" s="62">
        <f ca="1">AVERAGE(OFFSET($R$3,0,0,'Données projet'!$E$9+1,1))-AVERAGE(OFFSET($H$3,0,0,'Données projet'!$E$9+1,1))</f>
        <v>321.62968871874483</v>
      </c>
      <c r="T19" s="62">
        <f t="shared" si="34"/>
        <v>389.91636841473559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10.163529411764706</v>
      </c>
      <c r="AI19" s="14">
        <f>IF('Données projet'!$A$62&gt;35,AI18+AH19-AQ18,IF(A19&lt;'Données projet'!$A$62,$AF$205^A19,IF(A19='Données projet'!$A$62,'Données projet'!$B$62,AI18+AH19-AQ18)))</f>
        <v>127.60750188013651</v>
      </c>
      <c r="AJ19" s="14">
        <f>AI19*VLOOKUP('Données projet'!$B$10,Paramètres!$A$1:$I$89,3,0)*VLOOKUP('Données projet'!$B$10,Paramètres!$A$1:$I$89,5,0)</f>
        <v>71.332593550996307</v>
      </c>
      <c r="AK19" s="14">
        <f t="shared" si="35"/>
        <v>20.004023432307392</v>
      </c>
      <c r="AL19" s="22">
        <f t="shared" si="4"/>
        <v>159.07794124592061</v>
      </c>
      <c r="AM19" s="62">
        <f t="shared" si="5"/>
        <v>435.30016346814284</v>
      </c>
      <c r="AN19" s="62">
        <f ca="1">AVERAGE(OFFSET($AM$3,0,0,'Données projet'!$E$10+1,1))-AVERAGE(OFFSET($H$3,0,0,'Données projet'!$E$10+1,1))</f>
        <v>405.09126081846171</v>
      </c>
      <c r="AO19" s="62">
        <f t="shared" si="36"/>
        <v>534.22295841722166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340.24492173474681</v>
      </c>
      <c r="BI19" s="62">
        <f ca="1">AVERAGE(OFFSET($BH$3,0,0,'Données projet'!$E$11+1,1))-AVERAGE(OFFSET($H$3,0,0,'Données projet'!$E$11+1,1))</f>
        <v>439.06700232017681</v>
      </c>
      <c r="BJ19" s="62">
        <f t="shared" si="38"/>
        <v>278.21741231699929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29.934676968962361</v>
      </c>
      <c r="CA19" s="14">
        <f t="shared" si="39"/>
        <v>9.2875233828754098</v>
      </c>
      <c r="CB19" s="22">
        <f t="shared" si="10"/>
        <v>68.311998946117441</v>
      </c>
      <c r="CC19" s="62">
        <f t="shared" si="11"/>
        <v>344.53422116833968</v>
      </c>
      <c r="CD19" s="62">
        <f ca="1">AVERAGE(OFFSET($CC$3,0,0,'Données projet'!$E$12+1,1))-AVERAGE(OFFSET($H$3,0,0,'Données projet'!$E$12+1,1))</f>
        <v>466.4945858005575</v>
      </c>
      <c r="CE19" s="62">
        <f t="shared" si="40"/>
        <v>294.45557293177131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20.761146930086799</v>
      </c>
      <c r="CV19" s="14">
        <f t="shared" si="41"/>
        <v>6.7216415791420445</v>
      </c>
      <c r="CW19" s="22">
        <f t="shared" si="13"/>
        <v>47.865856653573566</v>
      </c>
      <c r="CX19" s="62">
        <f t="shared" si="14"/>
        <v>324.08807887579582</v>
      </c>
      <c r="CY19" s="62">
        <f ca="1">AVERAGE(OFFSET($CX$3,0,0,'Données projet'!$E$13+1,1))-AVERAGE(OFFSET($H$3,0,0,'Données projet'!$E$13+1,1))</f>
        <v>335.83558218229564</v>
      </c>
      <c r="CZ19" s="62">
        <f t="shared" si="42"/>
        <v>217.08423061559648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14.2</v>
      </c>
      <c r="N20" s="14">
        <f>IF('Données projet'!$A$36&gt;35,N19+M20-V19,IF(A20&lt;'Données projet'!$A$36,$K$205^A20,IF(A20='Données projet'!$A$36,'Données projet'!$B$36,N19+M20-V19)))</f>
        <v>94.4</v>
      </c>
      <c r="O20" s="14">
        <f>N20*VLOOKUP('Données projet'!$B$9,Paramètres!$A$1:$I$89,3,0)*VLOOKUP('Données projet'!$B$9,Paramètres!$A$1:$I$89,5,0)</f>
        <v>82.467840000000024</v>
      </c>
      <c r="P20" s="14">
        <f t="shared" si="33"/>
        <v>22.739512759227473</v>
      </c>
      <c r="Q20" s="22">
        <f t="shared" si="2"/>
        <v>183.23613938898788</v>
      </c>
      <c r="R20" s="62">
        <f t="shared" si="0"/>
        <v>460.68058383343237</v>
      </c>
      <c r="S20" s="62">
        <f ca="1">AVERAGE(OFFSET($R$3,0,0,'Données projet'!$E$9+1,1))-AVERAGE(OFFSET($H$3,0,0,'Données projet'!$E$9+1,1))</f>
        <v>321.62968871874483</v>
      </c>
      <c r="T20" s="62">
        <f t="shared" si="34"/>
        <v>389.91636841473559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172.78</v>
      </c>
      <c r="AG20" s="13">
        <f>VLOOKUP(A20,'Données projet'!$A$61:$I$81,9,0)</f>
        <v>10.163529411764706</v>
      </c>
      <c r="AH20" s="13">
        <f t="array" ref="AH20">INDEX(AG:AG,MIN(IF(ISNUMBER(AG20:AG216),ROW(AG20:AG216),"")))</f>
        <v>10.163529411764706</v>
      </c>
      <c r="AI20" s="14">
        <f>IF('Données projet'!$A$62&gt;35,AI19+AH20-AQ19,IF(A20&lt;'Données projet'!$A$62,$AF$205^A20,IF(A20='Données projet'!$A$62,'Données projet'!$B$62,AI19+AH20-AQ19)))</f>
        <v>172.78</v>
      </c>
      <c r="AJ20" s="14">
        <f>AI20*VLOOKUP('Données projet'!$B$10,Paramètres!$A$1:$I$89,3,0)*VLOOKUP('Données projet'!$B$10,Paramètres!$A$1:$I$89,5,0)</f>
        <v>96.58402000000001</v>
      </c>
      <c r="AK20" s="14">
        <f t="shared" si="35"/>
        <v>26.146548535310259</v>
      </c>
      <c r="AL20" s="22">
        <f t="shared" si="4"/>
        <v>213.75574019899872</v>
      </c>
      <c r="AM20" s="62">
        <f t="shared" si="5"/>
        <v>491.20018464344321</v>
      </c>
      <c r="AN20" s="62">
        <f ca="1">AVERAGE(OFFSET($AM$3,0,0,'Données projet'!$E$10+1,1))-AVERAGE(OFFSET($H$3,0,0,'Données projet'!$E$10+1,1))</f>
        <v>405.09126081846171</v>
      </c>
      <c r="AO20" s="62">
        <f t="shared" si="36"/>
        <v>534.22295841722166</v>
      </c>
      <c r="AP20" s="16">
        <f>IF(ISNA(VLOOKUP(A20,'Données projet'!$A$61:$I$81,3,0)),0,VLOOKUP(A20,'Données projet'!$A$61:$I$81,3,0))</f>
        <v>1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356.31981931185817</v>
      </c>
      <c r="BI20" s="62">
        <f ca="1">AVERAGE(OFFSET($BH$3,0,0,'Données projet'!$E$11+1,1))-AVERAGE(OFFSET($H$3,0,0,'Données projet'!$E$11+1,1))</f>
        <v>439.06700232017681</v>
      </c>
      <c r="BJ20" s="62">
        <f t="shared" si="38"/>
        <v>278.21741231699929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37.097164766113913</v>
      </c>
      <c r="CA20" s="14">
        <f t="shared" si="39"/>
        <v>11.225909174194843</v>
      </c>
      <c r="CB20" s="22">
        <f t="shared" si="10"/>
        <v>84.162687112704418</v>
      </c>
      <c r="CC20" s="62">
        <f t="shared" si="11"/>
        <v>361.60713155714888</v>
      </c>
      <c r="CD20" s="62">
        <f ca="1">AVERAGE(OFFSET($CC$3,0,0,'Données projet'!$E$12+1,1))-AVERAGE(OFFSET($H$3,0,0,'Données projet'!$E$12+1,1))</f>
        <v>466.4945858005575</v>
      </c>
      <c r="CE20" s="62">
        <f t="shared" si="40"/>
        <v>294.45557293177131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25.728678789401581</v>
      </c>
      <c r="CV20" s="14">
        <f t="shared" si="41"/>
        <v>8.1245058298393111</v>
      </c>
      <c r="CW20" s="22">
        <f t="shared" si="13"/>
        <v>58.960963211844557</v>
      </c>
      <c r="CX20" s="62">
        <f t="shared" si="14"/>
        <v>336.40540765628901</v>
      </c>
      <c r="CY20" s="62">
        <f ca="1">AVERAGE(OFFSET($CX$3,0,0,'Données projet'!$E$13+1,1))-AVERAGE(OFFSET($H$3,0,0,'Données projet'!$E$13+1,1))</f>
        <v>335.83558218229564</v>
      </c>
      <c r="CZ20" s="62">
        <f t="shared" si="42"/>
        <v>217.08423061559648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14.2</v>
      </c>
      <c r="N21" s="14">
        <f>IF('Données projet'!$A$36&gt;35,N20+M21-V20,IF(A21&lt;'Données projet'!$A$36,$K$205^A21,IF(A21='Données projet'!$A$36,'Données projet'!$B$36,N20+M21-V20)))</f>
        <v>108.60000000000001</v>
      </c>
      <c r="O21" s="14">
        <f>N21*VLOOKUP('Données projet'!$B$9,Paramètres!$A$1:$I$89,3,0)*VLOOKUP('Données projet'!$B$9,Paramètres!$A$1:$I$89,5,0)</f>
        <v>94.87296000000002</v>
      </c>
      <c r="P21" s="14">
        <f t="shared" si="33"/>
        <v>25.736834760472274</v>
      </c>
      <c r="Q21" s="22">
        <f t="shared" si="2"/>
        <v>210.06205920782259</v>
      </c>
      <c r="R21" s="62">
        <f t="shared" si="0"/>
        <v>488.72872587448927</v>
      </c>
      <c r="S21" s="62">
        <f ca="1">AVERAGE(OFFSET($R$3,0,0,'Données projet'!$E$9+1,1))-AVERAGE(OFFSET($H$3,0,0,'Données projet'!$E$9+1,1))</f>
        <v>321.62968871874483</v>
      </c>
      <c r="T21" s="62">
        <f t="shared" si="34"/>
        <v>389.91636841473559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202.31</v>
      </c>
      <c r="AG21" s="13">
        <f>VLOOKUP(A21,'Données projet'!$A$61:$I$81,9,0)</f>
        <v>29.53</v>
      </c>
      <c r="AH21" s="13">
        <f t="array" ref="AH21">INDEX(AG:AG,MIN(IF(ISNUMBER(AG21:AG217),ROW(AG21:AG217),"")))</f>
        <v>29.53</v>
      </c>
      <c r="AI21" s="14">
        <f>IF('Données projet'!$A$62&gt;35,AI20+AH21-AQ20,IF(A21&lt;'Données projet'!$A$62,$AF$205^A21,IF(A21='Données projet'!$A$62,'Données projet'!$B$62,AI20+AH21-AQ20)))</f>
        <v>202.31</v>
      </c>
      <c r="AJ21" s="14">
        <f>AI21*VLOOKUP('Données projet'!$B$10,Paramètres!$A$1:$I$89,3,0)*VLOOKUP('Données projet'!$B$10,Paramètres!$A$1:$I$89,5,0)</f>
        <v>113.09129000000001</v>
      </c>
      <c r="AK21" s="14">
        <f t="shared" si="35"/>
        <v>30.05813764305373</v>
      </c>
      <c r="AL21" s="22">
        <f t="shared" si="4"/>
        <v>249.31858647831859</v>
      </c>
      <c r="AM21" s="62">
        <f t="shared" si="5"/>
        <v>527.98525314498534</v>
      </c>
      <c r="AN21" s="62">
        <f ca="1">AVERAGE(OFFSET($AM$3,0,0,'Données projet'!$E$10+1,1))-AVERAGE(OFFSET($H$3,0,0,'Données projet'!$E$10+1,1))</f>
        <v>405.09126081846171</v>
      </c>
      <c r="AO21" s="62">
        <f t="shared" si="36"/>
        <v>534.22295841722166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74.819999999999993</v>
      </c>
      <c r="AR21" s="17">
        <f>IF(ISNA(VLOOKUP(A21,'Données projet'!$A$61:$I$81,5,0)),0%,VLOOKUP(A21,'Données projet'!$A$61:$I$81,5,0)*VLOOKUP('Données projet'!$B$10,Paramètres!$A$1:$I$89,7,0))</f>
        <v>5.5000000000000007E-2</v>
      </c>
      <c r="AS21" s="17">
        <f>IF(ISNA(VLOOKUP(A21,'Données projet'!$A$61:$I$81,6,0)),0%,VLOOKUP(A21,'Données projet'!$A$61:$I$81,6,0)*VLOOKUP('Données projet'!$B$10,Paramètres!$A$1:$I$89,7,0))</f>
        <v>0.22000000000000003</v>
      </c>
      <c r="AT21" s="17">
        <f>IF(ISNA(VLOOKUP(A21,'Données projet'!$A$61:$I$81,7,0)),0%,VLOOKUP(A21,'Données projet'!$A$61:$I$81,7,0))</f>
        <v>0.5</v>
      </c>
      <c r="AU21" s="23">
        <f>EXP(-LN(2)/35)*AU20+(1-EXP(-LN(2)/35))/(LN(2)/35)*AQ21*AR21*VLOOKUP('Données projet'!$B$10,Paramètres!$A$1:$I$89,3,0)*0.475*44/12</f>
        <v>3.0515504733338017</v>
      </c>
      <c r="AV21" s="23">
        <f>EXP(-LN(2)/25)*AV20+(1-EXP(-LN(2)/25))/(LN(2)/25)*Calculateur!AQ21*Calculateur!AS21*VLOOKUP('Données projet'!$B$10,Paramètres!$A$1:$I$89,3,0)*0.475*44/12</f>
        <v>12.1581414255536</v>
      </c>
      <c r="AW21" s="23">
        <f>EXP(-LN(2)/2)*AW20+(1-EXP(-LN(2)/2))/(LN(2)/2)*AQ21*AT21*VLOOKUP('Données projet'!$B$10,Paramètres!$A$1:$I$89,3,0)*0.475*44/12</f>
        <v>23.677456930009981</v>
      </c>
      <c r="AX21" s="23">
        <f t="shared" si="6"/>
        <v>38.887148828897381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375.85125169782572</v>
      </c>
      <c r="BI21" s="62">
        <f ca="1">AVERAGE(OFFSET($BH$3,0,0,'Données projet'!$E$11+1,1))-AVERAGE(OFFSET($H$3,0,0,'Données projet'!$E$11+1,1))</f>
        <v>439.06700232017681</v>
      </c>
      <c r="BJ21" s="62">
        <f t="shared" si="38"/>
        <v>278.21741231699929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45.973425238933089</v>
      </c>
      <c r="CA21" s="14">
        <f t="shared" si="39"/>
        <v>13.56885270616201</v>
      </c>
      <c r="CB21" s="22">
        <f t="shared" si="10"/>
        <v>103.70280075437397</v>
      </c>
      <c r="CC21" s="62">
        <f t="shared" si="11"/>
        <v>382.36946742104067</v>
      </c>
      <c r="CD21" s="62">
        <f ca="1">AVERAGE(OFFSET($CC$3,0,0,'Données projet'!$E$12+1,1))-AVERAGE(OFFSET($H$3,0,0,'Données projet'!$E$12+1,1))</f>
        <v>466.4945858005575</v>
      </c>
      <c r="CE21" s="62">
        <f t="shared" si="40"/>
        <v>294.45557293177131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31.884794923776177</v>
      </c>
      <c r="CV21" s="14">
        <f t="shared" si="41"/>
        <v>9.820159882359901</v>
      </c>
      <c r="CW21" s="22">
        <f t="shared" si="13"/>
        <v>72.636129620687001</v>
      </c>
      <c r="CX21" s="62">
        <f t="shared" si="14"/>
        <v>351.30279628735366</v>
      </c>
      <c r="CY21" s="62">
        <f ca="1">AVERAGE(OFFSET($CX$3,0,0,'Données projet'!$E$13+1,1))-AVERAGE(OFFSET($H$3,0,0,'Données projet'!$E$13+1,1))</f>
        <v>335.83558218229564</v>
      </c>
      <c r="CZ21" s="62">
        <f t="shared" si="42"/>
        <v>217.08423061559648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14.2</v>
      </c>
      <c r="N22" s="14">
        <f>IF('Données projet'!$A$36&gt;35,N21+M22-V21,IF(A22&lt;'Données projet'!$A$36,$K$205^A22,IF(A22='Données projet'!$A$36,'Données projet'!$B$36,N21+M22-V21)))</f>
        <v>122.80000000000001</v>
      </c>
      <c r="O22" s="14">
        <f>N22*VLOOKUP('Données projet'!$B$9,Paramètres!$A$1:$I$89,3,0)*VLOOKUP('Données projet'!$B$9,Paramètres!$A$1:$I$89,5,0)</f>
        <v>107.27808000000003</v>
      </c>
      <c r="P22" s="14">
        <f t="shared" si="33"/>
        <v>28.688746800886673</v>
      </c>
      <c r="Q22" s="22">
        <f t="shared" si="2"/>
        <v>236.80889001154432</v>
      </c>
      <c r="R22" s="62">
        <f t="shared" si="0"/>
        <v>516.69777890043315</v>
      </c>
      <c r="S22" s="62">
        <f ca="1">AVERAGE(OFFSET($R$3,0,0,'Données projet'!$E$9+1,1))-AVERAGE(OFFSET($H$3,0,0,'Données projet'!$E$9+1,1))</f>
        <v>321.62968871874483</v>
      </c>
      <c r="T22" s="62">
        <f t="shared" si="34"/>
        <v>389.91636841473559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150.35</v>
      </c>
      <c r="AG22" s="13">
        <f>VLOOKUP(A22,'Données projet'!$A$61:$I$81,9,0)</f>
        <v>22.859999999999985</v>
      </c>
      <c r="AH22" s="13">
        <f t="array" ref="AH22">INDEX(AG:AG,MIN(IF(ISNUMBER(AG22:AG218),ROW(AG22:AG218),"")))</f>
        <v>22.859999999999985</v>
      </c>
      <c r="AI22" s="14">
        <f>IF('Données projet'!$A$62&gt;35,AI21+AH22-AQ21,IF(A22&lt;'Données projet'!$A$62,$AF$205^A22,IF(A22='Données projet'!$A$62,'Données projet'!$B$62,AI21+AH22-AQ21)))</f>
        <v>150.35</v>
      </c>
      <c r="AJ22" s="14">
        <f>AI22*VLOOKUP('Données projet'!$B$10,Paramètres!$A$1:$I$89,3,0)*VLOOKUP('Données projet'!$B$10,Paramètres!$A$1:$I$89,5,0)</f>
        <v>84.045649999999995</v>
      </c>
      <c r="AK22" s="14">
        <f t="shared" si="35"/>
        <v>23.123508581543572</v>
      </c>
      <c r="AL22" s="22">
        <f t="shared" si="4"/>
        <v>186.65295119618835</v>
      </c>
      <c r="AM22" s="62">
        <f t="shared" si="5"/>
        <v>466.54184008507718</v>
      </c>
      <c r="AN22" s="62">
        <f ca="1">AVERAGE(OFFSET($AM$3,0,0,'Données projet'!$E$10+1,1))-AVERAGE(OFFSET($H$3,0,0,'Données projet'!$E$10+1,1))</f>
        <v>405.09126081846171</v>
      </c>
      <c r="AO22" s="62">
        <f t="shared" si="36"/>
        <v>534.22295841722166</v>
      </c>
      <c r="AP22" s="16">
        <f>IF(ISNA(VLOOKUP(A22,'Données projet'!$A$61:$I$81,3,0)),0,VLOOKUP(A22,'Données projet'!$A$61:$I$81,3,0))</f>
        <v>3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0.22000000000000003</v>
      </c>
      <c r="AS22" s="17">
        <f>IF(ISNA(VLOOKUP(A22,'Données projet'!$A$61:$I$81,6,0)),0%,VLOOKUP(A22,'Données projet'!$A$61:$I$81,6,0)*VLOOKUP('Données projet'!$B$10,Paramètres!$A$1:$I$89,7,0))</f>
        <v>0.16500000000000001</v>
      </c>
      <c r="AT22" s="17">
        <f>IF(ISNA(VLOOKUP(A22,'Données projet'!$A$61:$I$81,7,0)),0%,VLOOKUP(A22,'Données projet'!$A$61:$I$81,7,0))</f>
        <v>0.3</v>
      </c>
      <c r="AU22" s="23">
        <f>EXP(-LN(2)/35)*AU21+(1-EXP(-LN(2)/35))/(LN(2)/35)*AQ22*AR22*VLOOKUP('Données projet'!$B$10,Paramètres!$A$1:$I$89,3,0)*0.475*44/12</f>
        <v>2.9917114298137304</v>
      </c>
      <c r="AV22" s="23">
        <f>EXP(-LN(2)/25)*AV21+(1-EXP(-LN(2)/25))/(LN(2)/25)*Calculateur!AQ22*Calculateur!AS22*VLOOKUP('Données projet'!$B$10,Paramètres!$A$1:$I$89,3,0)*0.475*44/12</f>
        <v>11.825676408902966</v>
      </c>
      <c r="AW22" s="23">
        <f>EXP(-LN(2)/2)*AW21+(1-EXP(-LN(2)/2))/(LN(2)/2)*AQ22*AT22*VLOOKUP('Données projet'!$B$10,Paramètres!$A$1:$I$89,3,0)*0.475*44/12</f>
        <v>16.742490356462472</v>
      </c>
      <c r="AX22" s="23">
        <f t="shared" si="6"/>
        <v>31.559878195179166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399.64596418363215</v>
      </c>
      <c r="BI22" s="62">
        <f ca="1">AVERAGE(OFFSET($BH$3,0,0,'Données projet'!$E$11+1,1))-AVERAGE(OFFSET($H$3,0,0,'Données projet'!$E$11+1,1))</f>
        <v>439.06700232017681</v>
      </c>
      <c r="BJ22" s="62">
        <f t="shared" si="38"/>
        <v>278.21741231699929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56.973513785354818</v>
      </c>
      <c r="CA22" s="14">
        <f t="shared" si="39"/>
        <v>16.400788649238766</v>
      </c>
      <c r="CB22" s="22">
        <f t="shared" si="10"/>
        <v>127.7935767402505</v>
      </c>
      <c r="CC22" s="62">
        <f t="shared" si="11"/>
        <v>407.68246562913936</v>
      </c>
      <c r="CD22" s="62">
        <f ca="1">AVERAGE(OFFSET($CC$3,0,0,'Données projet'!$E$12+1,1))-AVERAGE(OFFSET($H$3,0,0,'Données projet'!$E$12+1,1))</f>
        <v>466.4945858005575</v>
      </c>
      <c r="CE22" s="62">
        <f t="shared" si="40"/>
        <v>294.45557293177131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39.513888593068664</v>
      </c>
      <c r="CV22" s="14">
        <f t="shared" si="41"/>
        <v>11.869711479672622</v>
      </c>
      <c r="CW22" s="22">
        <f t="shared" si="13"/>
        <v>89.493103460024415</v>
      </c>
      <c r="CX22" s="62">
        <f t="shared" si="14"/>
        <v>369.38199234891329</v>
      </c>
      <c r="CY22" s="62">
        <f ca="1">AVERAGE(OFFSET($CX$3,0,0,'Données projet'!$E$13+1,1))-AVERAGE(OFFSET($H$3,0,0,'Données projet'!$E$13+1,1))</f>
        <v>335.83558218229564</v>
      </c>
      <c r="CZ22" s="62">
        <f t="shared" si="42"/>
        <v>217.08423061559648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137</v>
      </c>
      <c r="L23" s="13">
        <f>VLOOKUP(A23,'Données projet'!$A$35:$I$55,9,0)</f>
        <v>14.2</v>
      </c>
      <c r="M23" s="13">
        <f t="array" ref="M23">INDEX(L:L,MIN(IF(ISNUMBER(L23:L219),ROW(L23:L219),"")))</f>
        <v>14.2</v>
      </c>
      <c r="N23" s="14">
        <f>IF('Données projet'!$A$36&gt;35,N22+M23-V22,IF(A23&lt;'Données projet'!$A$36,$K$205^A23,IF(A23='Données projet'!$A$36,'Données projet'!$B$36,N22+M23-V22)))</f>
        <v>137</v>
      </c>
      <c r="O23" s="14">
        <f>N23*VLOOKUP('Données projet'!$B$9,Paramètres!$A$1:$I$89,3,0)*VLOOKUP('Données projet'!$B$9,Paramètres!$A$1:$I$89,5,0)</f>
        <v>119.68320000000003</v>
      </c>
      <c r="P23" s="14">
        <f t="shared" si="33"/>
        <v>31.601099532596194</v>
      </c>
      <c r="Q23" s="22">
        <f t="shared" si="2"/>
        <v>263.48682168593842</v>
      </c>
      <c r="R23" s="62">
        <f t="shared" si="0"/>
        <v>544.59793279704957</v>
      </c>
      <c r="S23" s="62">
        <f ca="1">AVERAGE(OFFSET($R$3,0,0,'Données projet'!$E$9+1,1))-AVERAGE(OFFSET($H$3,0,0,'Données projet'!$E$9+1,1))</f>
        <v>321.62968871874483</v>
      </c>
      <c r="T23" s="62">
        <f t="shared" si="34"/>
        <v>389.91636841473559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43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0.215</v>
      </c>
      <c r="Y23" s="17">
        <f>IF(ISNA(VLOOKUP(A23,'Données projet'!$A$35:$I$55,7,0)),0%,VLOOKUP(A23,'Données projet'!$A$35:$I$55,7,0))</f>
        <v>0.5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8.8931024011363835</v>
      </c>
      <c r="AB23" s="23">
        <f>EXP(-LN(2)/2)*AB22+(1-EXP(-LN(2)/2))/(LN(2)/2)*V23*Y23*VLOOKUP('Données projet'!$B$9,Paramètres!$A$1:$I$89,3,0)*0.475*44/12</f>
        <v>17.721699920884245</v>
      </c>
      <c r="AC23" s="24">
        <f t="shared" si="3"/>
        <v>26.61480232202063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27.097500000000004</v>
      </c>
      <c r="AI23" s="14">
        <f>IF('Données projet'!$A$62&gt;35,AI22+AH23-AQ22,IF(A23&lt;'Données projet'!$A$62,$AF$205^A23,IF(A23='Données projet'!$A$62,'Données projet'!$B$62,AI22+AH23-AQ22)))</f>
        <v>177.44749999999999</v>
      </c>
      <c r="AJ23" s="14">
        <f>AI23*VLOOKUP('Données projet'!$B$10,Paramètres!$A$1:$I$89,3,0)*VLOOKUP('Données projet'!$B$10,Paramètres!$A$1:$I$89,5,0)</f>
        <v>99.193152499999997</v>
      </c>
      <c r="AK23" s="14">
        <f t="shared" si="35"/>
        <v>26.769686721634265</v>
      </c>
      <c r="AL23" s="22">
        <f t="shared" si="4"/>
        <v>219.38527831101297</v>
      </c>
      <c r="AM23" s="62">
        <f t="shared" si="5"/>
        <v>500.49638942212414</v>
      </c>
      <c r="AN23" s="62">
        <f ca="1">AVERAGE(OFFSET($AM$3,0,0,'Données projet'!$E$10+1,1))-AVERAGE(OFFSET($H$3,0,0,'Données projet'!$E$10+1,1))</f>
        <v>405.09126081846171</v>
      </c>
      <c r="AO23" s="62">
        <f t="shared" si="36"/>
        <v>534.22295841722166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2.9330457934388749</v>
      </c>
      <c r="AV23" s="23">
        <f>EXP(-LN(2)/25)*AV22+(1-EXP(-LN(2)/25))/(LN(2)/25)*Calculateur!AQ23*Calculateur!AS23*VLOOKUP('Données projet'!$B$10,Paramètres!$A$1:$I$89,3,0)*0.475*44/12</f>
        <v>11.50230266561622</v>
      </c>
      <c r="AW23" s="23">
        <f>EXP(-LN(2)/2)*AW22+(1-EXP(-LN(2)/2))/(LN(2)/2)*AQ23*AT23*VLOOKUP('Données projet'!$B$10,Paramètres!$A$1:$I$89,3,0)*0.475*44/12</f>
        <v>11.838728465004992</v>
      </c>
      <c r="AX23" s="23">
        <f t="shared" si="6"/>
        <v>26.27407692406009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428.69949531545831</v>
      </c>
      <c r="BI23" s="62">
        <f ca="1">AVERAGE(OFFSET($BH$3,0,0,'Données projet'!$E$11+1,1))-AVERAGE(OFFSET($H$3,0,0,'Données projet'!$E$11+1,1))</f>
        <v>439.06700232017681</v>
      </c>
      <c r="BJ23" s="62">
        <f t="shared" si="38"/>
        <v>278.21741231699929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70.605599999999995</v>
      </c>
      <c r="CA23" s="14">
        <f t="shared" si="39"/>
        <v>19.823773913828742</v>
      </c>
      <c r="CB23" s="22">
        <f t="shared" si="10"/>
        <v>157.49782623325171</v>
      </c>
      <c r="CC23" s="62">
        <f t="shared" si="11"/>
        <v>438.60893734436286</v>
      </c>
      <c r="CD23" s="62">
        <f ca="1">AVERAGE(OFFSET($CC$3,0,0,'Données projet'!$E$12+1,1))-AVERAGE(OFFSET($H$3,0,0,'Données projet'!$E$12+1,1))</f>
        <v>466.4945858005575</v>
      </c>
      <c r="CE23" s="62">
        <f t="shared" si="40"/>
        <v>294.45557293177131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48.968400000000003</v>
      </c>
      <c r="CV23" s="14">
        <f t="shared" si="41"/>
        <v>14.347022074839625</v>
      </c>
      <c r="CW23" s="22">
        <f t="shared" si="13"/>
        <v>110.27436011367904</v>
      </c>
      <c r="CX23" s="62">
        <f t="shared" si="14"/>
        <v>391.38547122479019</v>
      </c>
      <c r="CY23" s="62">
        <f ca="1">AVERAGE(OFFSET($CX$3,0,0,'Données projet'!$E$13+1,1))-AVERAGE(OFFSET($H$3,0,0,'Données projet'!$E$13+1,1))</f>
        <v>335.83558218229564</v>
      </c>
      <c r="CZ23" s="62">
        <f t="shared" si="42"/>
        <v>217.08423061559648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13.8</v>
      </c>
      <c r="N24" s="14">
        <f>IF('Données projet'!$A$36&gt;35,N23+M24-V23,IF(A24&lt;'Données projet'!$A$36,$K$205^A24,IF(A24='Données projet'!$A$36,'Données projet'!$B$36,N23+M24-V23)))</f>
        <v>107.80000000000001</v>
      </c>
      <c r="O24" s="14">
        <f>N24*VLOOKUP('Données projet'!$B$9,Paramètres!$A$1:$I$89,3,0)*VLOOKUP('Données projet'!$B$9,Paramètres!$A$1:$I$89,5,0)</f>
        <v>94.174080000000018</v>
      </c>
      <c r="P24" s="14">
        <f t="shared" si="33"/>
        <v>25.569241067746205</v>
      </c>
      <c r="Q24" s="22">
        <f t="shared" si="2"/>
        <v>208.55295085965801</v>
      </c>
      <c r="R24" s="62">
        <f t="shared" si="0"/>
        <v>490.8862841929913</v>
      </c>
      <c r="S24" s="62">
        <f ca="1">AVERAGE(OFFSET($R$3,0,0,'Données projet'!$E$9+1,1))-AVERAGE(OFFSET($H$3,0,0,'Données projet'!$E$9+1,1))</f>
        <v>321.62968871874483</v>
      </c>
      <c r="T24" s="62">
        <f t="shared" si="34"/>
        <v>389.91636841473559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8.6499200483093794</v>
      </c>
      <c r="AB24" s="23">
        <f>EXP(-LN(2)/2)*AB23+(1-EXP(-LN(2)/2))/(LN(2)/2)*V24*Y24*VLOOKUP('Données projet'!$B$9,Paramètres!$A$1:$I$89,3,0)*0.475*44/12</f>
        <v>12.531134188210354</v>
      </c>
      <c r="AC24" s="24">
        <f t="shared" si="3"/>
        <v>21.181054236519735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27.097500000000004</v>
      </c>
      <c r="AI24" s="14">
        <f>IF('Données projet'!$A$62&gt;35,AI23+AH24-AQ23,IF(A24&lt;'Données projet'!$A$62,$AF$205^A24,IF(A24='Données projet'!$A$62,'Données projet'!$B$62,AI23+AH24-AQ23)))</f>
        <v>204.54499999999999</v>
      </c>
      <c r="AJ24" s="14">
        <f>AI24*VLOOKUP('Données projet'!$B$10,Paramètres!$A$1:$I$89,3,0)*VLOOKUP('Données projet'!$B$10,Paramètres!$A$1:$I$89,5,0)</f>
        <v>114.340655</v>
      </c>
      <c r="AK24" s="14">
        <f t="shared" si="35"/>
        <v>30.351361817470281</v>
      </c>
      <c r="AL24" s="22">
        <f t="shared" si="4"/>
        <v>252.00526262376073</v>
      </c>
      <c r="AM24" s="62">
        <f t="shared" si="5"/>
        <v>534.33859595709407</v>
      </c>
      <c r="AN24" s="62">
        <f ca="1">AVERAGE(OFFSET($AM$3,0,0,'Données projet'!$E$10+1,1))-AVERAGE(OFFSET($H$3,0,0,'Données projet'!$E$10+1,1))</f>
        <v>405.09126081846171</v>
      </c>
      <c r="AO24" s="62">
        <f t="shared" si="36"/>
        <v>534.22295841722166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2.8755305544108252</v>
      </c>
      <c r="AV24" s="23">
        <f>EXP(-LN(2)/25)*AV23+(1-EXP(-LN(2)/25))/(LN(2)/25)*Calculateur!AQ24*Calculateur!AS24*VLOOKUP('Données projet'!$B$10,Paramètres!$A$1:$I$89,3,0)*0.475*44/12</f>
        <v>11.187771594345136</v>
      </c>
      <c r="AW24" s="23">
        <f>EXP(-LN(2)/2)*AW23+(1-EXP(-LN(2)/2))/(LN(2)/2)*AQ24*AT24*VLOOKUP('Données projet'!$B$10,Paramètres!$A$1:$I$89,3,0)*0.475*44/12</f>
        <v>8.3712451782312378</v>
      </c>
      <c r="AX24" s="23">
        <f t="shared" si="6"/>
        <v>22.4345473269872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432.2850952483584</v>
      </c>
      <c r="BI24" s="62">
        <f ca="1">AVERAGE(OFFSET($BH$3,0,0,'Données projet'!$E$11+1,1))-AVERAGE(OFFSET($H$3,0,0,'Données projet'!$E$11+1,1))</f>
        <v>439.06700232017681</v>
      </c>
      <c r="BJ24" s="62">
        <f t="shared" si="38"/>
        <v>278.21741231699929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71.76624000000001</v>
      </c>
      <c r="CA24" s="14">
        <f t="shared" si="39"/>
        <v>20.111439068025625</v>
      </c>
      <c r="CB24" s="22">
        <f t="shared" si="10"/>
        <v>160.02029104347795</v>
      </c>
      <c r="CC24" s="62">
        <f t="shared" si="11"/>
        <v>442.35362437681124</v>
      </c>
      <c r="CD24" s="62">
        <f ca="1">AVERAGE(OFFSET($CC$3,0,0,'Données projet'!$E$12+1,1))-AVERAGE(OFFSET($H$3,0,0,'Données projet'!$E$12+1,1))</f>
        <v>466.4945858005575</v>
      </c>
      <c r="CE24" s="62">
        <f t="shared" si="40"/>
        <v>294.45557293177131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49.773360000000004</v>
      </c>
      <c r="CV24" s="14">
        <f t="shared" si="41"/>
        <v>14.555213428078664</v>
      </c>
      <c r="CW24" s="22">
        <f t="shared" si="13"/>
        <v>112.03893205390368</v>
      </c>
      <c r="CX24" s="62">
        <f t="shared" si="14"/>
        <v>394.37226538723701</v>
      </c>
      <c r="CY24" s="62">
        <f ca="1">AVERAGE(OFFSET($CX$3,0,0,'Données projet'!$E$13+1,1))-AVERAGE(OFFSET($H$3,0,0,'Données projet'!$E$13+1,1))</f>
        <v>335.83558218229564</v>
      </c>
      <c r="CZ24" s="62">
        <f t="shared" si="42"/>
        <v>217.08423061559648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13.8</v>
      </c>
      <c r="N25" s="14">
        <f>IF('Données projet'!$A$36&gt;35,N24+M25-V24,IF(A25&lt;'Données projet'!$A$36,$K$205^A25,IF(A25='Données projet'!$A$36,'Données projet'!$B$36,N24+M25-V24)))</f>
        <v>121.60000000000001</v>
      </c>
      <c r="O25" s="14">
        <f>N25*VLOOKUP('Données projet'!$B$9,Paramètres!$A$1:$I$89,3,0)*VLOOKUP('Données projet'!$B$9,Paramètres!$A$1:$I$89,5,0)</f>
        <v>106.22976000000003</v>
      </c>
      <c r="P25" s="14">
        <f t="shared" si="33"/>
        <v>28.440891625171492</v>
      </c>
      <c r="Q25" s="22">
        <f t="shared" si="2"/>
        <v>234.55138491384039</v>
      </c>
      <c r="R25" s="62">
        <f t="shared" si="0"/>
        <v>518.10694046939591</v>
      </c>
      <c r="S25" s="62">
        <f ca="1">AVERAGE(OFFSET($R$3,0,0,'Données projet'!$E$9+1,1))-AVERAGE(OFFSET($H$3,0,0,'Données projet'!$E$9+1,1))</f>
        <v>321.62968871874483</v>
      </c>
      <c r="T25" s="62">
        <f t="shared" si="34"/>
        <v>389.91636841473559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8.4133875297088334</v>
      </c>
      <c r="AB25" s="23">
        <f>EXP(-LN(2)/2)*AB24+(1-EXP(-LN(2)/2))/(LN(2)/2)*V25*Y25*VLOOKUP('Données projet'!$B$9,Paramètres!$A$1:$I$89,3,0)*0.475*44/12</f>
        <v>8.860849960442124</v>
      </c>
      <c r="AC25" s="24">
        <f t="shared" si="3"/>
        <v>17.274237490150959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27.097500000000004</v>
      </c>
      <c r="AI25" s="14">
        <f>IF('Données projet'!$A$62&gt;35,AI24+AH25-AQ24,IF(A25&lt;'Données projet'!$A$62,$AF$205^A25,IF(A25='Données projet'!$A$62,'Données projet'!$B$62,AI24+AH25-AQ24)))</f>
        <v>231.64249999999998</v>
      </c>
      <c r="AJ25" s="14">
        <f>AI25*VLOOKUP('Données projet'!$B$10,Paramètres!$A$1:$I$89,3,0)*VLOOKUP('Données projet'!$B$10,Paramètres!$A$1:$I$89,5,0)</f>
        <v>129.4881575</v>
      </c>
      <c r="AK25" s="14">
        <f t="shared" si="35"/>
        <v>33.878060417139011</v>
      </c>
      <c r="AL25" s="22">
        <f t="shared" si="4"/>
        <v>284.52949620568376</v>
      </c>
      <c r="AM25" s="62">
        <f t="shared" si="5"/>
        <v>568.08505176123936</v>
      </c>
      <c r="AN25" s="62">
        <f ca="1">AVERAGE(OFFSET($AM$3,0,0,'Données projet'!$E$10+1,1))-AVERAGE(OFFSET($H$3,0,0,'Données projet'!$E$10+1,1))</f>
        <v>405.09126081846171</v>
      </c>
      <c r="AO25" s="62">
        <f t="shared" si="36"/>
        <v>534.22295841722166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2.819143154139284</v>
      </c>
      <c r="AV25" s="23">
        <f>EXP(-LN(2)/25)*AV24+(1-EXP(-LN(2)/25))/(LN(2)/25)*Calculateur!AQ25*Calculateur!AS25*VLOOKUP('Données projet'!$B$10,Paramètres!$A$1:$I$89,3,0)*0.475*44/12</f>
        <v>10.88184139175843</v>
      </c>
      <c r="AW25" s="23">
        <f>EXP(-LN(2)/2)*AW24+(1-EXP(-LN(2)/2))/(LN(2)/2)*AQ25*AT25*VLOOKUP('Données projet'!$B$10,Paramètres!$A$1:$I$89,3,0)*0.475*44/12</f>
        <v>5.9193642325024971</v>
      </c>
      <c r="AX25" s="23">
        <f t="shared" si="6"/>
        <v>19.620348778400214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447.66946185598249</v>
      </c>
      <c r="BI25" s="62">
        <f ca="1">AVERAGE(OFFSET($BH$3,0,0,'Données projet'!$E$11+1,1))-AVERAGE(OFFSET($H$3,0,0,'Données projet'!$E$11+1,1))</f>
        <v>439.06700232017681</v>
      </c>
      <c r="BJ25" s="62">
        <f t="shared" si="38"/>
        <v>278.21741231699929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78.730080000000015</v>
      </c>
      <c r="CA25" s="14">
        <f t="shared" si="39"/>
        <v>21.826393515256996</v>
      </c>
      <c r="CB25" s="22">
        <f t="shared" si="10"/>
        <v>175.13585803907259</v>
      </c>
      <c r="CC25" s="62">
        <f t="shared" si="11"/>
        <v>458.6914135946281</v>
      </c>
      <c r="CD25" s="62">
        <f ca="1">AVERAGE(OFFSET($CC$3,0,0,'Données projet'!$E$12+1,1))-AVERAGE(OFFSET($H$3,0,0,'Données projet'!$E$12+1,1))</f>
        <v>466.4945858005575</v>
      </c>
      <c r="CE25" s="62">
        <f t="shared" si="40"/>
        <v>294.45557293177131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54.603120000000004</v>
      </c>
      <c r="CV25" s="14">
        <f t="shared" si="41"/>
        <v>15.796374138381612</v>
      </c>
      <c r="CW25" s="22">
        <f t="shared" si="13"/>
        <v>122.61245229101463</v>
      </c>
      <c r="CX25" s="62">
        <f t="shared" si="14"/>
        <v>406.16800784657016</v>
      </c>
      <c r="CY25" s="62">
        <f ca="1">AVERAGE(OFFSET($CX$3,0,0,'Données projet'!$E$13+1,1))-AVERAGE(OFFSET($H$3,0,0,'Données projet'!$E$13+1,1))</f>
        <v>335.83558218229564</v>
      </c>
      <c r="CZ25" s="62">
        <f t="shared" si="42"/>
        <v>217.08423061559648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13.8</v>
      </c>
      <c r="N26" s="14">
        <f>IF('Données projet'!$A$36&gt;35,N25+M26-V25,IF(A26&lt;'Données projet'!$A$36,$K$205^A26,IF(A26='Données projet'!$A$36,'Données projet'!$B$36,N25+M26-V25)))</f>
        <v>135.4</v>
      </c>
      <c r="O26" s="14">
        <f>N26*VLOOKUP('Données projet'!$B$9,Paramètres!$A$1:$I$89,3,0)*VLOOKUP('Données projet'!$B$9,Paramètres!$A$1:$I$89,5,0)</f>
        <v>118.28544000000002</v>
      </c>
      <c r="P26" s="14">
        <f t="shared" si="33"/>
        <v>31.274772013169596</v>
      </c>
      <c r="Q26" s="22">
        <f t="shared" si="2"/>
        <v>260.48403592293715</v>
      </c>
      <c r="R26" s="62">
        <f t="shared" si="0"/>
        <v>545.26181370071492</v>
      </c>
      <c r="S26" s="62">
        <f ca="1">AVERAGE(OFFSET($R$3,0,0,'Données projet'!$E$9+1,1))-AVERAGE(OFFSET($H$3,0,0,'Données projet'!$E$9+1,1))</f>
        <v>321.62968871874483</v>
      </c>
      <c r="T26" s="62">
        <f t="shared" si="34"/>
        <v>389.91636841473559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8.1833230052681234</v>
      </c>
      <c r="AB26" s="23">
        <f>EXP(-LN(2)/2)*AB25+(1-EXP(-LN(2)/2))/(LN(2)/2)*V26*Y26*VLOOKUP('Données projet'!$B$9,Paramètres!$A$1:$I$89,3,0)*0.475*44/12</f>
        <v>6.2655670941051778</v>
      </c>
      <c r="AC26" s="24">
        <f t="shared" si="3"/>
        <v>14.448890099373301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258.74</v>
      </c>
      <c r="AG26" s="13">
        <f>VLOOKUP(A26,'Données projet'!$A$61:$I$81,9,0)</f>
        <v>27.097500000000004</v>
      </c>
      <c r="AH26" s="13">
        <f t="array" ref="AH26">INDEX(AG:AG,MIN(IF(ISNUMBER(AG26:AG222),ROW(AG26:AG222),"")))</f>
        <v>27.097500000000004</v>
      </c>
      <c r="AI26" s="14">
        <f>IF('Données projet'!$A$62&gt;35,AI25+AH26-AQ25,IF(A26&lt;'Données projet'!$A$62,$AF$205^A26,IF(A26='Données projet'!$A$62,'Données projet'!$B$62,AI25+AH26-AQ25)))</f>
        <v>258.74</v>
      </c>
      <c r="AJ26" s="14">
        <f>AI26*VLOOKUP('Données projet'!$B$10,Paramètres!$A$1:$I$89,3,0)*VLOOKUP('Données projet'!$B$10,Paramètres!$A$1:$I$89,5,0)</f>
        <v>144.63566</v>
      </c>
      <c r="AK26" s="14">
        <f t="shared" si="35"/>
        <v>37.356948366647352</v>
      </c>
      <c r="AL26" s="22">
        <f t="shared" si="4"/>
        <v>316.97045957191079</v>
      </c>
      <c r="AM26" s="62">
        <f t="shared" si="5"/>
        <v>601.74823734968857</v>
      </c>
      <c r="AN26" s="62">
        <f ca="1">AVERAGE(OFFSET($AM$3,0,0,'Données projet'!$E$10+1,1))-AVERAGE(OFFSET($H$3,0,0,'Données projet'!$E$10+1,1))</f>
        <v>405.09126081846171</v>
      </c>
      <c r="AO26" s="62">
        <f t="shared" si="36"/>
        <v>534.22295841722166</v>
      </c>
      <c r="AP26" s="16">
        <f>IF(ISNA(VLOOKUP(A26,'Données projet'!$A$61:$I$81,3,0)),0,VLOOKUP(A26,'Données projet'!$A$61:$I$81,3,0))</f>
        <v>4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2.7638614763941494</v>
      </c>
      <c r="AV26" s="23">
        <f>EXP(-LN(2)/25)*AV25+(1-EXP(-LN(2)/25))/(LN(2)/25)*Calculateur!AQ26*Calculateur!AS26*VLOOKUP('Données projet'!$B$10,Paramètres!$A$1:$I$89,3,0)*0.475*44/12</f>
        <v>10.584276866649628</v>
      </c>
      <c r="AW26" s="23">
        <f>EXP(-LN(2)/2)*AW25+(1-EXP(-LN(2)/2))/(LN(2)/2)*AQ26*AT26*VLOOKUP('Données projet'!$B$10,Paramètres!$A$1:$I$89,3,0)*0.475*44/12</f>
        <v>4.1856225891156189</v>
      </c>
      <c r="AX26" s="23">
        <f t="shared" si="6"/>
        <v>17.533760932159396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463.02494493049426</v>
      </c>
      <c r="BI26" s="62">
        <f ca="1">AVERAGE(OFFSET($BH$3,0,0,'Données projet'!$E$11+1,1))-AVERAGE(OFFSET($H$3,0,0,'Données projet'!$E$11+1,1))</f>
        <v>439.06700232017681</v>
      </c>
      <c r="BJ26" s="62">
        <f t="shared" si="38"/>
        <v>278.21741231699929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85.693920000000006</v>
      </c>
      <c r="CA26" s="14">
        <f t="shared" si="39"/>
        <v>23.523757486236178</v>
      </c>
      <c r="CB26" s="22">
        <f t="shared" si="10"/>
        <v>190.22078828852798</v>
      </c>
      <c r="CC26" s="62">
        <f t="shared" si="11"/>
        <v>474.99856606630578</v>
      </c>
      <c r="CD26" s="62">
        <f ca="1">AVERAGE(OFFSET($CC$3,0,0,'Données projet'!$E$12+1,1))-AVERAGE(OFFSET($H$3,0,0,'Données projet'!$E$12+1,1))</f>
        <v>466.4945858005575</v>
      </c>
      <c r="CE26" s="62">
        <f t="shared" si="40"/>
        <v>294.45557293177131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59.432880000000011</v>
      </c>
      <c r="CV26" s="14">
        <f t="shared" si="41"/>
        <v>17.024804126865714</v>
      </c>
      <c r="CW26" s="22">
        <f t="shared" si="13"/>
        <v>133.16379985429114</v>
      </c>
      <c r="CX26" s="62">
        <f t="shared" si="14"/>
        <v>417.94157763206891</v>
      </c>
      <c r="CY26" s="62">
        <f ca="1">AVERAGE(OFFSET($CX$3,0,0,'Données projet'!$E$13+1,1))-AVERAGE(OFFSET($H$3,0,0,'Données projet'!$E$13+1,1))</f>
        <v>335.83558218229564</v>
      </c>
      <c r="CZ26" s="62">
        <f t="shared" si="42"/>
        <v>217.08423061559648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13.8</v>
      </c>
      <c r="N27" s="14">
        <f>IF('Données projet'!$A$36&gt;35,N26+M27-V26,IF(A27&lt;'Données projet'!$A$36,$K$205^A27,IF(A27='Données projet'!$A$36,'Données projet'!$B$36,N26+M27-V26)))</f>
        <v>149.20000000000002</v>
      </c>
      <c r="O27" s="14">
        <f>N27*VLOOKUP('Données projet'!$B$9,Paramètres!$A$1:$I$89,3,0)*VLOOKUP('Données projet'!$B$9,Paramètres!$A$1:$I$89,5,0)</f>
        <v>130.34112000000005</v>
      </c>
      <c r="P27" s="14">
        <f t="shared" si="33"/>
        <v>34.075170122989917</v>
      </c>
      <c r="Q27" s="22">
        <f t="shared" si="2"/>
        <v>286.35837196420749</v>
      </c>
      <c r="R27" s="62">
        <f t="shared" si="0"/>
        <v>572.35837196420744</v>
      </c>
      <c r="S27" s="62">
        <f ca="1">AVERAGE(OFFSET($R$3,0,0,'Données projet'!$E$9+1,1))-AVERAGE(OFFSET($H$3,0,0,'Données projet'!$E$9+1,1))</f>
        <v>321.62968871874483</v>
      </c>
      <c r="T27" s="62">
        <f t="shared" si="34"/>
        <v>389.91636841473559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7.9595496073468128</v>
      </c>
      <c r="AB27" s="23">
        <f>EXP(-LN(2)/2)*AB26+(1-EXP(-LN(2)/2))/(LN(2)/2)*V27*Y27*VLOOKUP('Données projet'!$B$9,Paramètres!$A$1:$I$89,3,0)*0.475*44/12</f>
        <v>4.4304249802210629</v>
      </c>
      <c r="AC27" s="24">
        <f t="shared" si="3"/>
        <v>12.389974587567876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289.08999999999997</v>
      </c>
      <c r="AG27" s="13">
        <f>VLOOKUP(A27,'Données projet'!$A$61:$I$81,9,0)</f>
        <v>30.349999999999966</v>
      </c>
      <c r="AH27" s="13">
        <f t="array" ref="AH27">INDEX(AG:AG,MIN(IF(ISNUMBER(AG27:AG223),ROW(AG27:AG223),"")))</f>
        <v>30.349999999999966</v>
      </c>
      <c r="AI27" s="14">
        <f>IF('Données projet'!$A$62&gt;35,AI26+AH27-AQ26,IF(A27&lt;'Données projet'!$A$62,$AF$205^A27,IF(A27='Données projet'!$A$62,'Données projet'!$B$62,AI26+AH27-AQ26)))</f>
        <v>289.08999999999997</v>
      </c>
      <c r="AJ27" s="14">
        <f>AI27*VLOOKUP('Données projet'!$B$10,Paramètres!$A$1:$I$89,3,0)*VLOOKUP('Données projet'!$B$10,Paramètres!$A$1:$I$89,5,0)</f>
        <v>161.60130999999998</v>
      </c>
      <c r="AK27" s="14">
        <f t="shared" si="35"/>
        <v>41.203485747561459</v>
      </c>
      <c r="AL27" s="22">
        <f t="shared" si="4"/>
        <v>353.21835259366952</v>
      </c>
      <c r="AM27" s="62">
        <f t="shared" si="5"/>
        <v>639.21835259366958</v>
      </c>
      <c r="AN27" s="62">
        <f ca="1">AVERAGE(OFFSET($AM$3,0,0,'Données projet'!$E$10+1,1))-AVERAGE(OFFSET($H$3,0,0,'Données projet'!$E$10+1,1))</f>
        <v>405.09126081846171</v>
      </c>
      <c r="AO27" s="62">
        <f t="shared" si="36"/>
        <v>534.22295841722166</v>
      </c>
      <c r="AP27" s="16">
        <f>IF(ISNA(VLOOKUP(A27,'Données projet'!$A$61:$I$81,3,0)),0,VLOOKUP(A27,'Données projet'!$A$61:$I$81,3,0))</f>
        <v>5</v>
      </c>
      <c r="AQ27" s="16">
        <f>IF(ISNA(VLOOKUP(A27,'Données projet'!$A$61:$I$81,4,0)),0,VLOOKUP(A27,'Données projet'!$A$61:$I$81,4,0))</f>
        <v>51.39</v>
      </c>
      <c r="AR27" s="17">
        <f>IF(ISNA(VLOOKUP(A27,'Données projet'!$A$61:$I$81,5,0)),0%,VLOOKUP(A27,'Données projet'!$A$61:$I$81,5,0)*VLOOKUP('Données projet'!$B$10,Paramètres!$A$1:$I$89,7,0))</f>
        <v>0.22000000000000003</v>
      </c>
      <c r="AS27" s="17">
        <f>IF(ISNA(VLOOKUP(A27,'Données projet'!$A$61:$I$81,6,0)),0%,VLOOKUP(A27,'Données projet'!$A$61:$I$81,6,0)*VLOOKUP('Données projet'!$B$10,Paramètres!$A$1:$I$89,7,0))</f>
        <v>0.16500000000000001</v>
      </c>
      <c r="AT27" s="17">
        <f>IF(ISNA(VLOOKUP(A27,'Données projet'!$A$61:$I$81,7,0)),0%,VLOOKUP(A27,'Données projet'!$A$61:$I$81,7,0))</f>
        <v>0.3</v>
      </c>
      <c r="AU27" s="23">
        <f>EXP(-LN(2)/35)*AU26+(1-EXP(-LN(2)/35))/(LN(2)/35)*AQ27*AR27*VLOOKUP('Données projet'!$B$10,Paramètres!$A$1:$I$89,3,0)*0.475*44/12</f>
        <v>11.093474521583474</v>
      </c>
      <c r="AV27" s="23">
        <f>EXP(-LN(2)/25)*AV26+(1-EXP(-LN(2)/25))/(LN(2)/25)*Calculateur!AQ27*Calculateur!AS27*VLOOKUP('Données projet'!$B$10,Paramètres!$A$1:$I$89,3,0)*0.475*44/12</f>
        <v>16.557949578486618</v>
      </c>
      <c r="AW27" s="23">
        <f>EXP(-LN(2)/2)*AW26+(1-EXP(-LN(2)/2))/(LN(2)/2)*AQ27*AT27*VLOOKUP('Données projet'!$B$10,Paramètres!$A$1:$I$89,3,0)*0.475*44/12</f>
        <v>12.717376676260976</v>
      </c>
      <c r="AX27" s="23">
        <f t="shared" si="6"/>
        <v>40.368800776331071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478.35415851868379</v>
      </c>
      <c r="BI27" s="62">
        <f ca="1">AVERAGE(OFFSET($BH$3,0,0,'Données projet'!$E$11+1,1))-AVERAGE(OFFSET($H$3,0,0,'Données projet'!$E$11+1,1))</f>
        <v>439.06700232017681</v>
      </c>
      <c r="BJ27" s="62">
        <f t="shared" si="38"/>
        <v>278.21741231699929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92.65776000000001</v>
      </c>
      <c r="CA27" s="14">
        <f t="shared" si="39"/>
        <v>25.205122972074609</v>
      </c>
      <c r="CB27" s="22">
        <f t="shared" si="10"/>
        <v>205.2778545096966</v>
      </c>
      <c r="CC27" s="62">
        <f t="shared" si="11"/>
        <v>491.27785450969657</v>
      </c>
      <c r="CD27" s="62">
        <f ca="1">AVERAGE(OFFSET($CC$3,0,0,'Données projet'!$E$12+1,1))-AVERAGE(OFFSET($H$3,0,0,'Données projet'!$E$12+1,1))</f>
        <v>466.4945858005575</v>
      </c>
      <c r="CE27" s="62">
        <f t="shared" si="40"/>
        <v>294.45557293177131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64.262640000000005</v>
      </c>
      <c r="CV27" s="14">
        <f t="shared" si="41"/>
        <v>18.24165556222081</v>
      </c>
      <c r="CW27" s="22">
        <f t="shared" si="13"/>
        <v>143.69498143753458</v>
      </c>
      <c r="CX27" s="62">
        <f t="shared" si="14"/>
        <v>429.69498143753458</v>
      </c>
      <c r="CY27" s="62">
        <f ca="1">AVERAGE(OFFSET($CX$3,0,0,'Données projet'!$E$13+1,1))-AVERAGE(OFFSET($H$3,0,0,'Données projet'!$E$13+1,1))</f>
        <v>335.83558218229564</v>
      </c>
      <c r="CZ27" s="62">
        <f t="shared" si="42"/>
        <v>217.08423061559648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163</v>
      </c>
      <c r="L28" s="13">
        <f>VLOOKUP(A28,'Données projet'!$A$35:$I$55,9,0)</f>
        <v>13.8</v>
      </c>
      <c r="M28" s="13">
        <f t="array" ref="M28">INDEX(L:L,MIN(IF(ISNUMBER(L28:L224),ROW(L28:L224),"")))</f>
        <v>13.8</v>
      </c>
      <c r="N28" s="14">
        <f>IF('Données projet'!$A$36&gt;35,N27+M28-V27,IF(A28&lt;'Données projet'!$A$36,$K$205^A28,IF(A28='Données projet'!$A$36,'Données projet'!$B$36,N27+M28-V27)))</f>
        <v>163.00000000000003</v>
      </c>
      <c r="O28" s="14">
        <f>N28*VLOOKUP('Données projet'!$B$9,Paramètres!$A$1:$I$89,3,0)*VLOOKUP('Données projet'!$B$9,Paramètres!$A$1:$I$89,5,0)</f>
        <v>142.39680000000004</v>
      </c>
      <c r="P28" s="14">
        <f t="shared" si="33"/>
        <v>36.845535084476985</v>
      </c>
      <c r="Q28" s="22">
        <f t="shared" si="2"/>
        <v>312.18040027213078</v>
      </c>
      <c r="R28" s="62">
        <f t="shared" si="0"/>
        <v>599.40262249435295</v>
      </c>
      <c r="S28" s="62">
        <f ca="1">AVERAGE(OFFSET($R$3,0,0,'Données projet'!$E$9+1,1))-AVERAGE(OFFSET($H$3,0,0,'Données projet'!$E$9+1,1))</f>
        <v>321.62968871874483</v>
      </c>
      <c r="T28" s="62">
        <f t="shared" si="34"/>
        <v>389.91636841473559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0.215</v>
      </c>
      <c r="Y28" s="17">
        <f>IF(ISNA(VLOOKUP(A28,'Données projet'!$A$35:$I$55,7,0)),0%,VLOOKUP(A28,'Données projet'!$A$35:$I$55,7,0))</f>
        <v>0.5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16.841814040805925</v>
      </c>
      <c r="AB28" s="23">
        <f>EXP(-LN(2)/2)*AB27+(1-EXP(-LN(2)/2))/(LN(2)/2)*V28*Y28*VLOOKUP('Données projet'!$B$9,Paramètres!$A$1:$I$89,3,0)*0.475*44/12</f>
        <v>21.26661602423647</v>
      </c>
      <c r="AC28" s="24">
        <f t="shared" si="3"/>
        <v>38.108430065042398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27.550000000000011</v>
      </c>
      <c r="AI28" s="14">
        <f>IF('Données projet'!$A$62&gt;35,AI27+AH28-AQ27,IF(A28&lt;'Données projet'!$A$62,$AF$205^A28,IF(A28='Données projet'!$A$62,'Données projet'!$B$62,AI27+AH28-AQ27)))</f>
        <v>265.25</v>
      </c>
      <c r="AJ28" s="14">
        <f>AI28*VLOOKUP('Données projet'!$B$10,Paramètres!$A$1:$I$89,3,0)*VLOOKUP('Données projet'!$B$10,Paramètres!$A$1:$I$89,5,0)</f>
        <v>148.27475000000001</v>
      </c>
      <c r="AK28" s="14">
        <f t="shared" si="35"/>
        <v>38.186252787335206</v>
      </c>
      <c r="AL28" s="22">
        <f t="shared" si="4"/>
        <v>324.75291318794217</v>
      </c>
      <c r="AM28" s="62">
        <f t="shared" si="5"/>
        <v>611.9751354101644</v>
      </c>
      <c r="AN28" s="62">
        <f ca="1">AVERAGE(OFFSET($AM$3,0,0,'Données projet'!$E$10+1,1))-AVERAGE(OFFSET($H$3,0,0,'Données projet'!$E$10+1,1))</f>
        <v>405.09126081846171</v>
      </c>
      <c r="AO28" s="62">
        <f t="shared" si="36"/>
        <v>534.22295841722166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10.875938252566558</v>
      </c>
      <c r="AV28" s="23">
        <f>EXP(-LN(2)/25)*AV27+(1-EXP(-LN(2)/25))/(LN(2)/25)*Calculateur!AQ28*Calculateur!AS28*VLOOKUP('Données projet'!$B$10,Paramètres!$A$1:$I$89,3,0)*0.475*44/12</f>
        <v>16.105171576518178</v>
      </c>
      <c r="AW28" s="23">
        <f>EXP(-LN(2)/2)*AW27+(1-EXP(-LN(2)/2))/(LN(2)/2)*AQ28*AT28*VLOOKUP('Données projet'!$B$10,Paramètres!$A$1:$I$89,3,0)*0.475*44/12</f>
        <v>8.9925432866877735</v>
      </c>
      <c r="AX28" s="23">
        <f t="shared" si="6"/>
        <v>35.973653115772507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493.65930144068301</v>
      </c>
      <c r="BI28" s="62">
        <f ca="1">AVERAGE(OFFSET($BH$3,0,0,'Données projet'!$E$11+1,1))-AVERAGE(OFFSET($H$3,0,0,'Données projet'!$E$11+1,1))</f>
        <v>439.06700232017681</v>
      </c>
      <c r="BJ28" s="62">
        <f t="shared" si="38"/>
        <v>278.21741231699929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0.129</v>
      </c>
      <c r="BO28" s="17">
        <f>IF(ISNA(VLOOKUP(A28,'Données projet'!$A$87:$I$107,7,0)),0%,VLOOKUP(A28,'Données projet'!$A$87:$I$107,7,0))</f>
        <v>0.7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3.5986042274365828</v>
      </c>
      <c r="BR28" s="23">
        <f>EXP(-LN(2)/2)*BR27+(1-EXP(-LN(2)/2))/(LN(2)/2)*BL28*BO28*VLOOKUP('Données projet'!$B$11,Paramètres!$A$1:$I$89,3,0)*0.475*44/12</f>
        <v>16.73258178576512</v>
      </c>
      <c r="BS28" s="24">
        <f t="shared" si="9"/>
        <v>20.331186013201702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99.621600000000015</v>
      </c>
      <c r="CA28" s="14">
        <f t="shared" si="39"/>
        <v>26.871829085032747</v>
      </c>
      <c r="CB28" s="22">
        <f t="shared" si="10"/>
        <v>220.30938898976538</v>
      </c>
      <c r="CC28" s="62">
        <f t="shared" si="11"/>
        <v>507.53161121198764</v>
      </c>
      <c r="CD28" s="62">
        <f ca="1">AVERAGE(OFFSET($CC$3,0,0,'Données projet'!$E$12+1,1))-AVERAGE(OFFSET($H$3,0,0,'Données projet'!$E$12+1,1))</f>
        <v>466.4945858005575</v>
      </c>
      <c r="CE28" s="62">
        <f t="shared" si="40"/>
        <v>294.45557293177131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0.129</v>
      </c>
      <c r="CJ28" s="17">
        <f>IF(ISNA(VLOOKUP(A28,'Données projet'!$A$113:$I$133,7,0)),0%,VLOOKUP(A28,'Données projet'!$A$113:$I$133,7,0))</f>
        <v>0.7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3.8467838293287619</v>
      </c>
      <c r="CM28" s="23">
        <f>EXP(-LN(2)/2)*CM27+(1-EXP(-LN(2)/2))/(LN(2)/2)*CG28*CJ28*VLOOKUP('Données projet'!$B$12,Paramètres!$A$1:$I$89,3,0)*0.475*44/12</f>
        <v>17.886552943404094</v>
      </c>
      <c r="CN28" s="24">
        <f t="shared" si="12"/>
        <v>21.733336772732855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69.092400000000012</v>
      </c>
      <c r="CV28" s="14">
        <f t="shared" si="41"/>
        <v>19.447897597608421</v>
      </c>
      <c r="CW28" s="22">
        <f t="shared" si="13"/>
        <v>154.20768498250132</v>
      </c>
      <c r="CX28" s="62">
        <f t="shared" si="14"/>
        <v>441.42990720472358</v>
      </c>
      <c r="CY28" s="62">
        <f ca="1">AVERAGE(OFFSET($CX$3,0,0,'Données projet'!$E$13+1,1))-AVERAGE(OFFSET($H$3,0,0,'Données projet'!$E$13+1,1))</f>
        <v>335.83558218229564</v>
      </c>
      <c r="CZ28" s="62">
        <f t="shared" si="42"/>
        <v>217.08423061559648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0.159</v>
      </c>
      <c r="DE28" s="17">
        <f>IF(ISNA(VLOOKUP(A28,'Données projet'!$A$139:$I$159,7,0)),0%,VLOOKUP(A28,'Données projet'!$A$139:$I$159,7,0))</f>
        <v>0.7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3.2883797250713602</v>
      </c>
      <c r="DH28" s="23">
        <f>EXP(-LN(2)/2)*DH27+(1-EXP(-LN(2)/2))/(LN(2)/2)*DB28*DE28*VLOOKUP('Données projet'!$B$13,Paramètres!$A$1:$I$89,3,0)*0.475*44/12</f>
        <v>12.40518994461897</v>
      </c>
      <c r="DI28" s="24">
        <f t="shared" si="15"/>
        <v>15.69356966969033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13.2</v>
      </c>
      <c r="N29" s="14">
        <f>IF('Données projet'!$A$36&gt;35,N28+M29-V28,IF(A29&lt;'Données projet'!$A$36,$K$205^A29,IF(A29='Données projet'!$A$36,'Données projet'!$B$36,N28+M29-V28)))</f>
        <v>132.20000000000002</v>
      </c>
      <c r="O29" s="14">
        <f>N29*VLOOKUP('Données projet'!$B$9,Paramètres!$A$1:$I$89,3,0)*VLOOKUP('Données projet'!$B$9,Paramètres!$A$1:$I$89,5,0)</f>
        <v>115.48992000000003</v>
      </c>
      <c r="P29" s="14">
        <f t="shared" si="33"/>
        <v>30.620763442598491</v>
      </c>
      <c r="Q29" s="22">
        <f t="shared" si="2"/>
        <v>254.47610699585906</v>
      </c>
      <c r="R29" s="62">
        <f t="shared" si="0"/>
        <v>542.92055144030348</v>
      </c>
      <c r="S29" s="62">
        <f ca="1">AVERAGE(OFFSET($R$3,0,0,'Données projet'!$E$9+1,1))-AVERAGE(OFFSET($H$3,0,0,'Données projet'!$E$9+1,1))</f>
        <v>321.62968871874483</v>
      </c>
      <c r="T29" s="62">
        <f t="shared" si="34"/>
        <v>389.91636841473559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16.381273750187578</v>
      </c>
      <c r="AB29" s="23">
        <f>EXP(-LN(2)/2)*AB28+(1-EXP(-LN(2)/2))/(LN(2)/2)*V29*Y29*VLOOKUP('Données projet'!$B$9,Paramètres!$A$1:$I$89,3,0)*0.475*44/12</f>
        <v>15.037768403628103</v>
      </c>
      <c r="AC29" s="24">
        <f t="shared" si="3"/>
        <v>31.419042153815681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>
        <f>VLOOKUP(A29,'Données projet'!$A$61:$I$81,2,0)</f>
        <v>292.8</v>
      </c>
      <c r="AG29" s="13">
        <f>VLOOKUP(A29,'Données projet'!$A$61:$I$81,9,0)</f>
        <v>27.550000000000011</v>
      </c>
      <c r="AH29" s="13">
        <f t="array" ref="AH29">INDEX(AG:AG,MIN(IF(ISNUMBER(AG29:AG225),ROW(AG29:AG225),"")))</f>
        <v>27.550000000000011</v>
      </c>
      <c r="AI29" s="14">
        <f>IF('Données projet'!$A$62&gt;35,AI28+AH29-AQ28,IF(A29&lt;'Données projet'!$A$62,$AF$205^A29,IF(A29='Données projet'!$A$62,'Données projet'!$B$62,AI28+AH29-AQ28)))</f>
        <v>292.8</v>
      </c>
      <c r="AJ29" s="14">
        <f>AI29*VLOOKUP('Données projet'!$B$10,Paramètres!$A$1:$I$89,3,0)*VLOOKUP('Données projet'!$B$10,Paramètres!$A$1:$I$89,5,0)</f>
        <v>163.67519999999999</v>
      </c>
      <c r="AK29" s="14">
        <f t="shared" si="35"/>
        <v>41.670368197291587</v>
      </c>
      <c r="AL29" s="22">
        <f t="shared" si="4"/>
        <v>357.64353127694949</v>
      </c>
      <c r="AM29" s="62">
        <f t="shared" si="5"/>
        <v>646.08797572139395</v>
      </c>
      <c r="AN29" s="62">
        <f ca="1">AVERAGE(OFFSET($AM$3,0,0,'Données projet'!$E$10+1,1))-AVERAGE(OFFSET($H$3,0,0,'Données projet'!$E$10+1,1))</f>
        <v>405.09126081846171</v>
      </c>
      <c r="AO29" s="62">
        <f t="shared" si="36"/>
        <v>534.22295841722166</v>
      </c>
      <c r="AP29" s="16">
        <f>IF(ISNA(VLOOKUP(A29,'Données projet'!$A$61:$I$81,3,0)),0,VLOOKUP(A29,'Données projet'!$A$61:$I$81,3,0))</f>
        <v>6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10.662667737101041</v>
      </c>
      <c r="AV29" s="23">
        <f>EXP(-LN(2)/25)*AV28+(1-EXP(-LN(2)/25))/(LN(2)/25)*Calculateur!AQ29*Calculateur!AS29*VLOOKUP('Données projet'!$B$10,Paramètres!$A$1:$I$89,3,0)*0.475*44/12</f>
        <v>15.664774812824124</v>
      </c>
      <c r="AW29" s="23">
        <f>EXP(-LN(2)/2)*AW28+(1-EXP(-LN(2)/2))/(LN(2)/2)*AQ29*AT29*VLOOKUP('Données projet'!$B$10,Paramètres!$A$1:$I$89,3,0)*0.475*44/12</f>
        <v>6.3586883381304888</v>
      </c>
      <c r="AX29" s="23">
        <f t="shared" si="6"/>
        <v>32.686130888055658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458.05789673333743</v>
      </c>
      <c r="BI29" s="62">
        <f ca="1">AVERAGE(OFFSET($BH$3,0,0,'Données projet'!$E$11+1,1))-AVERAGE(OFFSET($H$3,0,0,'Données projet'!$E$11+1,1))</f>
        <v>439.06700232017681</v>
      </c>
      <c r="BJ29" s="62">
        <f t="shared" si="38"/>
        <v>278.21741231699929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3.5002002055949579</v>
      </c>
      <c r="BR29" s="23">
        <f>EXP(-LN(2)/2)*BR28+(1-EXP(-LN(2)/2))/(LN(2)/2)*BL29*BO29*VLOOKUP('Données projet'!$B$11,Paramètres!$A$1:$I$89,3,0)*0.475*44/12</f>
        <v>11.831722047473029</v>
      </c>
      <c r="BS29" s="24">
        <f t="shared" si="9"/>
        <v>15.331922253067987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81.438240000000022</v>
      </c>
      <c r="CA29" s="14">
        <f t="shared" si="39"/>
        <v>22.488475778344696</v>
      </c>
      <c r="CB29" s="22">
        <f t="shared" si="10"/>
        <v>181.00569664728371</v>
      </c>
      <c r="CC29" s="62">
        <f t="shared" si="11"/>
        <v>469.45014109172814</v>
      </c>
      <c r="CD29" s="62">
        <f ca="1">AVERAGE(OFFSET($CC$3,0,0,'Données projet'!$E$12+1,1))-AVERAGE(OFFSET($H$3,0,0,'Données projet'!$E$12+1,1))</f>
        <v>466.4945858005575</v>
      </c>
      <c r="CE29" s="62">
        <f t="shared" si="40"/>
        <v>294.45557293177131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3.7415933232221974</v>
      </c>
      <c r="CM29" s="23">
        <f>EXP(-LN(2)/2)*CM28+(1-EXP(-LN(2)/2))/(LN(2)/2)*CG29*CJ29*VLOOKUP('Données projet'!$B$12,Paramètres!$A$1:$I$89,3,0)*0.475*44/12</f>
        <v>12.647702878333238</v>
      </c>
      <c r="CN29" s="24">
        <f t="shared" si="12"/>
        <v>16.389296201555435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56.481360000000016</v>
      </c>
      <c r="CV29" s="14">
        <f t="shared" si="41"/>
        <v>16.275541671524874</v>
      </c>
      <c r="CW29" s="22">
        <f t="shared" si="13"/>
        <v>126.71827041123917</v>
      </c>
      <c r="CX29" s="62">
        <f t="shared" si="14"/>
        <v>415.16271485568365</v>
      </c>
      <c r="CY29" s="62">
        <f ca="1">AVERAGE(OFFSET($CX$3,0,0,'Données projet'!$E$13+1,1))-AVERAGE(OFFSET($H$3,0,0,'Données projet'!$E$13+1,1))</f>
        <v>335.83558218229564</v>
      </c>
      <c r="CZ29" s="62">
        <f t="shared" si="42"/>
        <v>217.08423061559648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3.1984588085609098</v>
      </c>
      <c r="DH29" s="23">
        <f>EXP(-LN(2)/2)*DH28+(1-EXP(-LN(2)/2))/(LN(2)/2)*DB29*DE29*VLOOKUP('Données projet'!$B$13,Paramètres!$A$1:$I$89,3,0)*0.475*44/12</f>
        <v>8.7717939317472453</v>
      </c>
      <c r="DI29" s="24">
        <f t="shared" si="15"/>
        <v>11.970252740308155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13.2</v>
      </c>
      <c r="N30" s="14">
        <f>IF('Données projet'!$A$36&gt;35,N29+M30-V29,IF(A30&lt;'Données projet'!$A$36,$K$205^A30,IF(A30='Données projet'!$A$36,'Données projet'!$B$36,N29+M30-V29)))</f>
        <v>145.4</v>
      </c>
      <c r="O30" s="14">
        <f>N30*VLOOKUP('Données projet'!$B$9,Paramètres!$A$1:$I$89,3,0)*VLOOKUP('Données projet'!$B$9,Paramètres!$A$1:$I$89,5,0)</f>
        <v>127.02144000000001</v>
      </c>
      <c r="P30" s="14">
        <f t="shared" si="33"/>
        <v>33.30717587066443</v>
      </c>
      <c r="Q30" s="22">
        <f t="shared" si="2"/>
        <v>279.23900597474056</v>
      </c>
      <c r="R30" s="62">
        <f t="shared" si="0"/>
        <v>568.90567264140725</v>
      </c>
      <c r="S30" s="62">
        <f ca="1">AVERAGE(OFFSET($R$3,0,0,'Données projet'!$E$9+1,1))-AVERAGE(OFFSET($H$3,0,0,'Données projet'!$E$9+1,1))</f>
        <v>321.62968871874483</v>
      </c>
      <c r="T30" s="62">
        <f t="shared" si="34"/>
        <v>389.91636841473559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15.933326958034952</v>
      </c>
      <c r="AB30" s="23">
        <f>EXP(-LN(2)/2)*AB29+(1-EXP(-LN(2)/2))/(LN(2)/2)*V30*Y30*VLOOKUP('Données projet'!$B$9,Paramètres!$A$1:$I$89,3,0)*0.475*44/12</f>
        <v>10.633308012118237</v>
      </c>
      <c r="AC30" s="24">
        <f t="shared" si="3"/>
        <v>26.566634970153189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28.629999999999995</v>
      </c>
      <c r="AI30" s="14">
        <f>IF('Données projet'!$A$62&gt;35,AI29+AH30-AQ29,IF(A30&lt;'Données projet'!$A$62,$AF$205^A30,IF(A30='Données projet'!$A$62,'Données projet'!$B$62,AI29+AH30-AQ29)))</f>
        <v>321.43</v>
      </c>
      <c r="AJ30" s="14">
        <f>AI30*VLOOKUP('Données projet'!$B$10,Paramètres!$A$1:$I$89,3,0)*VLOOKUP('Données projet'!$B$10,Paramètres!$A$1:$I$89,5,0)</f>
        <v>179.67937000000001</v>
      </c>
      <c r="AK30" s="14">
        <f t="shared" si="35"/>
        <v>45.250844498664819</v>
      </c>
      <c r="AL30" s="22">
        <f t="shared" si="4"/>
        <v>391.75345691850794</v>
      </c>
      <c r="AM30" s="62">
        <f t="shared" si="5"/>
        <v>681.42012358517468</v>
      </c>
      <c r="AN30" s="62">
        <f ca="1">AVERAGE(OFFSET($AM$3,0,0,'Données projet'!$E$10+1,1))-AVERAGE(OFFSET($H$3,0,0,'Données projet'!$E$10+1,1))</f>
        <v>405.09126081846171</v>
      </c>
      <c r="AO30" s="62">
        <f t="shared" si="36"/>
        <v>534.22295841722166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10.453579326361632</v>
      </c>
      <c r="AV30" s="23">
        <f>EXP(-LN(2)/25)*AV29+(1-EXP(-LN(2)/25))/(LN(2)/25)*Calculateur!AQ30*Calculateur!AS30*VLOOKUP('Données projet'!$B$10,Paramètres!$A$1:$I$89,3,0)*0.475*44/12</f>
        <v>15.236420721792744</v>
      </c>
      <c r="AW30" s="23">
        <f>EXP(-LN(2)/2)*AW29+(1-EXP(-LN(2)/2))/(LN(2)/2)*AQ30*AT30*VLOOKUP('Données projet'!$B$10,Paramètres!$A$1:$I$89,3,0)*0.475*44/12</f>
        <v>4.4962716433438876</v>
      </c>
      <c r="AX30" s="23">
        <f t="shared" si="6"/>
        <v>30.186271691498263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477.32127040383227</v>
      </c>
      <c r="BI30" s="62">
        <f ca="1">AVERAGE(OFFSET($BH$3,0,0,'Données projet'!$E$11+1,1))-AVERAGE(OFFSET($H$3,0,0,'Données projet'!$E$11+1,1))</f>
        <v>439.06700232017681</v>
      </c>
      <c r="BJ30" s="62">
        <f t="shared" si="38"/>
        <v>278.21741231699929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3.4044870469054347</v>
      </c>
      <c r="BR30" s="23">
        <f>EXP(-LN(2)/2)*BR29+(1-EXP(-LN(2)/2))/(LN(2)/2)*BL30*BO30*VLOOKUP('Données projet'!$B$11,Paramètres!$A$1:$I$89,3,0)*0.475*44/12</f>
        <v>8.3662908928825619</v>
      </c>
      <c r="BS30" s="24">
        <f t="shared" si="9"/>
        <v>11.770777939787997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90.336480000000023</v>
      </c>
      <c r="CA30" s="14">
        <f t="shared" si="39"/>
        <v>24.646358234355564</v>
      </c>
      <c r="CB30" s="22">
        <f t="shared" si="10"/>
        <v>200.26177659150264</v>
      </c>
      <c r="CC30" s="62">
        <f t="shared" si="11"/>
        <v>489.9284432581693</v>
      </c>
      <c r="CD30" s="62">
        <f ca="1">AVERAGE(OFFSET($CC$3,0,0,'Données projet'!$E$12+1,1))-AVERAGE(OFFSET($H$3,0,0,'Données projet'!$E$12+1,1))</f>
        <v>466.4945858005575</v>
      </c>
      <c r="CE30" s="62">
        <f t="shared" si="40"/>
        <v>294.45557293177131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3.6392792570368449</v>
      </c>
      <c r="CM30" s="23">
        <f>EXP(-LN(2)/2)*CM29+(1-EXP(-LN(2)/2))/(LN(2)/2)*CG30*CJ30*VLOOKUP('Données projet'!$B$12,Paramètres!$A$1:$I$89,3,0)*0.475*44/12</f>
        <v>8.943276471702049</v>
      </c>
      <c r="CN30" s="24">
        <f t="shared" si="12"/>
        <v>12.582555728738894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62.652720000000009</v>
      </c>
      <c r="CV30" s="14">
        <f t="shared" si="41"/>
        <v>17.837261824603328</v>
      </c>
      <c r="CW30" s="22">
        <f t="shared" si="13"/>
        <v>140.18671834451746</v>
      </c>
      <c r="CX30" s="62">
        <f t="shared" si="14"/>
        <v>429.85338501118417</v>
      </c>
      <c r="CY30" s="62">
        <f ca="1">AVERAGE(OFFSET($CX$3,0,0,'Données projet'!$E$13+1,1))-AVERAGE(OFFSET($H$3,0,0,'Données projet'!$E$13+1,1))</f>
        <v>335.83558218229564</v>
      </c>
      <c r="CZ30" s="62">
        <f t="shared" si="42"/>
        <v>217.08423061559648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3.110996784241173</v>
      </c>
      <c r="DH30" s="23">
        <f>EXP(-LN(2)/2)*DH29+(1-EXP(-LN(2)/2))/(LN(2)/2)*DB30*DE30*VLOOKUP('Données projet'!$B$13,Paramètres!$A$1:$I$89,3,0)*0.475*44/12</f>
        <v>6.2025949723094849</v>
      </c>
      <c r="DI30" s="24">
        <f t="shared" si="15"/>
        <v>9.3135917565506574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13.2</v>
      </c>
      <c r="N31" s="14">
        <f>IF('Données projet'!$A$36&gt;35,N30+M31-V30,IF(A31&lt;'Données projet'!$A$36,$K$205^A31,IF(A31='Données projet'!$A$36,'Données projet'!$B$36,N30+M31-V30)))</f>
        <v>158.6</v>
      </c>
      <c r="O31" s="14">
        <f>N31*VLOOKUP('Données projet'!$B$9,Paramètres!$A$1:$I$89,3,0)*VLOOKUP('Données projet'!$B$9,Paramètres!$A$1:$I$89,5,0)</f>
        <v>138.55296000000001</v>
      </c>
      <c r="P31" s="14">
        <f t="shared" si="33"/>
        <v>35.965308766301796</v>
      </c>
      <c r="Q31" s="22">
        <f t="shared" si="2"/>
        <v>303.95265143464229</v>
      </c>
      <c r="R31" s="62">
        <f t="shared" si="0"/>
        <v>594.84154032353115</v>
      </c>
      <c r="S31" s="62">
        <f ca="1">AVERAGE(OFFSET($R$3,0,0,'Données projet'!$E$9+1,1))-AVERAGE(OFFSET($H$3,0,0,'Données projet'!$E$9+1,1))</f>
        <v>321.62968871874483</v>
      </c>
      <c r="T31" s="62">
        <f t="shared" si="34"/>
        <v>389.91636841473559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15.497629294470238</v>
      </c>
      <c r="AB31" s="23">
        <f>EXP(-LN(2)/2)*AB30+(1-EXP(-LN(2)/2))/(LN(2)/2)*V31*Y31*VLOOKUP('Données projet'!$B$9,Paramètres!$A$1:$I$89,3,0)*0.475*44/12</f>
        <v>7.5188842018140534</v>
      </c>
      <c r="AC31" s="24">
        <f t="shared" si="3"/>
        <v>23.01651349628429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>
        <f>VLOOKUP(A31,'Données projet'!$A$61:$I$81,2,0)</f>
        <v>350.06</v>
      </c>
      <c r="AG31" s="13">
        <f>VLOOKUP(A31,'Données projet'!$A$61:$I$81,9,0)</f>
        <v>28.629999999999995</v>
      </c>
      <c r="AH31" s="13">
        <f t="array" ref="AH31">INDEX(AG:AG,MIN(IF(ISNUMBER(AG31:AG227),ROW(AG31:AG227),"")))</f>
        <v>28.629999999999995</v>
      </c>
      <c r="AI31" s="14">
        <f>IF('Données projet'!$A$62&gt;35,AI30+AH31-AQ30,IF(A31&lt;'Données projet'!$A$62,$AF$205^A31,IF(A31='Données projet'!$A$62,'Données projet'!$B$62,AI30+AH31-AQ30)))</f>
        <v>350.06</v>
      </c>
      <c r="AJ31" s="14">
        <f>AI31*VLOOKUP('Données projet'!$B$10,Paramètres!$A$1:$I$89,3,0)*VLOOKUP('Données projet'!$B$10,Paramètres!$A$1:$I$89,5,0)</f>
        <v>195.68354000000002</v>
      </c>
      <c r="AK31" s="14">
        <f t="shared" si="35"/>
        <v>48.79433922175842</v>
      </c>
      <c r="AL31" s="22">
        <f t="shared" si="4"/>
        <v>425.79897297789597</v>
      </c>
      <c r="AM31" s="62">
        <f t="shared" si="5"/>
        <v>716.68786186678483</v>
      </c>
      <c r="AN31" s="62">
        <f ca="1">AVERAGE(OFFSET($AM$3,0,0,'Données projet'!$E$10+1,1))-AVERAGE(OFFSET($H$3,0,0,'Données projet'!$E$10+1,1))</f>
        <v>405.09126081846171</v>
      </c>
      <c r="AO31" s="62">
        <f t="shared" si="36"/>
        <v>534.22295841722166</v>
      </c>
      <c r="AP31" s="16">
        <f>IF(ISNA(VLOOKUP(A31,'Données projet'!$A$61:$I$81,3,0)),0,VLOOKUP(A31,'Données projet'!$A$61:$I$81,3,0))</f>
        <v>7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10.248591011825487</v>
      </c>
      <c r="AV31" s="23">
        <f>EXP(-LN(2)/25)*AV30+(1-EXP(-LN(2)/25))/(LN(2)/25)*Calculateur!AQ31*Calculateur!AS31*VLOOKUP('Données projet'!$B$10,Paramètres!$A$1:$I$89,3,0)*0.475*44/12</f>
        <v>14.819779995906778</v>
      </c>
      <c r="AW31" s="23">
        <f>EXP(-LN(2)/2)*AW30+(1-EXP(-LN(2)/2))/(LN(2)/2)*AQ31*AT31*VLOOKUP('Données projet'!$B$10,Paramètres!$A$1:$I$89,3,0)*0.475*44/12</f>
        <v>3.1793441690652449</v>
      </c>
      <c r="AX31" s="23">
        <f t="shared" si="6"/>
        <v>28.247715176797513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496.54418197683344</v>
      </c>
      <c r="BI31" s="62">
        <f ca="1">AVERAGE(OFFSET($BH$3,0,0,'Données projet'!$E$11+1,1))-AVERAGE(OFFSET($H$3,0,0,'Données projet'!$E$11+1,1))</f>
        <v>439.06700232017681</v>
      </c>
      <c r="BJ31" s="62">
        <f t="shared" si="38"/>
        <v>278.21741231699929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3.3113911695736129</v>
      </c>
      <c r="BR31" s="23">
        <f>EXP(-LN(2)/2)*BR30+(1-EXP(-LN(2)/2))/(LN(2)/2)*BL31*BO31*VLOOKUP('Données projet'!$B$11,Paramètres!$A$1:$I$89,3,0)*0.475*44/12</f>
        <v>5.9158610237365155</v>
      </c>
      <c r="BS31" s="24">
        <f t="shared" si="9"/>
        <v>9.2272521933101288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99.234720000000024</v>
      </c>
      <c r="CA31" s="14">
        <f t="shared" si="39"/>
        <v>26.779598706219044</v>
      </c>
      <c r="CB31" s="22">
        <f t="shared" si="10"/>
        <v>219.47493841333153</v>
      </c>
      <c r="CC31" s="62">
        <f t="shared" si="11"/>
        <v>510.36382730222039</v>
      </c>
      <c r="CD31" s="62">
        <f ca="1">AVERAGE(OFFSET($CC$3,0,0,'Données projet'!$E$12+1,1))-AVERAGE(OFFSET($H$3,0,0,'Données projet'!$E$12+1,1))</f>
        <v>466.4945858005575</v>
      </c>
      <c r="CE31" s="62">
        <f t="shared" si="40"/>
        <v>294.45557293177131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3.539762974371794</v>
      </c>
      <c r="CM31" s="23">
        <f>EXP(-LN(2)/2)*CM30+(1-EXP(-LN(2)/2))/(LN(2)/2)*CG31*CJ31*VLOOKUP('Données projet'!$B$12,Paramètres!$A$1:$I$89,3,0)*0.475*44/12</f>
        <v>6.3238514391666198</v>
      </c>
      <c r="CN31" s="24">
        <f t="shared" si="12"/>
        <v>9.8636144135384143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68.824080000000023</v>
      </c>
      <c r="CV31" s="14">
        <f t="shared" si="41"/>
        <v>19.381147881506788</v>
      </c>
      <c r="CW31" s="22">
        <f t="shared" si="13"/>
        <v>153.62410522695768</v>
      </c>
      <c r="CX31" s="62">
        <f t="shared" si="14"/>
        <v>444.51299411584654</v>
      </c>
      <c r="CY31" s="62">
        <f ca="1">AVERAGE(OFFSET($CX$3,0,0,'Données projet'!$E$13+1,1))-AVERAGE(OFFSET($H$3,0,0,'Données projet'!$E$13+1,1))</f>
        <v>335.83558218229564</v>
      </c>
      <c r="CZ31" s="62">
        <f t="shared" si="42"/>
        <v>217.08423061559648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3.0259264135758874</v>
      </c>
      <c r="DH31" s="23">
        <f>EXP(-LN(2)/2)*DH30+(1-EXP(-LN(2)/2))/(LN(2)/2)*DB31*DE31*VLOOKUP('Données projet'!$B$13,Paramètres!$A$1:$I$89,3,0)*0.475*44/12</f>
        <v>4.3858969658736227</v>
      </c>
      <c r="DI31" s="24">
        <f t="shared" si="15"/>
        <v>7.4118233794495101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13.2</v>
      </c>
      <c r="N32" s="14">
        <f>IF('Données projet'!$A$36&gt;35,N31+M32-V31,IF(A32&lt;'Données projet'!$A$36,$K$205^A32,IF(A32='Données projet'!$A$36,'Données projet'!$B$36,N31+M32-V31)))</f>
        <v>171.79999999999998</v>
      </c>
      <c r="O32" s="14">
        <f>N32*VLOOKUP('Données projet'!$B$9,Paramètres!$A$1:$I$89,3,0)*VLOOKUP('Données projet'!$B$9,Paramètres!$A$1:$I$89,5,0)</f>
        <v>150.08448000000001</v>
      </c>
      <c r="P32" s="14">
        <f t="shared" si="33"/>
        <v>38.597783374841299</v>
      </c>
      <c r="Q32" s="22">
        <f t="shared" si="2"/>
        <v>328.62160871118198</v>
      </c>
      <c r="R32" s="62">
        <f t="shared" si="0"/>
        <v>620.73271982229312</v>
      </c>
      <c r="S32" s="62">
        <f ca="1">AVERAGE(OFFSET($R$3,0,0,'Données projet'!$E$9+1,1))-AVERAGE(OFFSET($H$3,0,0,'Données projet'!$E$9+1,1))</f>
        <v>321.62968871874483</v>
      </c>
      <c r="T32" s="62">
        <f t="shared" si="34"/>
        <v>389.91636841473559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15.073845806428045</v>
      </c>
      <c r="AB32" s="23">
        <f>EXP(-LN(2)/2)*AB31+(1-EXP(-LN(2)/2))/(LN(2)/2)*V32*Y32*VLOOKUP('Données projet'!$B$9,Paramètres!$A$1:$I$89,3,0)*0.475*44/12</f>
        <v>5.3166540060591192</v>
      </c>
      <c r="AC32" s="24">
        <f t="shared" si="3"/>
        <v>20.390499812487164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30.25</v>
      </c>
      <c r="AI32" s="14">
        <f>IF('Données projet'!$A$62&gt;35,AI31+AH32-AQ31,IF(A32&lt;'Données projet'!$A$62,$AF$205^A32,IF(A32='Données projet'!$A$62,'Données projet'!$B$62,AI31+AH32-AQ31)))</f>
        <v>380.31</v>
      </c>
      <c r="AJ32" s="14">
        <f>AI32*VLOOKUP('Données projet'!$B$10,Paramètres!$A$1:$I$89,3,0)*VLOOKUP('Données projet'!$B$10,Paramètres!$A$1:$I$89,5,0)</f>
        <v>212.59329</v>
      </c>
      <c r="AK32" s="14">
        <f t="shared" si="35"/>
        <v>52.501879375758435</v>
      </c>
      <c r="AL32" s="22">
        <f t="shared" si="4"/>
        <v>461.70741999611255</v>
      </c>
      <c r="AM32" s="62">
        <f t="shared" si="5"/>
        <v>753.81853110722363</v>
      </c>
      <c r="AN32" s="62">
        <f ca="1">AVERAGE(OFFSET($AM$3,0,0,'Données projet'!$E$10+1,1))-AVERAGE(OFFSET($H$3,0,0,'Données projet'!$E$10+1,1))</f>
        <v>405.09126081846171</v>
      </c>
      <c r="AO32" s="62">
        <f t="shared" si="36"/>
        <v>534.22295841722166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10.04762239310687</v>
      </c>
      <c r="AV32" s="23">
        <f>EXP(-LN(2)/25)*AV31+(1-EXP(-LN(2)/25))/(LN(2)/25)*Calculateur!AQ32*Calculateur!AS32*VLOOKUP('Données projet'!$B$10,Paramètres!$A$1:$I$89,3,0)*0.475*44/12</f>
        <v>14.414532332580348</v>
      </c>
      <c r="AW32" s="23">
        <f>EXP(-LN(2)/2)*AW31+(1-EXP(-LN(2)/2))/(LN(2)/2)*AQ32*AT32*VLOOKUP('Données projet'!$B$10,Paramètres!$A$1:$I$89,3,0)*0.475*44/12</f>
        <v>2.2481358216719438</v>
      </c>
      <c r="AX32" s="23">
        <f t="shared" si="6"/>
        <v>26.710290547359165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515.73067222186751</v>
      </c>
      <c r="BI32" s="62">
        <f ca="1">AVERAGE(OFFSET($BH$3,0,0,'Données projet'!$E$11+1,1))-AVERAGE(OFFSET($H$3,0,0,'Données projet'!$E$11+1,1))</f>
        <v>439.06700232017681</v>
      </c>
      <c r="BJ32" s="62">
        <f t="shared" si="38"/>
        <v>278.21741231699929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3.220841003903129</v>
      </c>
      <c r="BR32" s="23">
        <f>EXP(-LN(2)/2)*BR31+(1-EXP(-LN(2)/2))/(LN(2)/2)*BL32*BO32*VLOOKUP('Données projet'!$B$11,Paramètres!$A$1:$I$89,3,0)*0.475*44/12</f>
        <v>4.1831454464412818</v>
      </c>
      <c r="BS32" s="24">
        <f t="shared" si="9"/>
        <v>7.4039864503444104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108.13296000000003</v>
      </c>
      <c r="CA32" s="14">
        <f t="shared" si="39"/>
        <v>28.890658079177882</v>
      </c>
      <c r="CB32" s="22">
        <f t="shared" si="10"/>
        <v>238.64946815456821</v>
      </c>
      <c r="CC32" s="62">
        <f t="shared" si="11"/>
        <v>530.76057926567933</v>
      </c>
      <c r="CD32" s="62">
        <f ca="1">AVERAGE(OFFSET($CC$3,0,0,'Données projet'!$E$12+1,1))-AVERAGE(OFFSET($H$3,0,0,'Données projet'!$E$12+1,1))</f>
        <v>466.4945858005575</v>
      </c>
      <c r="CE32" s="62">
        <f t="shared" si="40"/>
        <v>294.45557293177131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3.4429679696895525</v>
      </c>
      <c r="CM32" s="23">
        <f>EXP(-LN(2)/2)*CM31+(1-EXP(-LN(2)/2))/(LN(2)/2)*CG32*CJ32*VLOOKUP('Données projet'!$B$12,Paramètres!$A$1:$I$89,3,0)*0.475*44/12</f>
        <v>4.4716382358510254</v>
      </c>
      <c r="CN32" s="24">
        <f t="shared" si="12"/>
        <v>7.9146062055405775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74.995440000000016</v>
      </c>
      <c r="CV32" s="14">
        <f t="shared" si="41"/>
        <v>20.908980854017098</v>
      </c>
      <c r="CW32" s="22">
        <f t="shared" si="13"/>
        <v>167.03353298741314</v>
      </c>
      <c r="CX32" s="62">
        <f t="shared" si="14"/>
        <v>459.14464409852428</v>
      </c>
      <c r="CY32" s="62">
        <f ca="1">AVERAGE(OFFSET($CX$3,0,0,'Données projet'!$E$13+1,1))-AVERAGE(OFFSET($H$3,0,0,'Données projet'!$E$13+1,1))</f>
        <v>335.83558218229564</v>
      </c>
      <c r="CZ32" s="62">
        <f t="shared" si="42"/>
        <v>217.08423061559648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2.9431822966701007</v>
      </c>
      <c r="DH32" s="23">
        <f>EXP(-LN(2)/2)*DH31+(1-EXP(-LN(2)/2))/(LN(2)/2)*DB32*DE32*VLOOKUP('Données projet'!$B$13,Paramètres!$A$1:$I$89,3,0)*0.475*44/12</f>
        <v>3.1012974861547424</v>
      </c>
      <c r="DI32" s="24">
        <f t="shared" si="15"/>
        <v>6.0444797828248431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185</v>
      </c>
      <c r="L33" s="13">
        <f>VLOOKUP(A33,'Données projet'!$A$35:$I$55,9,0)</f>
        <v>13.2</v>
      </c>
      <c r="M33" s="13">
        <f t="array" ref="M33">INDEX(L:L,MIN(IF(ISNUMBER(L33:L229),ROW(L33:L229),"")))</f>
        <v>13.2</v>
      </c>
      <c r="N33" s="14">
        <f>IF('Données projet'!$A$36&gt;35,N32+M33-V32,IF(A33&lt;'Données projet'!$A$36,$K$205^A33,IF(A33='Données projet'!$A$36,'Données projet'!$B$36,N32+M33-V32)))</f>
        <v>184.99999999999997</v>
      </c>
      <c r="O33" s="14">
        <f>N33*VLOOKUP('Données projet'!$B$9,Paramètres!$A$1:$I$89,3,0)*VLOOKUP('Données projet'!$B$9,Paramètres!$A$1:$I$89,5,0)</f>
        <v>161.61599999999999</v>
      </c>
      <c r="P33" s="14">
        <f t="shared" si="33"/>
        <v>41.20679526204917</v>
      </c>
      <c r="Q33" s="22">
        <f t="shared" si="2"/>
        <v>353.24970174806896</v>
      </c>
      <c r="R33" s="62">
        <f t="shared" si="0"/>
        <v>646.58303508140227</v>
      </c>
      <c r="S33" s="62">
        <f ca="1">AVERAGE(OFFSET($R$3,0,0,'Données projet'!$E$9+1,1))-AVERAGE(OFFSET($H$3,0,0,'Données projet'!$E$9+1,1))</f>
        <v>321.62968871874483</v>
      </c>
      <c r="T33" s="62">
        <f t="shared" si="34"/>
        <v>389.91636841473559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0.25800000000000001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25.581553183408012</v>
      </c>
      <c r="AB33" s="23">
        <f>EXP(-LN(2)/2)*AB32+(1-EXP(-LN(2)/2))/(LN(2)/2)*V33*Y33*VLOOKUP('Données projet'!$B$9,Paramètres!$A$1:$I$89,3,0)*0.475*44/12</f>
        <v>18.266508082654131</v>
      </c>
      <c r="AC33" s="24">
        <f t="shared" si="3"/>
        <v>43.848061266062146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410.56</v>
      </c>
      <c r="AG33" s="13">
        <f>VLOOKUP(A33,'Données projet'!$A$61:$I$81,9,0)</f>
        <v>30.25</v>
      </c>
      <c r="AH33" s="13">
        <f t="array" ref="AH33">INDEX(AG:AG,MIN(IF(ISNUMBER(AG33:AG229),ROW(AG33:AG229),"")))</f>
        <v>30.25</v>
      </c>
      <c r="AI33" s="14">
        <f>IF('Données projet'!$A$62&gt;35,AI32+AH33-AQ32,IF(A33&lt;'Données projet'!$A$62,$AF$205^A33,IF(A33='Données projet'!$A$62,'Données projet'!$B$62,AI32+AH33-AQ32)))</f>
        <v>410.56</v>
      </c>
      <c r="AJ33" s="14">
        <f>AI33*VLOOKUP('Données projet'!$B$10,Paramètres!$A$1:$I$89,3,0)*VLOOKUP('Données projet'!$B$10,Paramètres!$A$1:$I$89,5,0)</f>
        <v>229.50304</v>
      </c>
      <c r="AK33" s="14">
        <f t="shared" si="35"/>
        <v>56.175213636682351</v>
      </c>
      <c r="AL33" s="22">
        <f t="shared" si="4"/>
        <v>497.55629175055515</v>
      </c>
      <c r="AM33" s="62">
        <f t="shared" si="5"/>
        <v>790.8896250838884</v>
      </c>
      <c r="AN33" s="62">
        <f ca="1">AVERAGE(OFFSET($AM$3,0,0,'Données projet'!$E$10+1,1))-AVERAGE(OFFSET($H$3,0,0,'Données projet'!$E$10+1,1))</f>
        <v>405.09126081846171</v>
      </c>
      <c r="AO33" s="62">
        <f t="shared" si="36"/>
        <v>534.22295841722166</v>
      </c>
      <c r="AP33" s="16">
        <f>IF(ISNA(VLOOKUP(A33,'Données projet'!$A$61:$I$81,3,0)),0,VLOOKUP(A33,'Données projet'!$A$61:$I$81,3,0))</f>
        <v>8</v>
      </c>
      <c r="AQ33" s="16">
        <f>IF(ISNA(VLOOKUP(A33,'Données projet'!$A$61:$I$81,4,0)),0,VLOOKUP(A33,'Données projet'!$A$61:$I$81,4,0))</f>
        <v>80.97</v>
      </c>
      <c r="AR33" s="17">
        <f>IF(ISNA(VLOOKUP(A33,'Données projet'!$A$61:$I$81,5,0)),0%,VLOOKUP(A33,'Données projet'!$A$61:$I$81,5,0)*VLOOKUP('Données projet'!$B$10,Paramètres!$A$1:$I$89,7,0))</f>
        <v>0.27500000000000002</v>
      </c>
      <c r="AS33" s="17">
        <f>IF(ISNA(VLOOKUP(A33,'Données projet'!$A$61:$I$81,6,0)),0%,VLOOKUP(A33,'Données projet'!$A$61:$I$81,6,0)*VLOOKUP('Données projet'!$B$10,Paramètres!$A$1:$I$89,7,0))</f>
        <v>0.16500000000000001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26.362492656703107</v>
      </c>
      <c r="AV33" s="23">
        <f>EXP(-LN(2)/25)*AV32+(1-EXP(-LN(2)/25))/(LN(2)/25)*Calculateur!AQ33*Calculateur!AS33*VLOOKUP('Données projet'!$B$10,Paramètres!$A$1:$I$89,3,0)*0.475*44/12</f>
        <v>23.888496813691233</v>
      </c>
      <c r="AW33" s="23">
        <f>EXP(-LN(2)/2)*AW32+(1-EXP(-LN(2)/2))/(LN(2)/2)*AQ33*AT33*VLOOKUP('Données projet'!$B$10,Paramètres!$A$1:$I$89,3,0)*0.475*44/12</f>
        <v>11.839143817346887</v>
      </c>
      <c r="AX33" s="23">
        <f t="shared" si="6"/>
        <v>62.090133287741232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534.88407898366597</v>
      </c>
      <c r="BI33" s="62">
        <f ca="1">AVERAGE(OFFSET($BH$3,0,0,'Données projet'!$E$11+1,1))-AVERAGE(OFFSET($H$3,0,0,'Données projet'!$E$11+1,1))</f>
        <v>439.06700232017681</v>
      </c>
      <c r="BJ33" s="62">
        <f t="shared" si="38"/>
        <v>278.21741231699929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0.215</v>
      </c>
      <c r="BO33" s="17">
        <f>IF(ISNA(VLOOKUP(A33,'Données projet'!$A$87:$I$107,7,0)),0%,VLOOKUP(A33,'Données projet'!$A$87:$I$107,7,0))</f>
        <v>0.5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9.1304406496690369</v>
      </c>
      <c r="BR33" s="23">
        <f>EXP(-LN(2)/2)*BR32+(1-EXP(-LN(2)/2))/(LN(2)/2)*BL33*BO33*VLOOKUP('Données projet'!$B$11,Paramètres!$A$1:$I$89,3,0)*0.475*44/12</f>
        <v>14.909774644557633</v>
      </c>
      <c r="BS33" s="24">
        <f t="shared" si="9"/>
        <v>24.04021529422667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117.03120000000003</v>
      </c>
      <c r="CA33" s="14">
        <f t="shared" si="39"/>
        <v>30.981569147428555</v>
      </c>
      <c r="CB33" s="22">
        <f t="shared" si="10"/>
        <v>257.78890626510474</v>
      </c>
      <c r="CC33" s="62">
        <f t="shared" si="11"/>
        <v>551.122239598438</v>
      </c>
      <c r="CD33" s="62">
        <f ca="1">AVERAGE(OFFSET($CC$3,0,0,'Données projet'!$E$12+1,1))-AVERAGE(OFFSET($H$3,0,0,'Données projet'!$E$12+1,1))</f>
        <v>466.4945858005575</v>
      </c>
      <c r="CE33" s="62">
        <f t="shared" si="40"/>
        <v>294.45557293177131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0.215</v>
      </c>
      <c r="CJ33" s="17">
        <f>IF(ISNA(VLOOKUP(A33,'Données projet'!$A$113:$I$133,7,0)),0%,VLOOKUP(A33,'Données projet'!$A$113:$I$133,7,0))</f>
        <v>0.5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9.7601262117151766</v>
      </c>
      <c r="CM33" s="23">
        <f>EXP(-LN(2)/2)*CM32+(1-EXP(-LN(2)/2))/(LN(2)/2)*CG33*CJ33*VLOOKUP('Données projet'!$B$12,Paramètres!$A$1:$I$89,3,0)*0.475*44/12</f>
        <v>15.938034964871953</v>
      </c>
      <c r="CN33" s="24">
        <f t="shared" si="12"/>
        <v>25.698161176587128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81.166800000000009</v>
      </c>
      <c r="CV33" s="14">
        <f t="shared" si="41"/>
        <v>22.422231932399924</v>
      </c>
      <c r="CW33" s="22">
        <f t="shared" si="13"/>
        <v>180.41756394892988</v>
      </c>
      <c r="CX33" s="62">
        <f t="shared" si="14"/>
        <v>473.75089728226317</v>
      </c>
      <c r="CY33" s="62">
        <f ca="1">AVERAGE(OFFSET($CX$3,0,0,'Données projet'!$E$13+1,1))-AVERAGE(OFFSET($H$3,0,0,'Données projet'!$E$13+1,1))</f>
        <v>335.83558218229564</v>
      </c>
      <c r="CZ33" s="62">
        <f t="shared" si="42"/>
        <v>217.08423061559648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0.26500000000000001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8.3433336971113619</v>
      </c>
      <c r="DH33" s="23">
        <f>EXP(-LN(2)/2)*DH32+(1-EXP(-LN(2)/2))/(LN(2)/2)*DB33*DE33*VLOOKUP('Données projet'!$B$13,Paramètres!$A$1:$I$89,3,0)*0.475*44/12</f>
        <v>11.053798443378934</v>
      </c>
      <c r="DI33" s="24">
        <f t="shared" si="15"/>
        <v>19.397132140490296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</v>
      </c>
      <c r="N34" s="14">
        <f>IF('Données projet'!$A$36&gt;35,N33+M34-V33,IF(A34&lt;'Données projet'!$A$36,$K$205^A34,IF(A34='Données projet'!$A$36,'Données projet'!$B$36,N33+M34-V33)))</f>
        <v>152.99999999999997</v>
      </c>
      <c r="O34" s="14">
        <f>N34*VLOOKUP('Données projet'!$B$9,Paramètres!$A$1:$I$89,3,0)*VLOOKUP('Données projet'!$B$9,Paramètres!$A$1:$I$89,5,0)</f>
        <v>133.66079999999999</v>
      </c>
      <c r="P34" s="14">
        <f t="shared" si="33"/>
        <v>34.840890682716747</v>
      </c>
      <c r="Q34" s="22">
        <f t="shared" si="2"/>
        <v>293.47377793906497</v>
      </c>
      <c r="R34" s="62">
        <f t="shared" si="0"/>
        <v>586.80711127239829</v>
      </c>
      <c r="S34" s="62">
        <f ca="1">AVERAGE(OFFSET($R$3,0,0,'Données projet'!$E$9+1,1))-AVERAGE(OFFSET($H$3,0,0,'Données projet'!$E$9+1,1))</f>
        <v>321.62968871874483</v>
      </c>
      <c r="T34" s="62">
        <f t="shared" si="34"/>
        <v>389.91636841473559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24.882024266332305</v>
      </c>
      <c r="AB34" s="23">
        <f>EXP(-LN(2)/2)*AB33+(1-EXP(-LN(2)/2))/(LN(2)/2)*V34*Y34*VLOOKUP('Données projet'!$B$9,Paramètres!$A$1:$I$89,3,0)*0.475*44/12</f>
        <v>12.916371733843617</v>
      </c>
      <c r="AC34" s="24">
        <f t="shared" si="3"/>
        <v>37.79839600017592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27.439999999999998</v>
      </c>
      <c r="AI34" s="14">
        <f>IF('Données projet'!$A$62&gt;35,AI33+AH34-AQ33,IF(A34&lt;'Données projet'!$A$62,$AF$205^A34,IF(A34='Données projet'!$A$62,'Données projet'!$B$62,AI33+AH34-AQ33)))</f>
        <v>357.03</v>
      </c>
      <c r="AJ34" s="14">
        <f>AI34*VLOOKUP('Données projet'!$B$10,Paramètres!$A$1:$I$89,3,0)*VLOOKUP('Données projet'!$B$10,Paramètres!$A$1:$I$89,5,0)</f>
        <v>199.57977</v>
      </c>
      <c r="AK34" s="14">
        <f t="shared" si="35"/>
        <v>49.651802587972696</v>
      </c>
      <c r="AL34" s="22">
        <f t="shared" si="4"/>
        <v>434.07832225738576</v>
      </c>
      <c r="AM34" s="62">
        <f t="shared" si="5"/>
        <v>727.41165559071908</v>
      </c>
      <c r="AN34" s="62">
        <f ca="1">AVERAGE(OFFSET($AM$3,0,0,'Données projet'!$E$10+1,1))-AVERAGE(OFFSET($H$3,0,0,'Données projet'!$E$10+1,1))</f>
        <v>405.09126081846171</v>
      </c>
      <c r="AO34" s="62">
        <f t="shared" si="36"/>
        <v>534.22295841722166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25.845540255237957</v>
      </c>
      <c r="AV34" s="23">
        <f>EXP(-LN(2)/25)*AV33+(1-EXP(-LN(2)/25))/(LN(2)/25)*Calculateur!AQ34*Calculateur!AS34*VLOOKUP('Données projet'!$B$10,Paramètres!$A$1:$I$89,3,0)*0.475*44/12</f>
        <v>23.235264612079398</v>
      </c>
      <c r="AW34" s="23">
        <f>EXP(-LN(2)/2)*AW33+(1-EXP(-LN(2)/2))/(LN(2)/2)*AQ34*AT34*VLOOKUP('Données projet'!$B$10,Paramètres!$A$1:$I$89,3,0)*0.475*44/12</f>
        <v>8.3715388766887724</v>
      </c>
      <c r="AX34" s="23">
        <f t="shared" si="6"/>
        <v>57.452343744006129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501.33377978104068</v>
      </c>
      <c r="BI34" s="62">
        <f ca="1">AVERAGE(OFFSET($BH$3,0,0,'Données projet'!$E$11+1,1))-AVERAGE(OFFSET($H$3,0,0,'Données projet'!$E$11+1,1))</f>
        <v>439.06700232017681</v>
      </c>
      <c r="BJ34" s="62">
        <f t="shared" si="38"/>
        <v>278.21741231699929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8.8807682699548316</v>
      </c>
      <c r="BR34" s="23">
        <f>EXP(-LN(2)/2)*BR33+(1-EXP(-LN(2)/2))/(LN(2)/2)*BL34*BO34*VLOOKUP('Données projet'!$B$11,Paramètres!$A$1:$I$89,3,0)*0.475*44/12</f>
        <v>10.54280275712995</v>
      </c>
      <c r="BS34" s="24">
        <f t="shared" si="9"/>
        <v>19.423571027084783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100.39536000000004</v>
      </c>
      <c r="CA34" s="14">
        <f t="shared" si="39"/>
        <v>27.056164975430569</v>
      </c>
      <c r="CB34" s="22">
        <f t="shared" si="10"/>
        <v>221.97807266554162</v>
      </c>
      <c r="CC34" s="62">
        <f t="shared" si="11"/>
        <v>515.31140599887499</v>
      </c>
      <c r="CD34" s="62">
        <f ca="1">AVERAGE(OFFSET($CC$3,0,0,'Données projet'!$E$12+1,1))-AVERAGE(OFFSET($H$3,0,0,'Données projet'!$E$12+1,1))</f>
        <v>466.4945858005575</v>
      </c>
      <c r="CE34" s="62">
        <f t="shared" si="40"/>
        <v>294.45557293177131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9.4932350471930942</v>
      </c>
      <c r="CM34" s="23">
        <f>EXP(-LN(2)/2)*CM33+(1-EXP(-LN(2)/2))/(LN(2)/2)*CG34*CJ34*VLOOKUP('Données projet'!$B$12,Paramètres!$A$1:$I$89,3,0)*0.475*44/12</f>
        <v>11.269892602449257</v>
      </c>
      <c r="CN34" s="24">
        <f t="shared" si="12"/>
        <v>20.76312764964235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69.629040000000032</v>
      </c>
      <c r="CV34" s="14">
        <f t="shared" si="41"/>
        <v>19.58130665988983</v>
      </c>
      <c r="CW34" s="22">
        <f t="shared" si="13"/>
        <v>155.37468709930818</v>
      </c>
      <c r="CX34" s="62">
        <f t="shared" si="14"/>
        <v>448.70802043264149</v>
      </c>
      <c r="CY34" s="62">
        <f ca="1">AVERAGE(OFFSET($CX$3,0,0,'Données projet'!$E$13+1,1))-AVERAGE(OFFSET($H$3,0,0,'Données projet'!$E$13+1,1))</f>
        <v>335.83558218229564</v>
      </c>
      <c r="CZ34" s="62">
        <f t="shared" si="42"/>
        <v>217.08423061559648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8.115184798407002</v>
      </c>
      <c r="DH34" s="23">
        <f>EXP(-LN(2)/2)*DH33+(1-EXP(-LN(2)/2))/(LN(2)/2)*DB34*DE34*VLOOKUP('Données projet'!$B$13,Paramètres!$A$1:$I$89,3,0)*0.475*44/12</f>
        <v>7.8162158371825479</v>
      </c>
      <c r="DI34" s="24">
        <f t="shared" si="15"/>
        <v>15.931400635589551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</v>
      </c>
      <c r="N35" s="14">
        <f>IF('Données projet'!$A$36&gt;35,N34+M35-V34,IF(A35&lt;'Données projet'!$A$36,$K$205^A35,IF(A35='Données projet'!$A$36,'Données projet'!$B$36,N34+M35-V34)))</f>
        <v>164.99999999999997</v>
      </c>
      <c r="O35" s="14">
        <f>N35*VLOOKUP('Données projet'!$B$9,Paramètres!$A$1:$I$89,3,0)*VLOOKUP('Données projet'!$B$9,Paramètres!$A$1:$I$89,5,0)</f>
        <v>144.14400000000001</v>
      </c>
      <c r="P35" s="14">
        <f t="shared" si="33"/>
        <v>37.244720006976252</v>
      </c>
      <c r="Q35" s="22">
        <f t="shared" ref="Q35:Q66" si="53">(O35+P35)*0.475*44/12</f>
        <v>315.91868734548365</v>
      </c>
      <c r="R35" s="62">
        <f t="shared" si="0"/>
        <v>609.25202067881696</v>
      </c>
      <c r="S35" s="62">
        <f ca="1">AVERAGE(OFFSET($R$3,0,0,'Données projet'!$E$9+1,1))-AVERAGE(OFFSET($H$3,0,0,'Données projet'!$E$9+1,1))</f>
        <v>321.62968871874483</v>
      </c>
      <c r="T35" s="62">
        <f t="shared" si="34"/>
        <v>389.91636841473559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24.20162400428066</v>
      </c>
      <c r="AB35" s="23">
        <f>EXP(-LN(2)/2)*AB34+(1-EXP(-LN(2)/2))/(LN(2)/2)*V35*Y35*VLOOKUP('Données projet'!$B$9,Paramètres!$A$1:$I$89,3,0)*0.475*44/12</f>
        <v>9.1332540413270671</v>
      </c>
      <c r="AC35" s="24">
        <f t="shared" si="3"/>
        <v>33.334878045607724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>
        <f>VLOOKUP(A35,'Données projet'!$A$61:$I$81,2,0)</f>
        <v>384.47</v>
      </c>
      <c r="AG35" s="13">
        <f>VLOOKUP(A35,'Données projet'!$A$61:$I$81,9,0)</f>
        <v>27.439999999999998</v>
      </c>
      <c r="AH35" s="13">
        <f t="array" ref="AH35">INDEX(AG:AG,MIN(IF(ISNUMBER(AG35:AG231),ROW(AG35:AG231),"")))</f>
        <v>27.439999999999998</v>
      </c>
      <c r="AI35" s="14">
        <f>IF('Données projet'!$A$62&gt;35,AI34+AH35-AQ34,IF(A35&lt;'Données projet'!$A$62,$AF$205^A35,IF(A35='Données projet'!$A$62,'Données projet'!$B$62,AI34+AH35-AQ34)))</f>
        <v>384.46999999999997</v>
      </c>
      <c r="AJ35" s="14">
        <f>AI35*VLOOKUP('Données projet'!$B$10,Paramètres!$A$1:$I$89,3,0)*VLOOKUP('Données projet'!$B$10,Paramètres!$A$1:$I$89,5,0)</f>
        <v>214.91872999999998</v>
      </c>
      <c r="AK35" s="14">
        <f t="shared" si="35"/>
        <v>53.008999324398879</v>
      </c>
      <c r="AL35" s="22">
        <f t="shared" si="4"/>
        <v>466.6407952399947</v>
      </c>
      <c r="AM35" s="62">
        <f t="shared" si="5"/>
        <v>759.97412857332802</v>
      </c>
      <c r="AN35" s="62">
        <f ca="1">AVERAGE(OFFSET($AM$3,0,0,'Données projet'!$E$10+1,1))-AVERAGE(OFFSET($H$3,0,0,'Données projet'!$E$10+1,1))</f>
        <v>405.09126081846171</v>
      </c>
      <c r="AO35" s="62">
        <f t="shared" si="36"/>
        <v>534.22295841722166</v>
      </c>
      <c r="AP35" s="16">
        <f>IF(ISNA(VLOOKUP(A35,'Données projet'!$A$61:$I$81,3,0)),0,VLOOKUP(A35,'Données projet'!$A$61:$I$81,3,0))</f>
        <v>9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25.338724975055708</v>
      </c>
      <c r="AV35" s="23">
        <f>EXP(-LN(2)/25)*AV34+(1-EXP(-LN(2)/25))/(LN(2)/25)*Calculateur!AQ35*Calculateur!AS35*VLOOKUP('Données projet'!$B$10,Paramètres!$A$1:$I$89,3,0)*0.475*44/12</f>
        <v>22.599895079372626</v>
      </c>
      <c r="AW35" s="23">
        <f>EXP(-LN(2)/2)*AW34+(1-EXP(-LN(2)/2))/(LN(2)/2)*AQ35*AT35*VLOOKUP('Données projet'!$B$10,Paramètres!$A$1:$I$89,3,0)*0.475*44/12</f>
        <v>5.9195719086734444</v>
      </c>
      <c r="AX35" s="23">
        <f t="shared" si="6"/>
        <v>53.858191963101781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522.41357551264855</v>
      </c>
      <c r="BI35" s="62">
        <f ca="1">AVERAGE(OFFSET($BH$3,0,0,'Données projet'!$E$11+1,1))-AVERAGE(OFFSET($H$3,0,0,'Données projet'!$E$11+1,1))</f>
        <v>439.06700232017681</v>
      </c>
      <c r="BJ35" s="62">
        <f t="shared" si="38"/>
        <v>278.21741231699929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8.6379231945936112</v>
      </c>
      <c r="BR35" s="23">
        <f>EXP(-LN(2)/2)*BR34+(1-EXP(-LN(2)/2))/(LN(2)/2)*BL35*BO35*VLOOKUP('Données projet'!$B$11,Paramètres!$A$1:$I$89,3,0)*0.475*44/12</f>
        <v>7.4548873222788181</v>
      </c>
      <c r="BS35" s="24">
        <f t="shared" si="9"/>
        <v>16.092810516872429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110.84112000000003</v>
      </c>
      <c r="CA35" s="14">
        <f t="shared" si="39"/>
        <v>29.529071061640771</v>
      </c>
      <c r="CB35" s="22">
        <f t="shared" si="10"/>
        <v>244.47808276569106</v>
      </c>
      <c r="CC35" s="62">
        <f t="shared" si="11"/>
        <v>537.81141609902443</v>
      </c>
      <c r="CD35" s="62">
        <f ca="1">AVERAGE(OFFSET($CC$3,0,0,'Données projet'!$E$12+1,1))-AVERAGE(OFFSET($H$3,0,0,'Données projet'!$E$12+1,1))</f>
        <v>466.4945858005575</v>
      </c>
      <c r="CE35" s="62">
        <f t="shared" si="40"/>
        <v>294.45557293177131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9.2336420356000648</v>
      </c>
      <c r="CM35" s="23">
        <f>EXP(-LN(2)/2)*CM34+(1-EXP(-LN(2)/2))/(LN(2)/2)*CG35*CJ35*VLOOKUP('Données projet'!$B$12,Paramètres!$A$1:$I$89,3,0)*0.475*44/12</f>
        <v>7.9690174824359783</v>
      </c>
      <c r="CN35" s="24">
        <f t="shared" si="12"/>
        <v>17.202659518036043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76.873680000000022</v>
      </c>
      <c r="CV35" s="14">
        <f t="shared" si="41"/>
        <v>21.371018263850051</v>
      </c>
      <c r="CW35" s="22">
        <f t="shared" si="13"/>
        <v>171.1095161428722</v>
      </c>
      <c r="CX35" s="62">
        <f t="shared" si="14"/>
        <v>464.44284947620554</v>
      </c>
      <c r="CY35" s="62">
        <f ca="1">AVERAGE(OFFSET($CX$3,0,0,'Données projet'!$E$13+1,1))-AVERAGE(OFFSET($H$3,0,0,'Données projet'!$E$13+1,1))</f>
        <v>335.83558218229564</v>
      </c>
      <c r="CZ35" s="62">
        <f t="shared" si="42"/>
        <v>217.08423061559648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7.8932746433355412</v>
      </c>
      <c r="DH35" s="23">
        <f>EXP(-LN(2)/2)*DH34+(1-EXP(-LN(2)/2))/(LN(2)/2)*DB35*DE35*VLOOKUP('Données projet'!$B$13,Paramètres!$A$1:$I$89,3,0)*0.475*44/12</f>
        <v>5.5268992216894679</v>
      </c>
      <c r="DI35" s="24">
        <f t="shared" si="15"/>
        <v>13.42017386502501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</v>
      </c>
      <c r="N36" s="14">
        <f>IF('Données projet'!$A$36&gt;35,N35+M36-V35,IF(A36&lt;'Données projet'!$A$36,$K$205^A36,IF(A36='Données projet'!$A$36,'Données projet'!$B$36,N35+M36-V35)))</f>
        <v>176.99999999999997</v>
      </c>
      <c r="O36" s="14">
        <f>N36*VLOOKUP('Données projet'!$B$9,Paramètres!$A$1:$I$89,3,0)*VLOOKUP('Données projet'!$B$9,Paramètres!$A$1:$I$89,5,0)</f>
        <v>154.62719999999999</v>
      </c>
      <c r="P36" s="14">
        <f t="shared" si="33"/>
        <v>39.62826685000794</v>
      </c>
      <c r="Q36" s="22">
        <f t="shared" si="53"/>
        <v>338.32827143043045</v>
      </c>
      <c r="R36" s="62">
        <f t="shared" si="0"/>
        <v>631.66160476376376</v>
      </c>
      <c r="S36" s="62">
        <f ca="1">AVERAGE(OFFSET($R$3,0,0,'Données projet'!$E$9+1,1))-AVERAGE(OFFSET($H$3,0,0,'Données projet'!$E$9+1,1))</f>
        <v>321.62968871874483</v>
      </c>
      <c r="T36" s="62">
        <f t="shared" si="34"/>
        <v>389.91636841473559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23.539829323175514</v>
      </c>
      <c r="AB36" s="23">
        <f>EXP(-LN(2)/2)*AB35+(1-EXP(-LN(2)/2))/(LN(2)/2)*V36*Y36*VLOOKUP('Données projet'!$B$9,Paramètres!$A$1:$I$89,3,0)*0.475*44/12</f>
        <v>6.4581858669218102</v>
      </c>
      <c r="AC36" s="24">
        <f t="shared" si="3"/>
        <v>29.998015190097323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28.699999999999989</v>
      </c>
      <c r="AI36" s="14">
        <f>IF('Données projet'!$A$62&gt;35,AI35+AH36-AQ35,IF(A36&lt;'Données projet'!$A$62,$AF$205^A36,IF(A36='Données projet'!$A$62,'Données projet'!$B$62,AI35+AH36-AQ35)))</f>
        <v>413.16999999999996</v>
      </c>
      <c r="AJ36" s="14">
        <f>AI36*VLOOKUP('Données projet'!$B$10,Paramètres!$A$1:$I$89,3,0)*VLOOKUP('Données projet'!$B$10,Paramètres!$A$1:$I$89,5,0)</f>
        <v>230.96203</v>
      </c>
      <c r="AK36" s="14">
        <f t="shared" si="35"/>
        <v>56.49064435022833</v>
      </c>
      <c r="AL36" s="22">
        <f t="shared" si="4"/>
        <v>500.64674115998105</v>
      </c>
      <c r="AM36" s="62">
        <f t="shared" si="5"/>
        <v>793.98007449331431</v>
      </c>
      <c r="AN36" s="62">
        <f ca="1">AVERAGE(OFFSET($AM$3,0,0,'Données projet'!$E$10+1,1))-AVERAGE(OFFSET($H$3,0,0,'Données projet'!$E$10+1,1))</f>
        <v>405.09126081846171</v>
      </c>
      <c r="AO36" s="62">
        <f t="shared" si="36"/>
        <v>534.22295841722166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24.841848033391038</v>
      </c>
      <c r="AV36" s="23">
        <f>EXP(-LN(2)/25)*AV35+(1-EXP(-LN(2)/25))/(LN(2)/25)*Calculateur!AQ36*Calculateur!AS36*VLOOKUP('Données projet'!$B$10,Paramètres!$A$1:$I$89,3,0)*0.475*44/12</f>
        <v>21.981899759950352</v>
      </c>
      <c r="AW36" s="23">
        <f>EXP(-LN(2)/2)*AW35+(1-EXP(-LN(2)/2))/(LN(2)/2)*AQ36*AT36*VLOOKUP('Données projet'!$B$10,Paramètres!$A$1:$I$89,3,0)*0.475*44/12</f>
        <v>4.1857694383443871</v>
      </c>
      <c r="AX36" s="23">
        <f t="shared" si="6"/>
        <v>51.009517231685777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543.44900311204924</v>
      </c>
      <c r="BI36" s="62">
        <f ca="1">AVERAGE(OFFSET($BH$3,0,0,'Données projet'!$E$11+1,1))-AVERAGE(OFFSET($H$3,0,0,'Données projet'!$E$11+1,1))</f>
        <v>439.06700232017681</v>
      </c>
      <c r="BJ36" s="62">
        <f t="shared" si="38"/>
        <v>278.21741231699929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8.4017187305888097</v>
      </c>
      <c r="BR36" s="23">
        <f>EXP(-LN(2)/2)*BR35+(1-EXP(-LN(2)/2))/(LN(2)/2)*BL36*BO36*VLOOKUP('Données projet'!$B$11,Paramètres!$A$1:$I$89,3,0)*0.475*44/12</f>
        <v>5.2714013785649758</v>
      </c>
      <c r="BS36" s="24">
        <f t="shared" si="9"/>
        <v>13.673120109153786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121.28688000000004</v>
      </c>
      <c r="CA36" s="14">
        <f t="shared" si="39"/>
        <v>31.974956333849104</v>
      </c>
      <c r="CB36" s="22">
        <f t="shared" si="10"/>
        <v>266.93103161478729</v>
      </c>
      <c r="CC36" s="62">
        <f t="shared" si="11"/>
        <v>560.2643649481206</v>
      </c>
      <c r="CD36" s="62">
        <f ca="1">AVERAGE(OFFSET($CC$3,0,0,'Données projet'!$E$12+1,1))-AVERAGE(OFFSET($H$3,0,0,'Données projet'!$E$12+1,1))</f>
        <v>466.4945858005575</v>
      </c>
      <c r="CE36" s="62">
        <f t="shared" si="40"/>
        <v>294.45557293177131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8.98114760856045</v>
      </c>
      <c r="CM36" s="23">
        <f>EXP(-LN(2)/2)*CM35+(1-EXP(-LN(2)/2))/(LN(2)/2)*CG36*CJ36*VLOOKUP('Données projet'!$B$12,Paramètres!$A$1:$I$89,3,0)*0.475*44/12</f>
        <v>5.6349463012246295</v>
      </c>
      <c r="CN36" s="24">
        <f t="shared" si="12"/>
        <v>14.616093909785079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84.118320000000026</v>
      </c>
      <c r="CV36" s="14">
        <f t="shared" si="41"/>
        <v>23.141174145643028</v>
      </c>
      <c r="CW36" s="22">
        <f t="shared" si="13"/>
        <v>186.81028563699499</v>
      </c>
      <c r="CX36" s="62">
        <f t="shared" si="14"/>
        <v>480.1436189703283</v>
      </c>
      <c r="CY36" s="62">
        <f ca="1">AVERAGE(OFFSET($CX$3,0,0,'Données projet'!$E$13+1,1))-AVERAGE(OFFSET($H$3,0,0,'Données projet'!$E$13+1,1))</f>
        <v>335.83558218229564</v>
      </c>
      <c r="CZ36" s="62">
        <f t="shared" si="42"/>
        <v>217.08423061559648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7.6774326331242575</v>
      </c>
      <c r="DH36" s="23">
        <f>EXP(-LN(2)/2)*DH35+(1-EXP(-LN(2)/2))/(LN(2)/2)*DB36*DE36*VLOOKUP('Données projet'!$B$13,Paramètres!$A$1:$I$89,3,0)*0.475*44/12</f>
        <v>3.9081079185912748</v>
      </c>
      <c r="DI36" s="24">
        <f t="shared" si="15"/>
        <v>11.585540551715532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</v>
      </c>
      <c r="N37" s="14">
        <f>IF('Données projet'!$A$36&gt;35,N36+M37-V36,IF(A37&lt;'Données projet'!$A$36,$K$205^A37,IF(A37='Données projet'!$A$36,'Données projet'!$B$36,N36+M37-V36)))</f>
        <v>188.99999999999997</v>
      </c>
      <c r="O37" s="14">
        <f>N37*VLOOKUP('Données projet'!$B$9,Paramètres!$A$1:$I$89,3,0)*VLOOKUP('Données projet'!$B$9,Paramètres!$A$1:$I$89,5,0)</f>
        <v>165.1104</v>
      </c>
      <c r="P37" s="14">
        <f t="shared" si="33"/>
        <v>41.993062739333446</v>
      </c>
      <c r="Q37" s="22">
        <f t="shared" si="53"/>
        <v>360.70519760433905</v>
      </c>
      <c r="R37" s="62">
        <f t="shared" si="0"/>
        <v>654.03853093767236</v>
      </c>
      <c r="S37" s="62">
        <f ca="1">AVERAGE(OFFSET($R$3,0,0,'Données projet'!$E$9+1,1))-AVERAGE(OFFSET($H$3,0,0,'Données projet'!$E$9+1,1))</f>
        <v>321.62968871874483</v>
      </c>
      <c r="T37" s="62">
        <f t="shared" si="34"/>
        <v>389.91636841473559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22.896131452427458</v>
      </c>
      <c r="AB37" s="23">
        <f>EXP(-LN(2)/2)*AB36+(1-EXP(-LN(2)/2))/(LN(2)/2)*V37*Y37*VLOOKUP('Données projet'!$B$9,Paramètres!$A$1:$I$89,3,0)*0.475*44/12</f>
        <v>4.5666270206635344</v>
      </c>
      <c r="AC37" s="24">
        <f t="shared" si="3"/>
        <v>27.462758473090993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441.87</v>
      </c>
      <c r="AG37" s="13">
        <f>VLOOKUP(A37,'Données projet'!$A$61:$I$81,9,0)</f>
        <v>28.699999999999989</v>
      </c>
      <c r="AH37" s="13">
        <f t="array" ref="AH37">INDEX(AG:AG,MIN(IF(ISNUMBER(AG37:AG233),ROW(AG37:AG233),"")))</f>
        <v>28.699999999999989</v>
      </c>
      <c r="AI37" s="14">
        <f>IF('Données projet'!$A$62&gt;35,AI36+AH37-AQ36,IF(A37&lt;'Données projet'!$A$62,$AF$205^A37,IF(A37='Données projet'!$A$62,'Données projet'!$B$62,AI36+AH37-AQ36)))</f>
        <v>441.86999999999995</v>
      </c>
      <c r="AJ37" s="14">
        <f>AI37*VLOOKUP('Données projet'!$B$10,Paramètres!$A$1:$I$89,3,0)*VLOOKUP('Données projet'!$B$10,Paramètres!$A$1:$I$89,5,0)</f>
        <v>247.00532999999996</v>
      </c>
      <c r="AK37" s="14">
        <f t="shared" si="35"/>
        <v>59.944228275257743</v>
      </c>
      <c r="AL37" s="22">
        <f t="shared" si="4"/>
        <v>534.60381399607388</v>
      </c>
      <c r="AM37" s="62">
        <f t="shared" si="5"/>
        <v>827.93714732940725</v>
      </c>
      <c r="AN37" s="62">
        <f ca="1">AVERAGE(OFFSET($AM$3,0,0,'Données projet'!$E$10+1,1))-AVERAGE(OFFSET($H$3,0,0,'Données projet'!$E$10+1,1))</f>
        <v>405.09126081846171</v>
      </c>
      <c r="AO37" s="62">
        <f t="shared" si="36"/>
        <v>534.22295841722166</v>
      </c>
      <c r="AP37" s="16">
        <f>IF(ISNA(VLOOKUP(A37,'Données projet'!$A$61:$I$81,3,0)),0,VLOOKUP(A37,'Données projet'!$A$61:$I$81,3,0))</f>
        <v>10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24.354714545487401</v>
      </c>
      <c r="AV37" s="23">
        <f>EXP(-LN(2)/25)*AV36+(1-EXP(-LN(2)/25))/(LN(2)/25)*Calculateur!AQ37*Calculateur!AS37*VLOOKUP('Données projet'!$B$10,Paramètres!$A$1:$I$89,3,0)*0.475*44/12</f>
        <v>21.380803555036643</v>
      </c>
      <c r="AW37" s="23">
        <f>EXP(-LN(2)/2)*AW36+(1-EXP(-LN(2)/2))/(LN(2)/2)*AQ37*AT37*VLOOKUP('Données projet'!$B$10,Paramètres!$A$1:$I$89,3,0)*0.475*44/12</f>
        <v>2.9597859543367226</v>
      </c>
      <c r="AX37" s="23">
        <f t="shared" si="6"/>
        <v>48.69530405486077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564.4443182209933</v>
      </c>
      <c r="BI37" s="62">
        <f ca="1">AVERAGE(OFFSET($BH$3,0,0,'Données projet'!$E$11+1,1))-AVERAGE(OFFSET($H$3,0,0,'Données projet'!$E$11+1,1))</f>
        <v>439.06700232017681</v>
      </c>
      <c r="BJ37" s="62">
        <f t="shared" si="38"/>
        <v>278.21741231699929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8.171973290073673</v>
      </c>
      <c r="BR37" s="23">
        <f>EXP(-LN(2)/2)*BR36+(1-EXP(-LN(2)/2))/(LN(2)/2)*BL37*BO37*VLOOKUP('Données projet'!$B$11,Paramètres!$A$1:$I$89,3,0)*0.475*44/12</f>
        <v>3.7274436611394095</v>
      </c>
      <c r="BS37" s="24">
        <f t="shared" si="9"/>
        <v>11.899416951213082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131.73264000000006</v>
      </c>
      <c r="CA37" s="14">
        <f t="shared" si="39"/>
        <v>34.396412537492502</v>
      </c>
      <c r="CB37" s="22">
        <f t="shared" si="10"/>
        <v>289.3414331694662</v>
      </c>
      <c r="CC37" s="62">
        <f t="shared" si="11"/>
        <v>582.67476650279946</v>
      </c>
      <c r="CD37" s="62">
        <f ca="1">AVERAGE(OFFSET($CC$3,0,0,'Données projet'!$E$12+1,1))-AVERAGE(OFFSET($H$3,0,0,'Données projet'!$E$12+1,1))</f>
        <v>466.4945858005575</v>
      </c>
      <c r="CE37" s="62">
        <f t="shared" si="40"/>
        <v>294.45557293177131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8.735557654906339</v>
      </c>
      <c r="CM37" s="23">
        <f>EXP(-LN(2)/2)*CM36+(1-EXP(-LN(2)/2))/(LN(2)/2)*CG37*CJ37*VLOOKUP('Données projet'!$B$12,Paramètres!$A$1:$I$89,3,0)*0.475*44/12</f>
        <v>3.9845087412179896</v>
      </c>
      <c r="CN37" s="24">
        <f t="shared" si="12"/>
        <v>12.720066396124329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91.362960000000029</v>
      </c>
      <c r="CV37" s="14">
        <f t="shared" si="41"/>
        <v>24.89365002424929</v>
      </c>
      <c r="CW37" s="22">
        <f t="shared" si="13"/>
        <v>202.48026245890085</v>
      </c>
      <c r="CX37" s="62">
        <f t="shared" si="14"/>
        <v>495.8135957922342</v>
      </c>
      <c r="CY37" s="62">
        <f ca="1">AVERAGE(OFFSET($CX$3,0,0,'Données projet'!$E$13+1,1))-AVERAGE(OFFSET($H$3,0,0,'Données projet'!$E$13+1,1))</f>
        <v>335.83558218229564</v>
      </c>
      <c r="CZ37" s="62">
        <f t="shared" si="42"/>
        <v>217.08423061559648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7.4674928340328393</v>
      </c>
      <c r="DH37" s="23">
        <f>EXP(-LN(2)/2)*DH36+(1-EXP(-LN(2)/2))/(LN(2)/2)*DB37*DE37*VLOOKUP('Données projet'!$B$13,Paramètres!$A$1:$I$89,3,0)*0.475*44/12</f>
        <v>2.7634496108447344</v>
      </c>
      <c r="DI37" s="24">
        <f t="shared" si="15"/>
        <v>10.230942444877574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201</v>
      </c>
      <c r="L38" s="13">
        <f>VLOOKUP(A38,'Données projet'!$A$35:$I$55,9,0)</f>
        <v>12</v>
      </c>
      <c r="M38" s="13">
        <f t="array" ref="M38">INDEX(L:L,MIN(IF(ISNUMBER(L38:L234),ROW(L38:L234),"")))</f>
        <v>12</v>
      </c>
      <c r="N38" s="14">
        <f>IF('Données projet'!$A$36&gt;35,N37+M38-V37,IF(A38&lt;'Données projet'!$A$36,$K$205^A38,IF(A38='Données projet'!$A$36,'Données projet'!$B$36,N37+M38-V37)))</f>
        <v>200.99999999999997</v>
      </c>
      <c r="O38" s="14">
        <f>N38*VLOOKUP('Données projet'!$B$9,Paramètres!$A$1:$I$89,3,0)*VLOOKUP('Données projet'!$B$9,Paramètres!$A$1:$I$89,5,0)</f>
        <v>175.59359999999998</v>
      </c>
      <c r="P38" s="14">
        <f t="shared" si="33"/>
        <v>44.340433728638573</v>
      </c>
      <c r="Q38" s="22">
        <f t="shared" si="53"/>
        <v>383.05177541071208</v>
      </c>
      <c r="R38" s="62">
        <f t="shared" si="0"/>
        <v>676.3851087440454</v>
      </c>
      <c r="S38" s="62">
        <f ca="1">AVERAGE(OFFSET($R$3,0,0,'Données projet'!$E$9+1,1))-AVERAGE(OFFSET($H$3,0,0,'Données projet'!$E$9+1,1))</f>
        <v>321.62968871874483</v>
      </c>
      <c r="T38" s="62">
        <f t="shared" si="34"/>
        <v>389.91636841473559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42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22.270035533805604</v>
      </c>
      <c r="AB38" s="23">
        <f>EXP(-LN(2)/2)*AB37+(1-EXP(-LN(2)/2))/(LN(2)/2)*V38*Y38*VLOOKUP('Données projet'!$B$9,Paramètres!$A$1:$I$89,3,0)*0.475*44/12</f>
        <v>3.2290929334609055</v>
      </c>
      <c r="AC38" s="24">
        <f t="shared" si="3"/>
        <v>25.499128467266509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29.77000000000001</v>
      </c>
      <c r="AI38" s="14">
        <f>IF('Données projet'!$A$62&gt;35,AI37+AH38-AQ37,IF(A38&lt;'Données projet'!$A$62,$AF$205^A38,IF(A38='Données projet'!$A$62,'Données projet'!$B$62,AI37+AH38-AQ37)))</f>
        <v>471.64</v>
      </c>
      <c r="AJ38" s="14">
        <f>AI38*VLOOKUP('Données projet'!$B$10,Paramètres!$A$1:$I$89,3,0)*VLOOKUP('Données projet'!$B$10,Paramètres!$A$1:$I$89,5,0)</f>
        <v>263.64675999999997</v>
      </c>
      <c r="AK38" s="14">
        <f t="shared" si="35"/>
        <v>63.49908855254693</v>
      </c>
      <c r="AL38" s="22">
        <f t="shared" si="4"/>
        <v>569.77901956235246</v>
      </c>
      <c r="AM38" s="62">
        <f t="shared" si="5"/>
        <v>863.11235289568572</v>
      </c>
      <c r="AN38" s="62">
        <f ca="1">AVERAGE(OFFSET($AM$3,0,0,'Données projet'!$E$10+1,1))-AVERAGE(OFFSET($H$3,0,0,'Données projet'!$E$10+1,1))</f>
        <v>405.09126081846171</v>
      </c>
      <c r="AO38" s="62">
        <f t="shared" si="36"/>
        <v>534.22295841722166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23.877133448159466</v>
      </c>
      <c r="AV38" s="23">
        <f>EXP(-LN(2)/25)*AV37+(1-EXP(-LN(2)/25))/(LN(2)/25)*Calculateur!AQ38*Calculateur!AS38*VLOOKUP('Données projet'!$B$10,Paramètres!$A$1:$I$89,3,0)*0.475*44/12</f>
        <v>20.796144357456573</v>
      </c>
      <c r="AW38" s="23">
        <f>EXP(-LN(2)/2)*AW37+(1-EXP(-LN(2)/2))/(LN(2)/2)*AQ38*AT38*VLOOKUP('Données projet'!$B$10,Paramètres!$A$1:$I$89,3,0)*0.475*44/12</f>
        <v>2.092884719172194</v>
      </c>
      <c r="AX38" s="23">
        <f t="shared" si="6"/>
        <v>46.766162524788236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585.40306318893647</v>
      </c>
      <c r="BI38" s="62">
        <f ca="1">AVERAGE(OFFSET($BH$3,0,0,'Données projet'!$E$11+1,1))-AVERAGE(OFFSET($H$3,0,0,'Données projet'!$E$11+1,1))</f>
        <v>439.06700232017681</v>
      </c>
      <c r="BJ38" s="62">
        <f t="shared" si="38"/>
        <v>278.21741231699929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7.9485102507112106</v>
      </c>
      <c r="BR38" s="23">
        <f>EXP(-LN(2)/2)*BR37+(1-EXP(-LN(2)/2))/(LN(2)/2)*BL38*BO38*VLOOKUP('Données projet'!$B$11,Paramètres!$A$1:$I$89,3,0)*0.475*44/12</f>
        <v>2.6357006892824884</v>
      </c>
      <c r="BS38" s="24">
        <f t="shared" si="9"/>
        <v>10.584210939993699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142.17840000000004</v>
      </c>
      <c r="CA38" s="14">
        <f t="shared" si="39"/>
        <v>36.795597013009356</v>
      </c>
      <c r="CB38" s="22">
        <f t="shared" si="10"/>
        <v>311.71304479765803</v>
      </c>
      <c r="CC38" s="62">
        <f t="shared" si="11"/>
        <v>605.04637813099134</v>
      </c>
      <c r="CD38" s="62">
        <f ca="1">AVERAGE(OFFSET($CC$3,0,0,'Données projet'!$E$12+1,1))-AVERAGE(OFFSET($H$3,0,0,'Données projet'!$E$12+1,1))</f>
        <v>466.4945858005575</v>
      </c>
      <c r="CE38" s="62">
        <f t="shared" si="40"/>
        <v>294.45557293177131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8.4966833714499135</v>
      </c>
      <c r="CM38" s="23">
        <f>EXP(-LN(2)/2)*CM37+(1-EXP(-LN(2)/2))/(LN(2)/2)*CG38*CJ38*VLOOKUP('Données projet'!$B$12,Paramètres!$A$1:$I$89,3,0)*0.475*44/12</f>
        <v>2.8174731506123152</v>
      </c>
      <c r="CN38" s="24">
        <f t="shared" si="12"/>
        <v>11.314156522062229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98.607600000000033</v>
      </c>
      <c r="CV38" s="14">
        <f t="shared" si="41"/>
        <v>26.630007227548578</v>
      </c>
      <c r="CW38" s="22">
        <f t="shared" si="13"/>
        <v>218.12216592131381</v>
      </c>
      <c r="CX38" s="62">
        <f t="shared" si="14"/>
        <v>511.45549925464712</v>
      </c>
      <c r="CY38" s="62">
        <f ca="1">AVERAGE(OFFSET($CX$3,0,0,'Données projet'!$E$13+1,1))-AVERAGE(OFFSET($H$3,0,0,'Données projet'!$E$13+1,1))</f>
        <v>335.83558218229564</v>
      </c>
      <c r="CZ38" s="62">
        <f t="shared" si="42"/>
        <v>217.08423061559648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7.2632938497878303</v>
      </c>
      <c r="DH38" s="23">
        <f>EXP(-LN(2)/2)*DH37+(1-EXP(-LN(2)/2))/(LN(2)/2)*DB38*DE38*VLOOKUP('Données projet'!$B$13,Paramètres!$A$1:$I$89,3,0)*0.475*44/12</f>
        <v>1.9540539592956376</v>
      </c>
      <c r="DI38" s="24">
        <f t="shared" si="15"/>
        <v>9.2173478090834671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</v>
      </c>
      <c r="N39" s="14">
        <f>IF('Données projet'!$A$36&gt;35,N38+M39-V38,IF(A39&lt;'Données projet'!$A$36,$K$205^A39,IF(A39='Données projet'!$A$36,'Données projet'!$B$36,N38+M39-V38)))</f>
        <v>169.99999999999997</v>
      </c>
      <c r="O39" s="14">
        <f>N39*VLOOKUP('Données projet'!$B$9,Paramètres!$A$1:$I$89,3,0)*VLOOKUP('Données projet'!$B$9,Paramètres!$A$1:$I$89,5,0)</f>
        <v>148.512</v>
      </c>
      <c r="P39" s="14">
        <f t="shared" si="33"/>
        <v>38.240236326053513</v>
      </c>
      <c r="Q39" s="22">
        <f t="shared" si="53"/>
        <v>325.26014493454323</v>
      </c>
      <c r="R39" s="62">
        <f t="shared" si="0"/>
        <v>618.59347826787655</v>
      </c>
      <c r="S39" s="62">
        <f ca="1">AVERAGE(OFFSET($R$3,0,0,'Données projet'!$E$9+1,1))-AVERAGE(OFFSET($H$3,0,0,'Données projet'!$E$9+1,1))</f>
        <v>321.62968871874483</v>
      </c>
      <c r="T39" s="62">
        <f t="shared" si="34"/>
        <v>389.91636841473559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21.661060241003419</v>
      </c>
      <c r="AB39" s="23">
        <f>EXP(-LN(2)/2)*AB38+(1-EXP(-LN(2)/2))/(LN(2)/2)*V39*Y39*VLOOKUP('Données projet'!$B$9,Paramètres!$A$1:$I$89,3,0)*0.475*44/12</f>
        <v>2.2833135103317677</v>
      </c>
      <c r="AC39" s="24">
        <f t="shared" si="3"/>
        <v>23.944373751335185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501.41</v>
      </c>
      <c r="AG39" s="13">
        <f>VLOOKUP(A39,'Données projet'!$A$61:$I$81,9,0)</f>
        <v>29.77000000000001</v>
      </c>
      <c r="AH39" s="13">
        <f t="array" ref="AH39">INDEX(AG:AG,MIN(IF(ISNUMBER(AG39:AG235),ROW(AG39:AG235),"")))</f>
        <v>29.77000000000001</v>
      </c>
      <c r="AI39" s="14">
        <f>IF('Données projet'!$A$62&gt;35,AI38+AH39-AQ38,IF(A39&lt;'Données projet'!$A$62,$AF$205^A39,IF(A39='Données projet'!$A$62,'Données projet'!$B$62,AI38+AH39-AQ38)))</f>
        <v>501.40999999999997</v>
      </c>
      <c r="AJ39" s="14">
        <f>AI39*VLOOKUP('Données projet'!$B$10,Paramètres!$A$1:$I$89,3,0)*VLOOKUP('Données projet'!$B$10,Paramètres!$A$1:$I$89,5,0)</f>
        <v>280.28818999999999</v>
      </c>
      <c r="AK39" s="14">
        <f t="shared" si="35"/>
        <v>67.027908065763796</v>
      </c>
      <c r="AL39" s="22">
        <f t="shared" si="4"/>
        <v>604.90887079787183</v>
      </c>
      <c r="AM39" s="62">
        <f t="shared" si="5"/>
        <v>898.2422041312052</v>
      </c>
      <c r="AN39" s="62">
        <f ca="1">AVERAGE(OFFSET($AM$3,0,0,'Données projet'!$E$10+1,1))-AVERAGE(OFFSET($H$3,0,0,'Données projet'!$E$10+1,1))</f>
        <v>405.09126081846171</v>
      </c>
      <c r="AO39" s="62">
        <f t="shared" si="36"/>
        <v>534.22295841722166</v>
      </c>
      <c r="AP39" s="16">
        <f>IF(ISNA(VLOOKUP(A39,'Données projet'!$A$61:$I$81,3,0)),0,VLOOKUP(A39,'Données projet'!$A$61:$I$81,3,0))</f>
        <v>11</v>
      </c>
      <c r="AQ39" s="16">
        <f>IF(ISNA(VLOOKUP(A39,'Données projet'!$A$61:$I$81,4,0)),0,VLOOKUP(A39,'Données projet'!$A$61:$I$81,4,0))</f>
        <v>85.88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23.408917424854426</v>
      </c>
      <c r="AV39" s="23">
        <f>EXP(-LN(2)/25)*AV38+(1-EXP(-LN(2)/25))/(LN(2)/25)*Calculateur!AQ39*Calculateur!AS39*VLOOKUP('Données projet'!$B$10,Paramètres!$A$1:$I$89,3,0)*0.475*44/12</f>
        <v>20.227472696380222</v>
      </c>
      <c r="AW39" s="23">
        <f>EXP(-LN(2)/2)*AW38+(1-EXP(-LN(2)/2))/(LN(2)/2)*AQ39*AT39*VLOOKUP('Données projet'!$B$10,Paramètres!$A$1:$I$89,3,0)*0.475*44/12</f>
        <v>1.4798929771683615</v>
      </c>
      <c r="AX39" s="23">
        <f t="shared" si="6"/>
        <v>45.116283098403009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552.78498149130326</v>
      </c>
      <c r="BI39" s="62">
        <f ca="1">AVERAGE(OFFSET($BH$3,0,0,'Données projet'!$E$11+1,1))-AVERAGE(OFFSET($H$3,0,0,'Données projet'!$E$11+1,1))</f>
        <v>439.06700232017681</v>
      </c>
      <c r="BJ39" s="62">
        <f t="shared" si="38"/>
        <v>278.21741231699929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7.731157819911525</v>
      </c>
      <c r="BR39" s="23">
        <f>EXP(-LN(2)/2)*BR38+(1-EXP(-LN(2)/2))/(LN(2)/2)*BL39*BO39*VLOOKUP('Données projet'!$B$11,Paramètres!$A$1:$I$89,3,0)*0.475*44/12</f>
        <v>1.8637218305697052</v>
      </c>
      <c r="BS39" s="24">
        <f t="shared" si="9"/>
        <v>9.5948796504812304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125.92944000000006</v>
      </c>
      <c r="CA39" s="14">
        <f t="shared" si="39"/>
        <v>33.054038034052077</v>
      </c>
      <c r="CB39" s="22">
        <f t="shared" si="10"/>
        <v>276.89622424264081</v>
      </c>
      <c r="CC39" s="62">
        <f t="shared" si="11"/>
        <v>570.22955757597413</v>
      </c>
      <c r="CD39" s="62">
        <f ca="1">AVERAGE(OFFSET($CC$3,0,0,'Données projet'!$E$12+1,1))-AVERAGE(OFFSET($H$3,0,0,'Données projet'!$E$12+1,1))</f>
        <v>466.4945858005575</v>
      </c>
      <c r="CE39" s="62">
        <f t="shared" si="40"/>
        <v>294.45557293177131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8.264341117836457</v>
      </c>
      <c r="CM39" s="23">
        <f>EXP(-LN(2)/2)*CM38+(1-EXP(-LN(2)/2))/(LN(2)/2)*CG39*CJ39*VLOOKUP('Données projet'!$B$12,Paramètres!$A$1:$I$89,3,0)*0.475*44/12</f>
        <v>1.9922543706089952</v>
      </c>
      <c r="CN39" s="24">
        <f t="shared" si="12"/>
        <v>10.256595488445452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87.33816000000003</v>
      </c>
      <c r="CV39" s="14">
        <f t="shared" si="41"/>
        <v>23.922135885857756</v>
      </c>
      <c r="CW39" s="22">
        <f t="shared" si="13"/>
        <v>193.77834866786895</v>
      </c>
      <c r="CX39" s="62">
        <f t="shared" si="14"/>
        <v>487.11168200120227</v>
      </c>
      <c r="CY39" s="62">
        <f ca="1">AVERAGE(OFFSET($CX$3,0,0,'Données projet'!$E$13+1,1))-AVERAGE(OFFSET($H$3,0,0,'Données projet'!$E$13+1,1))</f>
        <v>335.83558218229564</v>
      </c>
      <c r="CZ39" s="62">
        <f t="shared" si="42"/>
        <v>217.08423061559648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7.064678697505359</v>
      </c>
      <c r="DH39" s="23">
        <f>EXP(-LN(2)/2)*DH38+(1-EXP(-LN(2)/2))/(LN(2)/2)*DB39*DE39*VLOOKUP('Données projet'!$B$13,Paramètres!$A$1:$I$89,3,0)*0.475*44/12</f>
        <v>1.3817248054223674</v>
      </c>
      <c r="DI39" s="24">
        <f t="shared" si="15"/>
        <v>8.4464035029277262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</v>
      </c>
      <c r="N40" s="14">
        <f>IF('Données projet'!$A$36&gt;35,N39+M40-V39,IF(A40&lt;'Données projet'!$A$36,$K$205^A40,IF(A40='Données projet'!$A$36,'Données projet'!$B$36,N39+M40-V39)))</f>
        <v>180.99999999999997</v>
      </c>
      <c r="O40" s="14">
        <f>N40*VLOOKUP('Données projet'!$B$9,Paramètres!$A$1:$I$89,3,0)*VLOOKUP('Données projet'!$B$9,Paramètres!$A$1:$I$89,5,0)</f>
        <v>158.1216</v>
      </c>
      <c r="P40" s="14">
        <f t="shared" si="33"/>
        <v>40.418546284954211</v>
      </c>
      <c r="Q40" s="22">
        <f t="shared" si="53"/>
        <v>345.79075477962851</v>
      </c>
      <c r="R40" s="62">
        <f t="shared" si="0"/>
        <v>639.12408811296177</v>
      </c>
      <c r="S40" s="62">
        <f ca="1">AVERAGE(OFFSET($R$3,0,0,'Données projet'!$E$9+1,1))-AVERAGE(OFFSET($H$3,0,0,'Données projet'!$E$9+1,1))</f>
        <v>321.62968871874483</v>
      </c>
      <c r="T40" s="62">
        <f t="shared" si="34"/>
        <v>389.91636841473559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21.068737409607529</v>
      </c>
      <c r="AB40" s="23">
        <f>EXP(-LN(2)/2)*AB39+(1-EXP(-LN(2)/2))/(LN(2)/2)*V40*Y40*VLOOKUP('Données projet'!$B$9,Paramètres!$A$1:$I$89,3,0)*0.475*44/12</f>
        <v>1.614546466730453</v>
      </c>
      <c r="AC40" s="24">
        <f t="shared" si="3"/>
        <v>22.683283876337981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27.234999999999985</v>
      </c>
      <c r="AI40" s="14">
        <f>IF('Données projet'!$A$62&gt;35,AI39+AH40-AQ39,IF(A40&lt;'Données projet'!$A$62,$AF$205^A40,IF(A40='Données projet'!$A$62,'Données projet'!$B$62,AI39+AH40-AQ39)))</f>
        <v>442.76499999999999</v>
      </c>
      <c r="AJ40" s="14">
        <f>AI40*VLOOKUP('Données projet'!$B$10,Paramètres!$A$1:$I$89,3,0)*VLOOKUP('Données projet'!$B$10,Paramètres!$A$1:$I$89,5,0)</f>
        <v>247.50563500000001</v>
      </c>
      <c r="AK40" s="14">
        <f t="shared" si="35"/>
        <v>60.051498808282631</v>
      </c>
      <c r="AL40" s="22">
        <f t="shared" si="4"/>
        <v>535.66200804942548</v>
      </c>
      <c r="AM40" s="62">
        <f t="shared" si="5"/>
        <v>828.99534138275885</v>
      </c>
      <c r="AN40" s="62">
        <f ca="1">AVERAGE(OFFSET($AM$3,0,0,'Données projet'!$E$10+1,1))-AVERAGE(OFFSET($H$3,0,0,'Données projet'!$E$10+1,1))</f>
        <v>405.09126081846171</v>
      </c>
      <c r="AO40" s="62">
        <f t="shared" si="36"/>
        <v>534.22295841722166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22.949882832182823</v>
      </c>
      <c r="AV40" s="23">
        <f>EXP(-LN(2)/25)*AV39+(1-EXP(-LN(2)/25))/(LN(2)/25)*Calculateur!AQ40*Calculateur!AS40*VLOOKUP('Données projet'!$B$10,Paramètres!$A$1:$I$89,3,0)*0.475*44/12</f>
        <v>19.674351391781144</v>
      </c>
      <c r="AW40" s="23">
        <f>EXP(-LN(2)/2)*AW39+(1-EXP(-LN(2)/2))/(LN(2)/2)*AQ40*AT40*VLOOKUP('Données projet'!$B$10,Paramètres!$A$1:$I$89,3,0)*0.475*44/12</f>
        <v>1.046442359586097</v>
      </c>
      <c r="AX40" s="23">
        <f t="shared" si="6"/>
        <v>43.670676583550062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574.53993500762533</v>
      </c>
      <c r="BI40" s="62">
        <f ca="1">AVERAGE(OFFSET($BH$3,0,0,'Données projet'!$E$11+1,1))-AVERAGE(OFFSET($H$3,0,0,'Données projet'!$E$11+1,1))</f>
        <v>439.06700232017681</v>
      </c>
      <c r="BJ40" s="62">
        <f t="shared" si="38"/>
        <v>278.21741231699929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7.5197489027621245</v>
      </c>
      <c r="BR40" s="23">
        <f>EXP(-LN(2)/2)*BR39+(1-EXP(-LN(2)/2))/(LN(2)/2)*BL40*BO40*VLOOKUP('Données projet'!$B$11,Paramètres!$A$1:$I$89,3,0)*0.475*44/12</f>
        <v>1.3178503446412444</v>
      </c>
      <c r="BS40" s="24">
        <f t="shared" si="9"/>
        <v>8.837599247403368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136.76208000000003</v>
      </c>
      <c r="CA40" s="14">
        <f t="shared" si="39"/>
        <v>35.554236342883392</v>
      </c>
      <c r="CB40" s="22">
        <f t="shared" si="10"/>
        <v>300.11758429718861</v>
      </c>
      <c r="CC40" s="62">
        <f t="shared" si="11"/>
        <v>593.45091763052187</v>
      </c>
      <c r="CD40" s="62">
        <f ca="1">AVERAGE(OFFSET($CC$3,0,0,'Données projet'!$E$12+1,1))-AVERAGE(OFFSET($H$3,0,0,'Données projet'!$E$12+1,1))</f>
        <v>466.4945858005575</v>
      </c>
      <c r="CE40" s="62">
        <f t="shared" si="40"/>
        <v>294.45557293177131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8.0383522753664085</v>
      </c>
      <c r="CM40" s="23">
        <f>EXP(-LN(2)/2)*CM39+(1-EXP(-LN(2)/2))/(LN(2)/2)*CG40*CJ40*VLOOKUP('Données projet'!$B$12,Paramètres!$A$1:$I$89,3,0)*0.475*44/12</f>
        <v>1.4087365753061578</v>
      </c>
      <c r="CN40" s="24">
        <f t="shared" si="12"/>
        <v>9.4470888506725661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94.851120000000023</v>
      </c>
      <c r="CV40" s="14">
        <f t="shared" si="41"/>
        <v>25.731599638027415</v>
      </c>
      <c r="CW40" s="22">
        <f t="shared" si="13"/>
        <v>210.01490336956445</v>
      </c>
      <c r="CX40" s="62">
        <f t="shared" si="14"/>
        <v>503.34823670289779</v>
      </c>
      <c r="CY40" s="62">
        <f ca="1">AVERAGE(OFFSET($CX$3,0,0,'Données projet'!$E$13+1,1))-AVERAGE(OFFSET($H$3,0,0,'Données projet'!$E$13+1,1))</f>
        <v>335.83558218229564</v>
      </c>
      <c r="CZ40" s="62">
        <f t="shared" si="42"/>
        <v>217.08423061559648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6.871494687006769</v>
      </c>
      <c r="DH40" s="23">
        <f>EXP(-LN(2)/2)*DH39+(1-EXP(-LN(2)/2))/(LN(2)/2)*DB40*DE40*VLOOKUP('Données projet'!$B$13,Paramètres!$A$1:$I$89,3,0)*0.475*44/12</f>
        <v>0.97702697964781893</v>
      </c>
      <c r="DI40" s="24">
        <f t="shared" si="15"/>
        <v>7.8485216666545883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</v>
      </c>
      <c r="N41" s="14">
        <f>IF('Données projet'!$A$36&gt;35,N40+M41-V40,IF(A41&lt;'Données projet'!$A$36,$K$205^A41,IF(A41='Données projet'!$A$36,'Données projet'!$B$36,N40+M41-V40)))</f>
        <v>191.99999999999997</v>
      </c>
      <c r="O41" s="14">
        <f>N41*VLOOKUP('Données projet'!$B$9,Paramètres!$A$1:$I$89,3,0)*VLOOKUP('Données projet'!$B$9,Paramètres!$A$1:$I$89,5,0)</f>
        <v>167.7312</v>
      </c>
      <c r="P41" s="14">
        <f t="shared" si="33"/>
        <v>42.581491199832655</v>
      </c>
      <c r="Q41" s="22">
        <f t="shared" si="53"/>
        <v>366.29460383970854</v>
      </c>
      <c r="R41" s="62">
        <f t="shared" si="0"/>
        <v>659.6279371730418</v>
      </c>
      <c r="S41" s="62">
        <f ca="1">AVERAGE(OFFSET($R$3,0,0,'Données projet'!$E$9+1,1))-AVERAGE(OFFSET($H$3,0,0,'Données projet'!$E$9+1,1))</f>
        <v>321.62968871874483</v>
      </c>
      <c r="T41" s="62">
        <f t="shared" si="34"/>
        <v>389.91636841473559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20.492611677185064</v>
      </c>
      <c r="AB41" s="23">
        <f>EXP(-LN(2)/2)*AB40+(1-EXP(-LN(2)/2))/(LN(2)/2)*V41*Y41*VLOOKUP('Données projet'!$B$9,Paramètres!$A$1:$I$89,3,0)*0.475*44/12</f>
        <v>1.1416567551658838</v>
      </c>
      <c r="AC41" s="24">
        <f t="shared" si="3"/>
        <v>21.634268432350947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470</v>
      </c>
      <c r="AG41" s="13">
        <f>VLOOKUP(A41,'Données projet'!$A$61:$I$81,9,0)</f>
        <v>27.234999999999985</v>
      </c>
      <c r="AH41" s="13">
        <f t="array" ref="AH41">INDEX(AG:AG,MIN(IF(ISNUMBER(AG41:AG237),ROW(AG41:AG237),"")))</f>
        <v>27.234999999999985</v>
      </c>
      <c r="AI41" s="14">
        <f>IF('Données projet'!$A$62&gt;35,AI40+AH41-AQ40,IF(A41&lt;'Données projet'!$A$62,$AF$205^A41,IF(A41='Données projet'!$A$62,'Données projet'!$B$62,AI40+AH41-AQ40)))</f>
        <v>470</v>
      </c>
      <c r="AJ41" s="14">
        <f>AI41*VLOOKUP('Données projet'!$B$10,Paramètres!$A$1:$I$89,3,0)*VLOOKUP('Données projet'!$B$10,Paramètres!$A$1:$I$89,5,0)</f>
        <v>262.73</v>
      </c>
      <c r="AK41" s="14">
        <f t="shared" si="35"/>
        <v>63.303949401442225</v>
      </c>
      <c r="AL41" s="22">
        <f t="shared" si="4"/>
        <v>567.84246187417853</v>
      </c>
      <c r="AM41" s="62">
        <f t="shared" si="5"/>
        <v>861.17579520751178</v>
      </c>
      <c r="AN41" s="62">
        <f ca="1">AVERAGE(OFFSET($AM$3,0,0,'Données projet'!$E$10+1,1))-AVERAGE(OFFSET($H$3,0,0,'Données projet'!$E$10+1,1))</f>
        <v>405.09126081846171</v>
      </c>
      <c r="AO41" s="62">
        <f t="shared" si="36"/>
        <v>534.22295841722166</v>
      </c>
      <c r="AP41" s="16">
        <f>IF(ISNA(VLOOKUP(A41,'Données projet'!$A$61:$I$81,3,0)),0,VLOOKUP(A41,'Données projet'!$A$61:$I$81,3,0))</f>
        <v>12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22.499849627890054</v>
      </c>
      <c r="AV41" s="23">
        <f>EXP(-LN(2)/25)*AV40+(1-EXP(-LN(2)/25))/(LN(2)/25)*Calculateur!AQ41*Calculateur!AS41*VLOOKUP('Données projet'!$B$10,Paramètres!$A$1:$I$89,3,0)*0.475*44/12</f>
        <v>19.136355218343716</v>
      </c>
      <c r="AW41" s="23">
        <f>EXP(-LN(2)/2)*AW40+(1-EXP(-LN(2)/2))/(LN(2)/2)*AQ41*AT41*VLOOKUP('Données projet'!$B$10,Paramètres!$A$1:$I$89,3,0)*0.475*44/12</f>
        <v>0.73994648858418077</v>
      </c>
      <c r="AX41" s="23">
        <f t="shared" si="6"/>
        <v>42.376151334817948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596.25717061705495</v>
      </c>
      <c r="BI41" s="62">
        <f ca="1">AVERAGE(OFFSET($BH$3,0,0,'Données projet'!$E$11+1,1))-AVERAGE(OFFSET($H$3,0,0,'Données projet'!$E$11+1,1))</f>
        <v>439.06700232017681</v>
      </c>
      <c r="BJ41" s="62">
        <f t="shared" si="38"/>
        <v>278.21741231699929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7.3141209735696862</v>
      </c>
      <c r="BR41" s="23">
        <f>EXP(-LN(2)/2)*BR40+(1-EXP(-LN(2)/2))/(LN(2)/2)*BL41*BO41*VLOOKUP('Données projet'!$B$11,Paramètres!$A$1:$I$89,3,0)*0.475*44/12</f>
        <v>0.93186091528485271</v>
      </c>
      <c r="BS41" s="24">
        <f t="shared" si="9"/>
        <v>8.2459818888545389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147.59472000000002</v>
      </c>
      <c r="CA41" s="14">
        <f t="shared" si="39"/>
        <v>38.031463918082679</v>
      </c>
      <c r="CB41" s="22">
        <f t="shared" si="10"/>
        <v>323.29893699066071</v>
      </c>
      <c r="CC41" s="62">
        <f t="shared" si="11"/>
        <v>616.63227032399402</v>
      </c>
      <c r="CD41" s="62">
        <f ca="1">AVERAGE(OFFSET($CC$3,0,0,'Données projet'!$E$12+1,1))-AVERAGE(OFFSET($H$3,0,0,'Données projet'!$E$12+1,1))</f>
        <v>466.4945858005575</v>
      </c>
      <c r="CE41" s="62">
        <f t="shared" si="40"/>
        <v>294.45557293177131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7.8185431096779396</v>
      </c>
      <c r="CM41" s="23">
        <f>EXP(-LN(2)/2)*CM40+(1-EXP(-LN(2)/2))/(LN(2)/2)*CG41*CJ41*VLOOKUP('Données projet'!$B$12,Paramètres!$A$1:$I$89,3,0)*0.475*44/12</f>
        <v>0.99612718530449773</v>
      </c>
      <c r="CN41" s="24">
        <f t="shared" si="12"/>
        <v>8.814670294982438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102.36408000000002</v>
      </c>
      <c r="CV41" s="14">
        <f t="shared" si="41"/>
        <v>27.524438824969181</v>
      </c>
      <c r="CW41" s="22">
        <f t="shared" si="13"/>
        <v>226.2225036201547</v>
      </c>
      <c r="CX41" s="62">
        <f t="shared" si="14"/>
        <v>519.55583695348798</v>
      </c>
      <c r="CY41" s="62">
        <f ca="1">AVERAGE(OFFSET($CX$3,0,0,'Données projet'!$E$13+1,1))-AVERAGE(OFFSET($H$3,0,0,'Données projet'!$E$13+1,1))</f>
        <v>335.83558218229564</v>
      </c>
      <c r="CZ41" s="62">
        <f t="shared" si="42"/>
        <v>217.08423061559648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6.6835933034343684</v>
      </c>
      <c r="DH41" s="23">
        <f>EXP(-LN(2)/2)*DH40+(1-EXP(-LN(2)/2))/(LN(2)/2)*DB41*DE41*VLOOKUP('Données projet'!$B$13,Paramètres!$A$1:$I$89,3,0)*0.475*44/12</f>
        <v>0.69086240271118382</v>
      </c>
      <c r="DI41" s="24">
        <f t="shared" si="15"/>
        <v>7.374455706145552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</v>
      </c>
      <c r="N42" s="14">
        <f>IF('Données projet'!$A$36&gt;35,N41+M42-V41,IF(A42&lt;'Données projet'!$A$36,$K$205^A42,IF(A42='Données projet'!$A$36,'Données projet'!$B$36,N41+M42-V41)))</f>
        <v>202.99999999999997</v>
      </c>
      <c r="O42" s="14">
        <f>N42*VLOOKUP('Données projet'!$B$9,Paramètres!$A$1:$I$89,3,0)*VLOOKUP('Données projet'!$B$9,Paramètres!$A$1:$I$89,5,0)</f>
        <v>177.3408</v>
      </c>
      <c r="P42" s="14">
        <f t="shared" si="33"/>
        <v>44.730051658603102</v>
      </c>
      <c r="Q42" s="22">
        <f t="shared" si="53"/>
        <v>386.77339997206701</v>
      </c>
      <c r="R42" s="62">
        <f t="shared" si="0"/>
        <v>680.10673330540033</v>
      </c>
      <c r="S42" s="62">
        <f ca="1">AVERAGE(OFFSET($R$3,0,0,'Données projet'!$E$9+1,1))-AVERAGE(OFFSET($H$3,0,0,'Données projet'!$E$9+1,1))</f>
        <v>321.62968871874483</v>
      </c>
      <c r="T42" s="62">
        <f t="shared" si="34"/>
        <v>389.91636841473559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19.932240133212826</v>
      </c>
      <c r="AB42" s="23">
        <f>EXP(-LN(2)/2)*AB41+(1-EXP(-LN(2)/2))/(LN(2)/2)*V42*Y42*VLOOKUP('Données projet'!$B$9,Paramètres!$A$1:$I$89,3,0)*0.475*44/12</f>
        <v>0.80727323336522649</v>
      </c>
      <c r="AC42" s="24">
        <f t="shared" si="3"/>
        <v>20.739513366578052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28.095000000000027</v>
      </c>
      <c r="AI42" s="14">
        <f>IF('Données projet'!$A$62&gt;35,AI41+AH42-AQ41,IF(A42&lt;'Données projet'!$A$62,$AF$205^A42,IF(A42='Données projet'!$A$62,'Données projet'!$B$62,AI41+AH42-AQ41)))</f>
        <v>498.09500000000003</v>
      </c>
      <c r="AJ42" s="14">
        <f>AI42*VLOOKUP('Données projet'!$B$10,Paramètres!$A$1:$I$89,3,0)*VLOOKUP('Données projet'!$B$10,Paramètres!$A$1:$I$89,5,0)</f>
        <v>278.43510500000002</v>
      </c>
      <c r="AK42" s="14">
        <f t="shared" si="35"/>
        <v>66.636193787123958</v>
      </c>
      <c r="AL42" s="22">
        <f t="shared" si="4"/>
        <v>600.99917872090748</v>
      </c>
      <c r="AM42" s="62">
        <f t="shared" si="5"/>
        <v>894.33251205424085</v>
      </c>
      <c r="AN42" s="62">
        <f ca="1">AVERAGE(OFFSET($AM$3,0,0,'Données projet'!$E$10+1,1))-AVERAGE(OFFSET($H$3,0,0,'Données projet'!$E$10+1,1))</f>
        <v>405.09126081846171</v>
      </c>
      <c r="AO42" s="62">
        <f t="shared" si="36"/>
        <v>534.22295841722166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22.058641300240314</v>
      </c>
      <c r="AV42" s="23">
        <f>EXP(-LN(2)/25)*AV41+(1-EXP(-LN(2)/25))/(LN(2)/25)*Calculateur!AQ42*Calculateur!AS42*VLOOKUP('Données projet'!$B$10,Paramètres!$A$1:$I$89,3,0)*0.475*44/12</f>
        <v>18.613070578560922</v>
      </c>
      <c r="AW42" s="23">
        <f>EXP(-LN(2)/2)*AW41+(1-EXP(-LN(2)/2))/(LN(2)/2)*AQ42*AT42*VLOOKUP('Données projet'!$B$10,Paramètres!$A$1:$I$89,3,0)*0.475*44/12</f>
        <v>0.5232211797930485</v>
      </c>
      <c r="AX42" s="23">
        <f t="shared" si="6"/>
        <v>41.19493305859428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617.93977141159837</v>
      </c>
      <c r="BI42" s="62">
        <f ca="1">AVERAGE(OFFSET($BH$3,0,0,'Données projet'!$E$11+1,1))-AVERAGE(OFFSET($H$3,0,0,'Données projet'!$E$11+1,1))</f>
        <v>439.06700232017681</v>
      </c>
      <c r="BJ42" s="62">
        <f t="shared" si="38"/>
        <v>278.21741231699929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7.1141159509145178</v>
      </c>
      <c r="BR42" s="23">
        <f>EXP(-LN(2)/2)*BR41+(1-EXP(-LN(2)/2))/(LN(2)/2)*BL42*BO42*VLOOKUP('Données projet'!$B$11,Paramètres!$A$1:$I$89,3,0)*0.475*44/12</f>
        <v>0.65892517232062231</v>
      </c>
      <c r="BS42" s="24">
        <f t="shared" si="9"/>
        <v>7.7730411232351404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158.42736000000002</v>
      </c>
      <c r="CA42" s="14">
        <f t="shared" si="39"/>
        <v>40.487598405868248</v>
      </c>
      <c r="CB42" s="22">
        <f t="shared" si="10"/>
        <v>346.4435525568872</v>
      </c>
      <c r="CC42" s="62">
        <f t="shared" si="11"/>
        <v>639.77688589022046</v>
      </c>
      <c r="CD42" s="62">
        <f ca="1">AVERAGE(OFFSET($CC$3,0,0,'Données projet'!$E$12+1,1))-AVERAGE(OFFSET($H$3,0,0,'Données projet'!$E$12+1,1))</f>
        <v>466.4945858005575</v>
      </c>
      <c r="CE42" s="62">
        <f t="shared" si="40"/>
        <v>294.45557293177131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7.604744637184484</v>
      </c>
      <c r="CM42" s="23">
        <f>EXP(-LN(2)/2)*CM41+(1-EXP(-LN(2)/2))/(LN(2)/2)*CG42*CJ42*VLOOKUP('Données projet'!$B$12,Paramètres!$A$1:$I$89,3,0)*0.475*44/12</f>
        <v>0.70436828765307902</v>
      </c>
      <c r="CN42" s="24">
        <f t="shared" si="12"/>
        <v>8.3091129248375637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109.87703999999999</v>
      </c>
      <c r="CV42" s="14">
        <f t="shared" si="41"/>
        <v>29.302012351998378</v>
      </c>
      <c r="CW42" s="22">
        <f t="shared" si="13"/>
        <v>242.40351617973047</v>
      </c>
      <c r="CX42" s="62">
        <f t="shared" si="14"/>
        <v>535.73684951306382</v>
      </c>
      <c r="CY42" s="62">
        <f ca="1">AVERAGE(OFFSET($CX$3,0,0,'Données projet'!$E$13+1,1))-AVERAGE(OFFSET($H$3,0,0,'Données projet'!$E$13+1,1))</f>
        <v>335.83558218229564</v>
      </c>
      <c r="CZ42" s="62">
        <f t="shared" si="42"/>
        <v>217.08423061559648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6.5008300930770595</v>
      </c>
      <c r="DH42" s="23">
        <f>EXP(-LN(2)/2)*DH41+(1-EXP(-LN(2)/2))/(LN(2)/2)*DB42*DE42*VLOOKUP('Données projet'!$B$13,Paramètres!$A$1:$I$89,3,0)*0.475*44/12</f>
        <v>0.48851348982390957</v>
      </c>
      <c r="DI42" s="24">
        <f t="shared" si="15"/>
        <v>6.9893435829009691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214</v>
      </c>
      <c r="L43" s="13">
        <f>VLOOKUP(A43,'Données projet'!$A$35:$I$55,9,0)</f>
        <v>11</v>
      </c>
      <c r="M43" s="13">
        <f t="array" ref="M43">INDEX(L:L,MIN(IF(ISNUMBER(L43:L239),ROW(L43:L239),"")))</f>
        <v>11</v>
      </c>
      <c r="N43" s="14">
        <f>IF('Données projet'!$A$36&gt;35,N42+M43-V42,IF(A43&lt;'Données projet'!$A$36,$K$205^A43,IF(A43='Données projet'!$A$36,'Données projet'!$B$36,N42+M43-V42)))</f>
        <v>213.99999999999997</v>
      </c>
      <c r="O43" s="14">
        <f>N43*VLOOKUP('Données projet'!$B$9,Paramètres!$A$1:$I$89,3,0)*VLOOKUP('Données projet'!$B$9,Paramètres!$A$1:$I$89,5,0)</f>
        <v>186.9504</v>
      </c>
      <c r="P43" s="14">
        <f t="shared" si="33"/>
        <v>46.865095976617653</v>
      </c>
      <c r="Q43" s="22">
        <f t="shared" si="53"/>
        <v>407.22865549260905</v>
      </c>
      <c r="R43" s="62">
        <f t="shared" si="0"/>
        <v>700.56198882594231</v>
      </c>
      <c r="S43" s="62">
        <f ca="1">AVERAGE(OFFSET($R$3,0,0,'Données projet'!$E$9+1,1))-AVERAGE(OFFSET($H$3,0,0,'Données projet'!$E$9+1,1))</f>
        <v>321.62968871874483</v>
      </c>
      <c r="T43" s="62">
        <f t="shared" si="34"/>
        <v>389.91636841473559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39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19.387191978579168</v>
      </c>
      <c r="AB43" s="23">
        <f>EXP(-LN(2)/2)*AB42+(1-EXP(-LN(2)/2))/(LN(2)/2)*V43*Y43*VLOOKUP('Données projet'!$B$9,Paramètres!$A$1:$I$89,3,0)*0.475*44/12</f>
        <v>0.57082837758294191</v>
      </c>
      <c r="AC43" s="24">
        <f t="shared" si="3"/>
        <v>19.958020356162109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526.19000000000005</v>
      </c>
      <c r="AG43" s="13">
        <f>VLOOKUP(A43,'Données projet'!$A$61:$I$81,9,0)</f>
        <v>28.095000000000027</v>
      </c>
      <c r="AH43" s="13">
        <f t="array" ref="AH43">INDEX(AG:AG,MIN(IF(ISNUMBER(AG43:AG239),ROW(AG43:AG239),"")))</f>
        <v>28.095000000000027</v>
      </c>
      <c r="AI43" s="14">
        <f>IF('Données projet'!$A$62&gt;35,AI42+AH43-AQ42,IF(A43&lt;'Données projet'!$A$62,$AF$205^A43,IF(A43='Données projet'!$A$62,'Données projet'!$B$62,AI42+AH43-AQ42)))</f>
        <v>526.19000000000005</v>
      </c>
      <c r="AJ43" s="14">
        <f>AI43*VLOOKUP('Données projet'!$B$10,Paramètres!$A$1:$I$89,3,0)*VLOOKUP('Données projet'!$B$10,Paramètres!$A$1:$I$89,5,0)</f>
        <v>294.14021000000002</v>
      </c>
      <c r="AK43" s="14">
        <f t="shared" si="35"/>
        <v>69.946619671428806</v>
      </c>
      <c r="AL43" s="22">
        <f t="shared" si="4"/>
        <v>634.11789501107194</v>
      </c>
      <c r="AM43" s="62">
        <f t="shared" si="5"/>
        <v>927.45122834440531</v>
      </c>
      <c r="AN43" s="62">
        <f ca="1">AVERAGE(OFFSET($AM$3,0,0,'Données projet'!$E$10+1,1))-AVERAGE(OFFSET($H$3,0,0,'Données projet'!$E$10+1,1))</f>
        <v>405.09126081846171</v>
      </c>
      <c r="AO43" s="62">
        <f t="shared" si="36"/>
        <v>534.22295841722166</v>
      </c>
      <c r="AP43" s="16">
        <f>IF(ISNA(VLOOKUP(A43,'Données projet'!$A$61:$I$81,3,0)),0,VLOOKUP(A43,'Données projet'!$A$61:$I$81,3,0))</f>
        <v>13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21.626084798785278</v>
      </c>
      <c r="AV43" s="23">
        <f>EXP(-LN(2)/25)*AV42+(1-EXP(-LN(2)/25))/(LN(2)/25)*Calculateur!AQ43*Calculateur!AS43*VLOOKUP('Données projet'!$B$10,Paramètres!$A$1:$I$89,3,0)*0.475*44/12</f>
        <v>18.104095184771332</v>
      </c>
      <c r="AW43" s="23">
        <f>EXP(-LN(2)/2)*AW42+(1-EXP(-LN(2)/2))/(LN(2)/2)*AQ43*AT43*VLOOKUP('Données projet'!$B$10,Paramètres!$A$1:$I$89,3,0)*0.475*44/12</f>
        <v>0.36997324429209039</v>
      </c>
      <c r="AX43" s="23">
        <f t="shared" si="6"/>
        <v>40.100153227848701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639.59037499870362</v>
      </c>
      <c r="BI43" s="62">
        <f ca="1">AVERAGE(OFFSET($BH$3,0,0,'Données projet'!$E$11+1,1))-AVERAGE(OFFSET($H$3,0,0,'Données projet'!$E$11+1,1))</f>
        <v>439.06700232017681</v>
      </c>
      <c r="BJ43" s="62">
        <f t="shared" si="38"/>
        <v>278.21741231699929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6.9195800761216617</v>
      </c>
      <c r="BR43" s="23">
        <f>EXP(-LN(2)/2)*BR42+(1-EXP(-LN(2)/2))/(LN(2)/2)*BL43*BO43*VLOOKUP('Données projet'!$B$11,Paramètres!$A$1:$I$89,3,0)*0.475*44/12</f>
        <v>0.46593045764242641</v>
      </c>
      <c r="BS43" s="24">
        <f t="shared" si="9"/>
        <v>7.3855105337640881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169.26000000000002</v>
      </c>
      <c r="CA43" s="14">
        <f t="shared" si="39"/>
        <v>42.924246146122272</v>
      </c>
      <c r="CB43" s="22">
        <f t="shared" si="10"/>
        <v>369.55422870449632</v>
      </c>
      <c r="CC43" s="62">
        <f t="shared" si="11"/>
        <v>662.88756203782964</v>
      </c>
      <c r="CD43" s="62">
        <f ca="1">AVERAGE(OFFSET($CC$3,0,0,'Données projet'!$E$12+1,1))-AVERAGE(OFFSET($H$3,0,0,'Données projet'!$E$12+1,1))</f>
        <v>466.4945858005575</v>
      </c>
      <c r="CE43" s="62">
        <f t="shared" si="40"/>
        <v>294.45557293177131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7.3967924951645347</v>
      </c>
      <c r="CM43" s="23">
        <f>EXP(-LN(2)/2)*CM42+(1-EXP(-LN(2)/2))/(LN(2)/2)*CG43*CJ43*VLOOKUP('Données projet'!$B$12,Paramètres!$A$1:$I$89,3,0)*0.475*44/12</f>
        <v>0.49806359265224892</v>
      </c>
      <c r="CN43" s="24">
        <f t="shared" si="12"/>
        <v>7.8948560878167839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117.39</v>
      </c>
      <c r="CV43" s="14">
        <f t="shared" si="41"/>
        <v>31.065482772413461</v>
      </c>
      <c r="CW43" s="22">
        <f t="shared" si="13"/>
        <v>258.55996582862014</v>
      </c>
      <c r="CX43" s="62">
        <f t="shared" si="14"/>
        <v>551.89329916195345</v>
      </c>
      <c r="CY43" s="62">
        <f ca="1">AVERAGE(OFFSET($CX$3,0,0,'Données projet'!$E$13+1,1))-AVERAGE(OFFSET($H$3,0,0,'Données projet'!$E$13+1,1))</f>
        <v>335.83558218229564</v>
      </c>
      <c r="CZ43" s="62">
        <f t="shared" si="42"/>
        <v>217.08423061559648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6.3230645523180709</v>
      </c>
      <c r="DH43" s="23">
        <f>EXP(-LN(2)/2)*DH42+(1-EXP(-LN(2)/2))/(LN(2)/2)*DB43*DE43*VLOOKUP('Données projet'!$B$13,Paramètres!$A$1:$I$89,3,0)*0.475*44/12</f>
        <v>0.34543120135559197</v>
      </c>
      <c r="DI43" s="24">
        <f t="shared" si="15"/>
        <v>6.6684957536736631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9.8000000000000007</v>
      </c>
      <c r="N44" s="14">
        <f>IF('Données projet'!$A$36&gt;35,N43+M44-V43,IF(A44&lt;'Données projet'!$A$36,$K$205^A44,IF(A44='Données projet'!$A$36,'Données projet'!$B$36,N43+M44-V43)))</f>
        <v>184.79999999999998</v>
      </c>
      <c r="O44" s="14">
        <f>N44*VLOOKUP('Données projet'!$B$9,Paramètres!$A$1:$I$89,3,0)*VLOOKUP('Données projet'!$B$9,Paramètres!$A$1:$I$89,5,0)</f>
        <v>161.44128000000001</v>
      </c>
      <c r="P44" s="14">
        <f t="shared" si="33"/>
        <v>41.167430271655704</v>
      </c>
      <c r="Q44" s="22">
        <f t="shared" si="53"/>
        <v>352.87683705646697</v>
      </c>
      <c r="R44" s="62">
        <f t="shared" si="0"/>
        <v>646.21017038980028</v>
      </c>
      <c r="S44" s="62">
        <f ca="1">AVERAGE(OFFSET($R$3,0,0,'Données projet'!$E$9+1,1))-AVERAGE(OFFSET($H$3,0,0,'Données projet'!$E$9+1,1))</f>
        <v>321.62968871874483</v>
      </c>
      <c r="T44" s="62">
        <f t="shared" si="34"/>
        <v>389.91636841473559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18.857048194396803</v>
      </c>
      <c r="AB44" s="23">
        <f>EXP(-LN(2)/2)*AB43+(1-EXP(-LN(2)/2))/(LN(2)/2)*V44*Y44*VLOOKUP('Données projet'!$B$9,Paramètres!$A$1:$I$89,3,0)*0.475*44/12</f>
        <v>0.40363661668261325</v>
      </c>
      <c r="AC44" s="24">
        <f t="shared" si="3"/>
        <v>19.260684811079418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28.849999999999966</v>
      </c>
      <c r="AI44" s="14">
        <f>IF('Données projet'!$A$62&gt;35,AI43+AH44-AQ43,IF(A44&lt;'Données projet'!$A$62,$AF$205^A44,IF(A44='Données projet'!$A$62,'Données projet'!$B$62,AI43+AH44-AQ43)))</f>
        <v>555.04</v>
      </c>
      <c r="AJ44" s="14">
        <f>AI44*VLOOKUP('Données projet'!$B$10,Paramètres!$A$1:$I$89,3,0)*VLOOKUP('Données projet'!$B$10,Paramètres!$A$1:$I$89,5,0)</f>
        <v>310.26736</v>
      </c>
      <c r="AK44" s="14">
        <f t="shared" si="35"/>
        <v>73.324662779260194</v>
      </c>
      <c r="AL44" s="22">
        <f t="shared" si="4"/>
        <v>668.08943967387813</v>
      </c>
      <c r="AM44" s="62">
        <f t="shared" si="5"/>
        <v>961.42277300721139</v>
      </c>
      <c r="AN44" s="62">
        <f ca="1">AVERAGE(OFFSET($AM$3,0,0,'Données projet'!$E$10+1,1))-AVERAGE(OFFSET($H$3,0,0,'Données projet'!$E$10+1,1))</f>
        <v>405.09126081846171</v>
      </c>
      <c r="AO44" s="62">
        <f t="shared" si="36"/>
        <v>534.22295841722166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21.202010466490361</v>
      </c>
      <c r="AV44" s="23">
        <f>EXP(-LN(2)/25)*AV43+(1-EXP(-LN(2)/25))/(LN(2)/25)*Calculateur!AQ44*Calculateur!AS44*VLOOKUP('Données projet'!$B$10,Paramètres!$A$1:$I$89,3,0)*0.475*44/12</f>
        <v>17.609037749890771</v>
      </c>
      <c r="AW44" s="23">
        <f>EXP(-LN(2)/2)*AW43+(1-EXP(-LN(2)/2))/(LN(2)/2)*AQ44*AT44*VLOOKUP('Données projet'!$B$10,Paramètres!$A$1:$I$89,3,0)*0.475*44/12</f>
        <v>0.26161058989652425</v>
      </c>
      <c r="AX44" s="23">
        <f t="shared" si="6"/>
        <v>39.072658806277659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607.48980829023799</v>
      </c>
      <c r="BI44" s="62">
        <f ca="1">AVERAGE(OFFSET($BH$3,0,0,'Données projet'!$E$11+1,1))-AVERAGE(OFFSET($H$3,0,0,'Données projet'!$E$11+1,1))</f>
        <v>439.06700232017681</v>
      </c>
      <c r="BJ44" s="62">
        <f t="shared" si="38"/>
        <v>278.21741231699929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6.7303637950552133</v>
      </c>
      <c r="BR44" s="23">
        <f>EXP(-LN(2)/2)*BR43+(1-EXP(-LN(2)/2))/(LN(2)/2)*BL44*BO44*VLOOKUP('Données projet'!$B$11,Paramètres!$A$1:$I$89,3,0)*0.475*44/12</f>
        <v>0.32946258616031121</v>
      </c>
      <c r="BS44" s="24">
        <f t="shared" si="9"/>
        <v>7.0598263812155242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153.20447999999999</v>
      </c>
      <c r="CA44" s="14">
        <f t="shared" si="39"/>
        <v>39.305916881892401</v>
      </c>
      <c r="CB44" s="22">
        <f t="shared" si="10"/>
        <v>335.28894123596257</v>
      </c>
      <c r="CC44" s="62">
        <f t="shared" si="11"/>
        <v>628.62227456929588</v>
      </c>
      <c r="CD44" s="62">
        <f ca="1">AVERAGE(OFFSET($CC$3,0,0,'Données projet'!$E$12+1,1))-AVERAGE(OFFSET($H$3,0,0,'Données projet'!$E$12+1,1))</f>
        <v>466.4945858005575</v>
      </c>
      <c r="CE44" s="62">
        <f t="shared" si="40"/>
        <v>294.45557293177131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7.1945268154038491</v>
      </c>
      <c r="CM44" s="23">
        <f>EXP(-LN(2)/2)*CM43+(1-EXP(-LN(2)/2))/(LN(2)/2)*CG44*CJ44*VLOOKUP('Données projet'!$B$12,Paramètres!$A$1:$I$89,3,0)*0.475*44/12</f>
        <v>0.35218414382653956</v>
      </c>
      <c r="CN44" s="24">
        <f t="shared" si="12"/>
        <v>7.5467109592303885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106.25471999999999</v>
      </c>
      <c r="CV44" s="14">
        <f t="shared" si="41"/>
        <v>28.446796237064529</v>
      </c>
      <c r="CW44" s="22">
        <f t="shared" si="13"/>
        <v>234.60514077955398</v>
      </c>
      <c r="CX44" s="62">
        <f t="shared" si="14"/>
        <v>527.93847411288732</v>
      </c>
      <c r="CY44" s="62">
        <f ca="1">AVERAGE(OFFSET($CX$3,0,0,'Données projet'!$E$13+1,1))-AVERAGE(OFFSET($H$3,0,0,'Données projet'!$E$13+1,1))</f>
        <v>335.83558218229564</v>
      </c>
      <c r="CZ44" s="62">
        <f t="shared" si="42"/>
        <v>217.08423061559648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6.1501600196194204</v>
      </c>
      <c r="DH44" s="23">
        <f>EXP(-LN(2)/2)*DH43+(1-EXP(-LN(2)/2))/(LN(2)/2)*DB44*DE44*VLOOKUP('Données projet'!$B$13,Paramètres!$A$1:$I$89,3,0)*0.475*44/12</f>
        <v>0.24425674491195482</v>
      </c>
      <c r="DI44" s="24">
        <f t="shared" si="15"/>
        <v>6.3944167645313748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9.8000000000000007</v>
      </c>
      <c r="N45" s="14">
        <f>IF('Données projet'!$A$36&gt;35,N44+M45-V44,IF(A45&lt;'Données projet'!$A$36,$K$205^A45,IF(A45='Données projet'!$A$36,'Données projet'!$B$36,N44+M45-V44)))</f>
        <v>194.6</v>
      </c>
      <c r="O45" s="14">
        <f>N45*VLOOKUP('Données projet'!$B$9,Paramètres!$A$1:$I$89,3,0)*VLOOKUP('Données projet'!$B$9,Paramètres!$A$1:$I$89,5,0)</f>
        <v>170.00256000000002</v>
      </c>
      <c r="P45" s="14">
        <f t="shared" si="33"/>
        <v>43.090596939649579</v>
      </c>
      <c r="Q45" s="22">
        <f t="shared" si="53"/>
        <v>371.1372483365563</v>
      </c>
      <c r="R45" s="62">
        <f t="shared" si="0"/>
        <v>664.47058166988961</v>
      </c>
      <c r="S45" s="62">
        <f ca="1">AVERAGE(OFFSET($R$3,0,0,'Données projet'!$E$9+1,1))-AVERAGE(OFFSET($H$3,0,0,'Données projet'!$E$9+1,1))</f>
        <v>321.62968871874483</v>
      </c>
      <c r="T45" s="62">
        <f t="shared" si="34"/>
        <v>389.91636841473559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18.341401219871958</v>
      </c>
      <c r="AB45" s="23">
        <f>EXP(-LN(2)/2)*AB44+(1-EXP(-LN(2)/2))/(LN(2)/2)*V45*Y45*VLOOKUP('Données projet'!$B$9,Paramètres!$A$1:$I$89,3,0)*0.475*44/12</f>
        <v>0.28541418879147096</v>
      </c>
      <c r="AC45" s="24">
        <f t="shared" si="3"/>
        <v>18.626815408663429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583.89</v>
      </c>
      <c r="AG45" s="13">
        <f>VLOOKUP(A45,'Données projet'!$A$61:$I$81,9,0)</f>
        <v>28.849999999999966</v>
      </c>
      <c r="AH45" s="13">
        <f t="array" ref="AH45">INDEX(AG:AG,MIN(IF(ISNUMBER(AG45:AG241),ROW(AG45:AG241),"")))</f>
        <v>28.849999999999966</v>
      </c>
      <c r="AI45" s="14">
        <f>IF('Données projet'!$A$62&gt;35,AI44+AH45-AQ44,IF(A45&lt;'Données projet'!$A$62,$AF$205^A45,IF(A45='Données projet'!$A$62,'Données projet'!$B$62,AI44+AH45-AQ44)))</f>
        <v>583.88999999999987</v>
      </c>
      <c r="AJ45" s="14">
        <f>AI45*VLOOKUP('Données projet'!$B$10,Paramètres!$A$1:$I$89,3,0)*VLOOKUP('Données projet'!$B$10,Paramètres!$A$1:$I$89,5,0)</f>
        <v>326.39450999999991</v>
      </c>
      <c r="AK45" s="14">
        <f t="shared" si="35"/>
        <v>76.68231983802859</v>
      </c>
      <c r="AL45" s="22">
        <f t="shared" si="4"/>
        <v>702.0254786345663</v>
      </c>
      <c r="AM45" s="62">
        <f t="shared" si="5"/>
        <v>995.35881196789956</v>
      </c>
      <c r="AN45" s="62">
        <f ca="1">AVERAGE(OFFSET($AM$3,0,0,'Données projet'!$E$10+1,1))-AVERAGE(OFFSET($H$3,0,0,'Données projet'!$E$10+1,1))</f>
        <v>405.09126081846171</v>
      </c>
      <c r="AO45" s="62">
        <f t="shared" si="36"/>
        <v>534.22295841722166</v>
      </c>
      <c r="AP45" s="16">
        <f>IF(ISNA(VLOOKUP(A45,'Données projet'!$A$61:$I$81,3,0)),0,VLOOKUP(A45,'Données projet'!$A$61:$I$81,3,0))</f>
        <v>14</v>
      </c>
      <c r="AQ45" s="16">
        <f>IF(ISNA(VLOOKUP(A45,'Données projet'!$A$61:$I$81,4,0)),0,VLOOKUP(A45,'Données projet'!$A$61:$I$81,4,0))</f>
        <v>91.25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20.786251973191945</v>
      </c>
      <c r="AV45" s="23">
        <f>EXP(-LN(2)/25)*AV44+(1-EXP(-LN(2)/25))/(LN(2)/25)*Calculateur!AQ45*Calculateur!AS45*VLOOKUP('Données projet'!$B$10,Paramètres!$A$1:$I$89,3,0)*0.475*44/12</f>
        <v>17.127517686600957</v>
      </c>
      <c r="AW45" s="23">
        <f>EXP(-LN(2)/2)*AW44+(1-EXP(-LN(2)/2))/(LN(2)/2)*AQ45*AT45*VLOOKUP('Données projet'!$B$10,Paramètres!$A$1:$I$89,3,0)*0.475*44/12</f>
        <v>0.18498662214604519</v>
      </c>
      <c r="AX45" s="23">
        <f t="shared" si="6"/>
        <v>38.098756281938947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629.54213565092948</v>
      </c>
      <c r="BI45" s="62">
        <f ca="1">AVERAGE(OFFSET($BH$3,0,0,'Données projet'!$E$11+1,1))-AVERAGE(OFFSET($H$3,0,0,'Données projet'!$E$11+1,1))</f>
        <v>439.06700232017681</v>
      </c>
      <c r="BJ45" s="62">
        <f t="shared" si="38"/>
        <v>278.21741231699929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6.5463216431449789</v>
      </c>
      <c r="BR45" s="23">
        <f>EXP(-LN(2)/2)*BR44+(1-EXP(-LN(2)/2))/(LN(2)/2)*BL45*BO45*VLOOKUP('Données projet'!$B$11,Paramètres!$A$1:$I$89,3,0)*0.475*44/12</f>
        <v>0.23296522882121326</v>
      </c>
      <c r="BS45" s="24">
        <f t="shared" si="9"/>
        <v>6.7792868719661925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164.23056000000003</v>
      </c>
      <c r="CA45" s="14">
        <f t="shared" si="39"/>
        <v>41.795275864636551</v>
      </c>
      <c r="CB45" s="22">
        <f t="shared" si="10"/>
        <v>358.82833079757535</v>
      </c>
      <c r="CC45" s="62">
        <f t="shared" si="11"/>
        <v>652.16166413090866</v>
      </c>
      <c r="CD45" s="62">
        <f ca="1">AVERAGE(OFFSET($CC$3,0,0,'Données projet'!$E$12+1,1))-AVERAGE(OFFSET($H$3,0,0,'Données projet'!$E$12+1,1))</f>
        <v>466.4945858005575</v>
      </c>
      <c r="CE45" s="62">
        <f t="shared" si="40"/>
        <v>294.45557293177131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6.9977921012929087</v>
      </c>
      <c r="CM45" s="23">
        <f>EXP(-LN(2)/2)*CM44+(1-EXP(-LN(2)/2))/(LN(2)/2)*CG45*CJ45*VLOOKUP('Données projet'!$B$12,Paramètres!$A$1:$I$89,3,0)*0.475*44/12</f>
        <v>0.24903179632612452</v>
      </c>
      <c r="CN45" s="24">
        <f t="shared" si="12"/>
        <v>7.2468238976190333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113.90184000000002</v>
      </c>
      <c r="CV45" s="14">
        <f t="shared" si="41"/>
        <v>30.248415264444404</v>
      </c>
      <c r="CW45" s="22">
        <f t="shared" si="13"/>
        <v>251.06169458557397</v>
      </c>
      <c r="CX45" s="62">
        <f t="shared" si="14"/>
        <v>544.39502791890732</v>
      </c>
      <c r="CY45" s="62">
        <f ca="1">AVERAGE(OFFSET($CX$3,0,0,'Données projet'!$E$13+1,1))-AVERAGE(OFFSET($H$3,0,0,'Données projet'!$E$13+1,1))</f>
        <v>335.83558218229564</v>
      </c>
      <c r="CZ45" s="62">
        <f t="shared" si="42"/>
        <v>217.08423061559648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5.9819835704600681</v>
      </c>
      <c r="DH45" s="23">
        <f>EXP(-LN(2)/2)*DH44+(1-EXP(-LN(2)/2))/(LN(2)/2)*DB45*DE45*VLOOKUP('Données projet'!$B$13,Paramètres!$A$1:$I$89,3,0)*0.475*44/12</f>
        <v>0.17271560067779601</v>
      </c>
      <c r="DI45" s="24">
        <f t="shared" si="15"/>
        <v>6.1546991711378638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9.8000000000000007</v>
      </c>
      <c r="N46" s="14">
        <f>IF('Données projet'!$A$36&gt;35,N45+M46-V45,IF(A46&lt;'Données projet'!$A$36,$K$205^A46,IF(A46='Données projet'!$A$36,'Données projet'!$B$36,N45+M46-V45)))</f>
        <v>204.4</v>
      </c>
      <c r="O46" s="14">
        <f>N46*VLOOKUP('Données projet'!$B$9,Paramètres!$A$1:$I$89,3,0)*VLOOKUP('Données projet'!$B$9,Paramètres!$A$1:$I$89,5,0)</f>
        <v>178.56384000000003</v>
      </c>
      <c r="P46" s="14">
        <f t="shared" si="33"/>
        <v>45.002518212442588</v>
      </c>
      <c r="Q46" s="22">
        <f t="shared" si="53"/>
        <v>389.37807388667096</v>
      </c>
      <c r="R46" s="62">
        <f t="shared" si="0"/>
        <v>682.71140722000428</v>
      </c>
      <c r="S46" s="62">
        <f ca="1">AVERAGE(OFFSET($R$3,0,0,'Données projet'!$E$9+1,1))-AVERAGE(OFFSET($H$3,0,0,'Données projet'!$E$9+1,1))</f>
        <v>321.62968871874483</v>
      </c>
      <c r="T46" s="62">
        <f t="shared" si="34"/>
        <v>389.91636841473559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17.839854638982189</v>
      </c>
      <c r="AB46" s="23">
        <f>EXP(-LN(2)/2)*AB45+(1-EXP(-LN(2)/2))/(LN(2)/2)*V46*Y46*VLOOKUP('Données projet'!$B$9,Paramètres!$A$1:$I$89,3,0)*0.475*44/12</f>
        <v>0.20181830834130662</v>
      </c>
      <c r="AC46" s="24">
        <f t="shared" si="3"/>
        <v>18.041672947323494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26.495000000000005</v>
      </c>
      <c r="AI46" s="14">
        <f>IF('Données projet'!$A$62&gt;35,AI45+AH46-AQ45,IF(A46&lt;'Données projet'!$A$62,$AF$205^A46,IF(A46='Données projet'!$A$62,'Données projet'!$B$62,AI45+AH46-AQ45)))</f>
        <v>519.13499999999988</v>
      </c>
      <c r="AJ46" s="14">
        <f>AI46*VLOOKUP('Données projet'!$B$10,Paramètres!$A$1:$I$89,3,0)*VLOOKUP('Données projet'!$B$10,Paramètres!$A$1:$I$89,5,0)</f>
        <v>290.19646499999993</v>
      </c>
      <c r="AK46" s="14">
        <f t="shared" si="35"/>
        <v>69.11730885855718</v>
      </c>
      <c r="AL46" s="22">
        <f t="shared" si="4"/>
        <v>625.80482280365356</v>
      </c>
      <c r="AM46" s="62">
        <f t="shared" si="5"/>
        <v>919.13815613698694</v>
      </c>
      <c r="AN46" s="62">
        <f ca="1">AVERAGE(OFFSET($AM$3,0,0,'Données projet'!$E$10+1,1))-AVERAGE(OFFSET($H$3,0,0,'Données projet'!$E$10+1,1))</f>
        <v>405.09126081846171</v>
      </c>
      <c r="AO46" s="62">
        <f t="shared" si="36"/>
        <v>534.22295841722166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20.37864625035947</v>
      </c>
      <c r="AV46" s="23">
        <f>EXP(-LN(2)/25)*AV45+(1-EXP(-LN(2)/25))/(LN(2)/25)*Calculateur!AQ46*Calculateur!AS46*VLOOKUP('Données projet'!$B$10,Paramètres!$A$1:$I$89,3,0)*0.475*44/12</f>
        <v>16.659164814763844</v>
      </c>
      <c r="AW46" s="23">
        <f>EXP(-LN(2)/2)*AW45+(1-EXP(-LN(2)/2))/(LN(2)/2)*AQ46*AT46*VLOOKUP('Données projet'!$B$10,Paramètres!$A$1:$I$89,3,0)*0.475*44/12</f>
        <v>0.13080529494826212</v>
      </c>
      <c r="AX46" s="23">
        <f t="shared" si="6"/>
        <v>37.168616360071574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651.5626189141642</v>
      </c>
      <c r="BI46" s="62">
        <f ca="1">AVERAGE(OFFSET($BH$3,0,0,'Données projet'!$E$11+1,1))-AVERAGE(OFFSET($H$3,0,0,'Données projet'!$E$11+1,1))</f>
        <v>439.06700232017681</v>
      </c>
      <c r="BJ46" s="62">
        <f t="shared" si="38"/>
        <v>278.21741231699929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6.3673121335570864</v>
      </c>
      <c r="BR46" s="23">
        <f>EXP(-LN(2)/2)*BR45+(1-EXP(-LN(2)/2))/(LN(2)/2)*BL46*BO46*VLOOKUP('Données projet'!$B$11,Paramètres!$A$1:$I$89,3,0)*0.475*44/12</f>
        <v>0.16473129308015563</v>
      </c>
      <c r="BS46" s="24">
        <f t="shared" si="9"/>
        <v>6.5320434266372418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175.25664000000003</v>
      </c>
      <c r="CA46" s="14">
        <f t="shared" si="39"/>
        <v>44.265241345972555</v>
      </c>
      <c r="CB46" s="22">
        <f t="shared" si="10"/>
        <v>382.33394334423559</v>
      </c>
      <c r="CC46" s="62">
        <f t="shared" si="11"/>
        <v>675.66727667756891</v>
      </c>
      <c r="CD46" s="62">
        <f ca="1">AVERAGE(OFFSET($CC$3,0,0,'Données projet'!$E$12+1,1))-AVERAGE(OFFSET($H$3,0,0,'Données projet'!$E$12+1,1))</f>
        <v>466.4945858005575</v>
      </c>
      <c r="CE46" s="62">
        <f t="shared" si="40"/>
        <v>294.45557293177131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6.8064371082851611</v>
      </c>
      <c r="CM46" s="23">
        <f>EXP(-LN(2)/2)*CM45+(1-EXP(-LN(2)/2))/(LN(2)/2)*CG46*CJ46*VLOOKUP('Données projet'!$B$12,Paramètres!$A$1:$I$89,3,0)*0.475*44/12</f>
        <v>0.17609207191326981</v>
      </c>
      <c r="CN46" s="24">
        <f t="shared" si="12"/>
        <v>6.9825291801984308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121.54896000000002</v>
      </c>
      <c r="CV46" s="14">
        <f t="shared" si="41"/>
        <v>32.035998670049096</v>
      </c>
      <c r="CW46" s="22">
        <f t="shared" si="13"/>
        <v>267.49380301700216</v>
      </c>
      <c r="CX46" s="62">
        <f t="shared" si="14"/>
        <v>560.82713635033542</v>
      </c>
      <c r="CY46" s="62">
        <f ca="1">AVERAGE(OFFSET($CX$3,0,0,'Données projet'!$E$13+1,1))-AVERAGE(OFFSET($H$3,0,0,'Données projet'!$E$13+1,1))</f>
        <v>335.83558218229564</v>
      </c>
      <c r="CZ46" s="62">
        <f t="shared" si="42"/>
        <v>217.08423061559648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5.818405915146994</v>
      </c>
      <c r="DH46" s="23">
        <f>EXP(-LN(2)/2)*DH45+(1-EXP(-LN(2)/2))/(LN(2)/2)*DB46*DE46*VLOOKUP('Données projet'!$B$13,Paramètres!$A$1:$I$89,3,0)*0.475*44/12</f>
        <v>0.12212837245597744</v>
      </c>
      <c r="DI46" s="24">
        <f t="shared" si="15"/>
        <v>5.9405342876029712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9.8000000000000007</v>
      </c>
      <c r="N47" s="14">
        <f>IF('Données projet'!$A$36&gt;35,N46+M47-V46,IF(A47&lt;'Données projet'!$A$36,$K$205^A47,IF(A47='Données projet'!$A$36,'Données projet'!$B$36,N46+M47-V46)))</f>
        <v>214.20000000000002</v>
      </c>
      <c r="O47" s="14">
        <f>N47*VLOOKUP('Données projet'!$B$9,Paramètres!$A$1:$I$89,3,0)*VLOOKUP('Données projet'!$B$9,Paramètres!$A$1:$I$89,5,0)</f>
        <v>187.12512000000004</v>
      </c>
      <c r="P47" s="14">
        <f t="shared" si="33"/>
        <v>46.903794805770545</v>
      </c>
      <c r="Q47" s="22">
        <f t="shared" si="53"/>
        <v>407.60035995338376</v>
      </c>
      <c r="R47" s="62">
        <f t="shared" si="0"/>
        <v>700.93369328671702</v>
      </c>
      <c r="S47" s="62">
        <f ca="1">AVERAGE(OFFSET($R$3,0,0,'Données projet'!$E$9+1,1))-AVERAGE(OFFSET($H$3,0,0,'Données projet'!$E$9+1,1))</f>
        <v>321.62968871874483</v>
      </c>
      <c r="T47" s="62">
        <f t="shared" si="34"/>
        <v>389.91636841473559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17.352022875722039</v>
      </c>
      <c r="AB47" s="23">
        <f>EXP(-LN(2)/2)*AB46+(1-EXP(-LN(2)/2))/(LN(2)/2)*V47*Y47*VLOOKUP('Données projet'!$B$9,Paramètres!$A$1:$I$89,3,0)*0.475*44/12</f>
        <v>0.14270709439573548</v>
      </c>
      <c r="AC47" s="24">
        <f t="shared" si="3"/>
        <v>17.494729970117774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>
        <f>VLOOKUP(A47,'Données projet'!$A$61:$I$81,2,0)</f>
        <v>545.63</v>
      </c>
      <c r="AG47" s="13">
        <f>VLOOKUP(A47,'Données projet'!$A$61:$I$81,9,0)</f>
        <v>26.495000000000005</v>
      </c>
      <c r="AH47" s="13">
        <f t="array" ref="AH47">INDEX(AG:AG,MIN(IF(ISNUMBER(AG47:AG243),ROW(AG47:AG243),"")))</f>
        <v>26.495000000000005</v>
      </c>
      <c r="AI47" s="14">
        <f>IF('Données projet'!$A$62&gt;35,AI46+AH47-AQ46,IF(A47&lt;'Données projet'!$A$62,$AF$205^A47,IF(A47='Données projet'!$A$62,'Données projet'!$B$62,AI46+AH47-AQ46)))</f>
        <v>545.62999999999988</v>
      </c>
      <c r="AJ47" s="14">
        <f>AI47*VLOOKUP('Données projet'!$B$10,Paramètres!$A$1:$I$89,3,0)*VLOOKUP('Données projet'!$B$10,Paramètres!$A$1:$I$89,5,0)</f>
        <v>305.00716999999992</v>
      </c>
      <c r="AK47" s="14">
        <f t="shared" si="35"/>
        <v>72.225145248700485</v>
      </c>
      <c r="AL47" s="22">
        <f t="shared" si="4"/>
        <v>657.01294905815314</v>
      </c>
      <c r="AM47" s="62">
        <f t="shared" si="5"/>
        <v>950.34628239148651</v>
      </c>
      <c r="AN47" s="62">
        <f ca="1">AVERAGE(OFFSET($AM$3,0,0,'Données projet'!$E$10+1,1))-AVERAGE(OFFSET($H$3,0,0,'Données projet'!$E$10+1,1))</f>
        <v>405.09126081846171</v>
      </c>
      <c r="AO47" s="62">
        <f t="shared" si="36"/>
        <v>534.22295841722166</v>
      </c>
      <c r="AP47" s="16">
        <f>IF(ISNA(VLOOKUP(A47,'Données projet'!$A$61:$I$81,3,0)),0,VLOOKUP(A47,'Données projet'!$A$61:$I$81,3,0))</f>
        <v>15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19.979033427136798</v>
      </c>
      <c r="AV47" s="23">
        <f>EXP(-LN(2)/25)*AV46+(1-EXP(-LN(2)/25))/(LN(2)/25)*Calculateur!AQ47*Calculateur!AS47*VLOOKUP('Données projet'!$B$10,Paramètres!$A$1:$I$89,3,0)*0.475*44/12</f>
        <v>16.203619076836723</v>
      </c>
      <c r="AW47" s="23">
        <f>EXP(-LN(2)/2)*AW46+(1-EXP(-LN(2)/2))/(LN(2)/2)*AQ47*AT47*VLOOKUP('Données projet'!$B$10,Paramètres!$A$1:$I$89,3,0)*0.475*44/12</f>
        <v>9.2493311073022597E-2</v>
      </c>
      <c r="AX47" s="23">
        <f t="shared" si="6"/>
        <v>36.275145815046542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673.55348958251295</v>
      </c>
      <c r="BI47" s="62">
        <f ca="1">AVERAGE(OFFSET($BH$3,0,0,'Données projet'!$E$11+1,1))-AVERAGE(OFFSET($H$3,0,0,'Données projet'!$E$11+1,1))</f>
        <v>439.06700232017681</v>
      </c>
      <c r="BJ47" s="62">
        <f t="shared" si="38"/>
        <v>278.21741231699929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6.1931976484225757</v>
      </c>
      <c r="BR47" s="23">
        <f>EXP(-LN(2)/2)*BR46+(1-EXP(-LN(2)/2))/(LN(2)/2)*BL47*BO47*VLOOKUP('Données projet'!$B$11,Paramètres!$A$1:$I$89,3,0)*0.475*44/12</f>
        <v>0.11648261441060664</v>
      </c>
      <c r="BS47" s="24">
        <f t="shared" si="9"/>
        <v>6.3096802628331821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186.28272000000001</v>
      </c>
      <c r="CA47" s="14">
        <f t="shared" si="39"/>
        <v>46.717172342223918</v>
      </c>
      <c r="CB47" s="22">
        <f t="shared" si="10"/>
        <v>405.80814582937325</v>
      </c>
      <c r="CC47" s="62">
        <f t="shared" si="11"/>
        <v>699.14147916270656</v>
      </c>
      <c r="CD47" s="62">
        <f ca="1">AVERAGE(OFFSET($CC$3,0,0,'Données projet'!$E$12+1,1))-AVERAGE(OFFSET($H$3,0,0,'Données projet'!$E$12+1,1))</f>
        <v>466.4945858005575</v>
      </c>
      <c r="CE47" s="62">
        <f t="shared" si="40"/>
        <v>294.45557293177131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6.6203147276241321</v>
      </c>
      <c r="CM47" s="23">
        <f>EXP(-LN(2)/2)*CM46+(1-EXP(-LN(2)/2))/(LN(2)/2)*CG47*CJ47*VLOOKUP('Données projet'!$B$12,Paramètres!$A$1:$I$89,3,0)*0.475*44/12</f>
        <v>0.12451589816306227</v>
      </c>
      <c r="CN47" s="24">
        <f t="shared" si="12"/>
        <v>6.7448306257871939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129.19608000000002</v>
      </c>
      <c r="CV47" s="14">
        <f t="shared" si="41"/>
        <v>33.810530012169728</v>
      </c>
      <c r="CW47" s="22">
        <f t="shared" si="13"/>
        <v>283.90317910452893</v>
      </c>
      <c r="CX47" s="62">
        <f t="shared" si="14"/>
        <v>577.2365124378623</v>
      </c>
      <c r="CY47" s="62">
        <f ca="1">AVERAGE(OFFSET($CX$3,0,0,'Données projet'!$E$13+1,1))-AVERAGE(OFFSET($H$3,0,0,'Données projet'!$E$13+1,1))</f>
        <v>335.83558218229564</v>
      </c>
      <c r="CZ47" s="62">
        <f t="shared" si="42"/>
        <v>217.08423061559648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5.6593012994206306</v>
      </c>
      <c r="DH47" s="23">
        <f>EXP(-LN(2)/2)*DH46+(1-EXP(-LN(2)/2))/(LN(2)/2)*DB47*DE47*VLOOKUP('Données projet'!$B$13,Paramètres!$A$1:$I$89,3,0)*0.475*44/12</f>
        <v>8.6357800338898019E-2</v>
      </c>
      <c r="DI47" s="24">
        <f t="shared" si="15"/>
        <v>5.7456590997595285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224</v>
      </c>
      <c r="L48" s="13">
        <f>VLOOKUP(A48,'Données projet'!$A$35:$I$55,9,0)</f>
        <v>9.8000000000000007</v>
      </c>
      <c r="M48" s="13">
        <f t="array" ref="M48">INDEX(L:L,MIN(IF(ISNUMBER(L48:L244),ROW(L48:L244),"")))</f>
        <v>9.8000000000000007</v>
      </c>
      <c r="N48" s="14">
        <f>IF('Données projet'!$A$36&gt;35,N47+M48-V47,IF(A48&lt;'Données projet'!$A$36,$K$205^A48,IF(A48='Données projet'!$A$36,'Données projet'!$B$36,N47+M48-V47)))</f>
        <v>224.00000000000003</v>
      </c>
      <c r="O48" s="14">
        <f>N48*VLOOKUP('Données projet'!$B$9,Paramètres!$A$1:$I$89,3,0)*VLOOKUP('Données projet'!$B$9,Paramètres!$A$1:$I$89,5,0)</f>
        <v>195.68640000000005</v>
      </c>
      <c r="P48" s="14">
        <f t="shared" si="33"/>
        <v>48.794969360985156</v>
      </c>
      <c r="Q48" s="22">
        <f t="shared" si="53"/>
        <v>425.80505163704925</v>
      </c>
      <c r="R48" s="62">
        <f t="shared" si="0"/>
        <v>719.1383849703825</v>
      </c>
      <c r="S48" s="62">
        <f ca="1">AVERAGE(OFFSET($R$3,0,0,'Données projet'!$E$9+1,1))-AVERAGE(OFFSET($H$3,0,0,'Données projet'!$E$9+1,1))</f>
        <v>321.62968871874483</v>
      </c>
      <c r="T48" s="62">
        <f t="shared" si="34"/>
        <v>389.91636841473559</v>
      </c>
      <c r="U48" s="16">
        <f>IF(ISNA(VLOOKUP(A48,'Données projet'!$A$35:$I$55,3,0)),0,VLOOKUP(A48,'Données projet'!$A$35:$I$55,3,0))</f>
        <v>7</v>
      </c>
      <c r="V48" s="16">
        <f>IF(ISNA(VLOOKUP(A48,'Données projet'!$A$35:$I$55,4,0)),0,VLOOKUP(A48,'Données projet'!$A$35:$I$55,4,0))</f>
        <v>36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16.877530897682195</v>
      </c>
      <c r="AB48" s="23">
        <f>EXP(-LN(2)/2)*AB47+(1-EXP(-LN(2)/2))/(LN(2)/2)*V48*Y48*VLOOKUP('Données projet'!$B$9,Paramètres!$A$1:$I$89,3,0)*0.475*44/12</f>
        <v>0.10090915417065331</v>
      </c>
      <c r="AC48" s="24">
        <f t="shared" si="3"/>
        <v>16.97844005185285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27.08499999999998</v>
      </c>
      <c r="AI48" s="14">
        <f>IF('Données projet'!$A$62&gt;35,AI47+AH48-AQ47,IF(A48&lt;'Données projet'!$A$62,$AF$205^A48,IF(A48='Données projet'!$A$62,'Données projet'!$B$62,AI47+AH48-AQ47)))</f>
        <v>572.71499999999992</v>
      </c>
      <c r="AJ48" s="14">
        <f>AI48*VLOOKUP('Données projet'!$B$10,Paramètres!$A$1:$I$89,3,0)*VLOOKUP('Données projet'!$B$10,Paramètres!$A$1:$I$89,5,0)</f>
        <v>320.14768499999997</v>
      </c>
      <c r="AK48" s="14">
        <f t="shared" si="35"/>
        <v>75.384081573989107</v>
      </c>
      <c r="AL48" s="22">
        <f t="shared" si="4"/>
        <v>688.88449344969774</v>
      </c>
      <c r="AM48" s="62">
        <f t="shared" si="5"/>
        <v>982.21782678303111</v>
      </c>
      <c r="AN48" s="62">
        <f ca="1">AVERAGE(OFFSET($AM$3,0,0,'Données projet'!$E$10+1,1))-AVERAGE(OFFSET($H$3,0,0,'Données projet'!$E$10+1,1))</f>
        <v>405.09126081846171</v>
      </c>
      <c r="AO48" s="62">
        <f t="shared" si="36"/>
        <v>534.22295841722166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19.587256767637768</v>
      </c>
      <c r="AV48" s="23">
        <f>EXP(-LN(2)/25)*AV47+(1-EXP(-LN(2)/25))/(LN(2)/25)*Calculateur!AQ48*Calculateur!AS48*VLOOKUP('Données projet'!$B$10,Paramètres!$A$1:$I$89,3,0)*0.475*44/12</f>
        <v>15.760530261069329</v>
      </c>
      <c r="AW48" s="23">
        <f>EXP(-LN(2)/2)*AW47+(1-EXP(-LN(2)/2))/(LN(2)/2)*AQ48*AT48*VLOOKUP('Données projet'!$B$10,Paramètres!$A$1:$I$89,3,0)*0.475*44/12</f>
        <v>6.5402647474131062E-2</v>
      </c>
      <c r="AX48" s="23">
        <f t="shared" si="6"/>
        <v>35.413189676181226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695.51670006966549</v>
      </c>
      <c r="BI48" s="62">
        <f ca="1">AVERAGE(OFFSET($BH$3,0,0,'Données projet'!$E$11+1,1))-AVERAGE(OFFSET($H$3,0,0,'Données projet'!$E$11+1,1))</f>
        <v>439.06700232017681</v>
      </c>
      <c r="BJ48" s="62">
        <f t="shared" si="38"/>
        <v>278.21741231699929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6.0238443330403504</v>
      </c>
      <c r="BR48" s="23">
        <f>EXP(-LN(2)/2)*BR47+(1-EXP(-LN(2)/2))/(LN(2)/2)*BL48*BO48*VLOOKUP('Données projet'!$B$11,Paramètres!$A$1:$I$89,3,0)*0.475*44/12</f>
        <v>8.236564654007783E-2</v>
      </c>
      <c r="BS48" s="24">
        <f t="shared" si="9"/>
        <v>6.1062099795804281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197.30880000000005</v>
      </c>
      <c r="CA48" s="14">
        <f t="shared" si="39"/>
        <v>49.152257900676076</v>
      </c>
      <c r="CB48" s="22">
        <f t="shared" si="10"/>
        <v>429.25300917701088</v>
      </c>
      <c r="CC48" s="62">
        <f t="shared" si="11"/>
        <v>722.58634251034414</v>
      </c>
      <c r="CD48" s="62">
        <f ca="1">AVERAGE(OFFSET($CC$3,0,0,'Données projet'!$E$12+1,1))-AVERAGE(OFFSET($H$3,0,0,'Données projet'!$E$12+1,1))</f>
        <v>466.4945858005575</v>
      </c>
      <c r="CE48" s="62">
        <f t="shared" si="40"/>
        <v>294.45557293177131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6.4392818732500299</v>
      </c>
      <c r="CM48" s="23">
        <f>EXP(-LN(2)/2)*CM47+(1-EXP(-LN(2)/2))/(LN(2)/2)*CG48*CJ48*VLOOKUP('Données projet'!$B$12,Paramètres!$A$1:$I$89,3,0)*0.475*44/12</f>
        <v>8.8046035956634919E-2</v>
      </c>
      <c r="CN48" s="24">
        <f t="shared" si="12"/>
        <v>6.5273279092066652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136.84320000000002</v>
      </c>
      <c r="CV48" s="14">
        <f t="shared" si="41"/>
        <v>35.572869837729648</v>
      </c>
      <c r="CW48" s="22">
        <f t="shared" si="13"/>
        <v>300.2913216340458</v>
      </c>
      <c r="CX48" s="62">
        <f t="shared" si="14"/>
        <v>593.62465496737912</v>
      </c>
      <c r="CY48" s="62">
        <f ca="1">AVERAGE(OFFSET($CX$3,0,0,'Données projet'!$E$13+1,1))-AVERAGE(OFFSET($H$3,0,0,'Données projet'!$E$13+1,1))</f>
        <v>335.83558218229564</v>
      </c>
      <c r="CZ48" s="62">
        <f t="shared" si="42"/>
        <v>217.08423061559648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5.5045474077782526</v>
      </c>
      <c r="DH48" s="23">
        <f>EXP(-LN(2)/2)*DH47+(1-EXP(-LN(2)/2))/(LN(2)/2)*DB48*DE48*VLOOKUP('Données projet'!$B$13,Paramètres!$A$1:$I$89,3,0)*0.475*44/12</f>
        <v>6.1064186227988725E-2</v>
      </c>
      <c r="DI48" s="24">
        <f t="shared" si="15"/>
        <v>5.5656115940062412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8.6</v>
      </c>
      <c r="N49" s="14">
        <f>IF('Données projet'!$A$36&gt;35,N48+M49-V48,IF(A49&lt;'Données projet'!$A$36,$K$205^A49,IF(A49='Données projet'!$A$36,'Données projet'!$B$36,N48+M49-V48)))</f>
        <v>196.60000000000002</v>
      </c>
      <c r="O49" s="14">
        <f>N49*VLOOKUP('Données projet'!$B$9,Paramètres!$A$1:$I$89,3,0)*VLOOKUP('Données projet'!$B$9,Paramètres!$A$1:$I$89,5,0)</f>
        <v>171.74976000000004</v>
      </c>
      <c r="P49" s="14">
        <f t="shared" si="33"/>
        <v>43.481677757882629</v>
      </c>
      <c r="Q49" s="22">
        <f t="shared" si="53"/>
        <v>374.8614207616456</v>
      </c>
      <c r="R49" s="62">
        <f t="shared" si="0"/>
        <v>668.19475409497886</v>
      </c>
      <c r="S49" s="62">
        <f ca="1">AVERAGE(OFFSET($R$3,0,0,'Données projet'!$E$9+1,1))-AVERAGE(OFFSET($H$3,0,0,'Données projet'!$E$9+1,1))</f>
        <v>321.62968871874483</v>
      </c>
      <c r="T49" s="62">
        <f t="shared" si="34"/>
        <v>389.91636841473559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16.416013927734301</v>
      </c>
      <c r="AB49" s="23">
        <f>EXP(-LN(2)/2)*AB48+(1-EXP(-LN(2)/2))/(LN(2)/2)*V49*Y49*VLOOKUP('Données projet'!$B$9,Paramètres!$A$1:$I$89,3,0)*0.475*44/12</f>
        <v>7.1353547197867739E-2</v>
      </c>
      <c r="AC49" s="24">
        <f t="shared" si="3"/>
        <v>16.487367474932171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>
        <f>VLOOKUP(A49,'Données projet'!$A$61:$I$81,2,0)</f>
        <v>599.79999999999995</v>
      </c>
      <c r="AG49" s="13">
        <f>VLOOKUP(A49,'Données projet'!$A$61:$I$81,9,0)</f>
        <v>27.08499999999998</v>
      </c>
      <c r="AH49" s="13">
        <f t="array" ref="AH49">INDEX(AG:AG,MIN(IF(ISNUMBER(AG49:AG245),ROW(AG49:AG245),"")))</f>
        <v>27.08499999999998</v>
      </c>
      <c r="AI49" s="14">
        <f>IF('Données projet'!$A$62&gt;35,AI48+AH49-AQ48,IF(A49&lt;'Données projet'!$A$62,$AF$205^A49,IF(A49='Données projet'!$A$62,'Données projet'!$B$62,AI48+AH49-AQ48)))</f>
        <v>599.79999999999995</v>
      </c>
      <c r="AJ49" s="14">
        <f>AI49*VLOOKUP('Données projet'!$B$10,Paramètres!$A$1:$I$89,3,0)*VLOOKUP('Données projet'!$B$10,Paramètres!$A$1:$I$89,5,0)</f>
        <v>335.28820000000002</v>
      </c>
      <c r="AK49" s="14">
        <f t="shared" si="35"/>
        <v>78.525669464786546</v>
      </c>
      <c r="AL49" s="22">
        <f t="shared" si="4"/>
        <v>720.72582265116989</v>
      </c>
      <c r="AM49" s="62">
        <f t="shared" si="5"/>
        <v>1014.0591559845031</v>
      </c>
      <c r="AN49" s="62">
        <f ca="1">AVERAGE(OFFSET($AM$3,0,0,'Données projet'!$E$10+1,1))-AVERAGE(OFFSET($H$3,0,0,'Données projet'!$E$10+1,1))</f>
        <v>405.09126081846171</v>
      </c>
      <c r="AO49" s="62">
        <f t="shared" si="36"/>
        <v>534.22295841722166</v>
      </c>
      <c r="AP49" s="16">
        <f>IF(ISNA(VLOOKUP(A49,'Données projet'!$A$61:$I$81,3,0)),0,VLOOKUP(A49,'Données projet'!$A$61:$I$81,3,0))</f>
        <v>16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19.203162609471349</v>
      </c>
      <c r="AV49" s="23">
        <f>EXP(-LN(2)/25)*AV48+(1-EXP(-LN(2)/25))/(LN(2)/25)*Calculateur!AQ49*Calculateur!AS49*VLOOKUP('Données projet'!$B$10,Paramètres!$A$1:$I$89,3,0)*0.475*44/12</f>
        <v>15.329557732270123</v>
      </c>
      <c r="AW49" s="23">
        <f>EXP(-LN(2)/2)*AW48+(1-EXP(-LN(2)/2))/(LN(2)/2)*AQ49*AT49*VLOOKUP('Données projet'!$B$10,Paramètres!$A$1:$I$89,3,0)*0.475*44/12</f>
        <v>4.6246655536511298E-2</v>
      </c>
      <c r="AX49" s="23">
        <f t="shared" si="6"/>
        <v>34.578966997277988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662.75452844747883</v>
      </c>
      <c r="BI49" s="62">
        <f ca="1">AVERAGE(OFFSET($BH$3,0,0,'Données projet'!$E$11+1,1))-AVERAGE(OFFSET($H$3,0,0,'Données projet'!$E$11+1,1))</f>
        <v>439.06700232017681</v>
      </c>
      <c r="BJ49" s="62">
        <f t="shared" si="38"/>
        <v>278.21741231699929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5.8591219929731562</v>
      </c>
      <c r="BR49" s="23">
        <f>EXP(-LN(2)/2)*BR48+(1-EXP(-LN(2)/2))/(LN(2)/2)*BL49*BO49*VLOOKUP('Données projet'!$B$11,Paramètres!$A$1:$I$89,3,0)*0.475*44/12</f>
        <v>5.8241307205303336E-2</v>
      </c>
      <c r="BS49" s="24">
        <f t="shared" si="9"/>
        <v>5.9173633001784598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180.86640000000003</v>
      </c>
      <c r="CA49" s="14">
        <f t="shared" si="39"/>
        <v>45.514890302102152</v>
      </c>
      <c r="CB49" s="22">
        <f t="shared" si="10"/>
        <v>394.28074727616126</v>
      </c>
      <c r="CC49" s="62">
        <f t="shared" si="11"/>
        <v>687.61408060949452</v>
      </c>
      <c r="CD49" s="62">
        <f ca="1">AVERAGE(OFFSET($CC$3,0,0,'Données projet'!$E$12+1,1))-AVERAGE(OFFSET($H$3,0,0,'Données projet'!$E$12+1,1))</f>
        <v>466.4945858005575</v>
      </c>
      <c r="CE49" s="62">
        <f t="shared" si="40"/>
        <v>294.45557293177131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6.2631993717988914</v>
      </c>
      <c r="CM49" s="23">
        <f>EXP(-LN(2)/2)*CM48+(1-EXP(-LN(2)/2))/(LN(2)/2)*CG49*CJ49*VLOOKUP('Données projet'!$B$12,Paramètres!$A$1:$I$89,3,0)*0.475*44/12</f>
        <v>6.225794908153115E-2</v>
      </c>
      <c r="CN49" s="24">
        <f t="shared" si="12"/>
        <v>6.3254573208804228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125.43960000000003</v>
      </c>
      <c r="CV49" s="14">
        <f t="shared" si="41"/>
        <v>32.940404724987246</v>
      </c>
      <c r="CW49" s="22">
        <f t="shared" si="13"/>
        <v>275.8451748960195</v>
      </c>
      <c r="CX49" s="62">
        <f t="shared" si="14"/>
        <v>569.17850822935281</v>
      </c>
      <c r="CY49" s="62">
        <f ca="1">AVERAGE(OFFSET($CX$3,0,0,'Données projet'!$E$13+1,1))-AVERAGE(OFFSET($H$3,0,0,'Données projet'!$E$13+1,1))</f>
        <v>335.83558218229564</v>
      </c>
      <c r="CZ49" s="62">
        <f t="shared" si="42"/>
        <v>217.08423061559648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5.3540252694409887</v>
      </c>
      <c r="DH49" s="23">
        <f>EXP(-LN(2)/2)*DH48+(1-EXP(-LN(2)/2))/(LN(2)/2)*DB49*DE49*VLOOKUP('Données projet'!$B$13,Paramètres!$A$1:$I$89,3,0)*0.475*44/12</f>
        <v>4.3178900169449017E-2</v>
      </c>
      <c r="DI49" s="24">
        <f t="shared" si="15"/>
        <v>5.397204169610438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8.6</v>
      </c>
      <c r="N50" s="14">
        <f>IF('Données projet'!$A$36&gt;35,N49+M50-V49,IF(A50&lt;'Données projet'!$A$36,$K$205^A50,IF(A50='Données projet'!$A$36,'Données projet'!$B$36,N49+M50-V49)))</f>
        <v>205.20000000000002</v>
      </c>
      <c r="O50" s="14">
        <f>N50*VLOOKUP('Données projet'!$B$9,Paramètres!$A$1:$I$89,3,0)*VLOOKUP('Données projet'!$B$9,Paramètres!$A$1:$I$89,5,0)</f>
        <v>179.26272000000003</v>
      </c>
      <c r="P50" s="14">
        <f t="shared" si="33"/>
        <v>45.158115787467153</v>
      </c>
      <c r="Q50" s="22">
        <f t="shared" si="53"/>
        <v>390.86628899650532</v>
      </c>
      <c r="R50" s="62">
        <f t="shared" si="0"/>
        <v>684.19962232983858</v>
      </c>
      <c r="S50" s="62">
        <f ca="1">AVERAGE(OFFSET($R$3,0,0,'Données projet'!$E$9+1,1))-AVERAGE(OFFSET($H$3,0,0,'Données projet'!$E$9+1,1))</f>
        <v>321.62968871874483</v>
      </c>
      <c r="T50" s="62">
        <f t="shared" si="34"/>
        <v>389.91636841473559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15.967117163599754</v>
      </c>
      <c r="AB50" s="23">
        <f>EXP(-LN(2)/2)*AB49+(1-EXP(-LN(2)/2))/(LN(2)/2)*V50*Y50*VLOOKUP('Données projet'!$B$9,Paramètres!$A$1:$I$89,3,0)*0.475*44/12</f>
        <v>5.0454577085326656E-2</v>
      </c>
      <c r="AC50" s="24">
        <f t="shared" si="3"/>
        <v>16.017571740685081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27.625</v>
      </c>
      <c r="AI50" s="14">
        <f>IF('Données projet'!$A$62&gt;35,AI49+AH50-AQ49,IF(A50&lt;'Données projet'!$A$62,$AF$205^A50,IF(A50='Données projet'!$A$62,'Données projet'!$B$62,AI49+AH50-AQ49)))</f>
        <v>627.42499999999995</v>
      </c>
      <c r="AJ50" s="14">
        <f>AI50*VLOOKUP('Données projet'!$B$10,Paramètres!$A$1:$I$89,3,0)*VLOOKUP('Données projet'!$B$10,Paramètres!$A$1:$I$89,5,0)</f>
        <v>350.73057499999993</v>
      </c>
      <c r="AK50" s="14">
        <f t="shared" si="35"/>
        <v>81.712925956903931</v>
      </c>
      <c r="AL50" s="22">
        <f t="shared" si="4"/>
        <v>753.17243083327423</v>
      </c>
      <c r="AM50" s="62">
        <f t="shared" si="5"/>
        <v>1046.5057641666076</v>
      </c>
      <c r="AN50" s="62">
        <f ca="1">AVERAGE(OFFSET($AM$3,0,0,'Données projet'!$E$10+1,1))-AVERAGE(OFFSET($H$3,0,0,'Données projet'!$E$10+1,1))</f>
        <v>405.09126081846171</v>
      </c>
      <c r="AO50" s="62">
        <f t="shared" si="36"/>
        <v>534.22295841722166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18.826600303472269</v>
      </c>
      <c r="AV50" s="23">
        <f>EXP(-LN(2)/25)*AV49+(1-EXP(-LN(2)/25))/(LN(2)/25)*Calculateur!AQ50*Calculateur!AS50*VLOOKUP('Données projet'!$B$10,Paramètres!$A$1:$I$89,3,0)*0.475*44/12</f>
        <v>14.910370169934792</v>
      </c>
      <c r="AW50" s="23">
        <f>EXP(-LN(2)/2)*AW49+(1-EXP(-LN(2)/2))/(LN(2)/2)*AQ50*AT50*VLOOKUP('Données projet'!$B$10,Paramètres!$A$1:$I$89,3,0)*0.475*44/12</f>
        <v>3.2701323737065531E-2</v>
      </c>
      <c r="AX50" s="23">
        <f t="shared" si="6"/>
        <v>33.769671797144127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683.96045320765325</v>
      </c>
      <c r="BI50" s="62">
        <f ca="1">AVERAGE(OFFSET($BH$3,0,0,'Données projet'!$E$11+1,1))-AVERAGE(OFFSET($H$3,0,0,'Données projet'!$E$11+1,1))</f>
        <v>439.06700232017681</v>
      </c>
      <c r="BJ50" s="62">
        <f t="shared" si="38"/>
        <v>278.21741231699929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5.6989039939574706</v>
      </c>
      <c r="BR50" s="23">
        <f>EXP(-LN(2)/2)*BR49+(1-EXP(-LN(2)/2))/(LN(2)/2)*BL50*BO50*VLOOKUP('Données projet'!$B$11,Paramètres!$A$1:$I$89,3,0)*0.475*44/12</f>
        <v>4.1182823270038922E-2</v>
      </c>
      <c r="BS50" s="24">
        <f t="shared" si="9"/>
        <v>5.7400868172275095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191.50560000000004</v>
      </c>
      <c r="CA50" s="14">
        <f t="shared" si="39"/>
        <v>47.872666570685276</v>
      </c>
      <c r="CB50" s="22">
        <f t="shared" si="10"/>
        <v>416.91714761061024</v>
      </c>
      <c r="CC50" s="62">
        <f t="shared" si="11"/>
        <v>710.25048094394356</v>
      </c>
      <c r="CD50" s="62">
        <f ca="1">AVERAGE(OFFSET($CC$3,0,0,'Données projet'!$E$12+1,1))-AVERAGE(OFFSET($H$3,0,0,'Données projet'!$E$12+1,1))</f>
        <v>466.4945858005575</v>
      </c>
      <c r="CE50" s="62">
        <f t="shared" si="40"/>
        <v>294.45557293177131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6.0919318556097108</v>
      </c>
      <c r="CM50" s="23">
        <f>EXP(-LN(2)/2)*CM49+(1-EXP(-LN(2)/2))/(LN(2)/2)*CG50*CJ50*VLOOKUP('Données projet'!$B$12,Paramètres!$A$1:$I$89,3,0)*0.475*44/12</f>
        <v>4.4023017978317466E-2</v>
      </c>
      <c r="CN50" s="24">
        <f t="shared" si="12"/>
        <v>6.1359548735880285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132.81840000000003</v>
      </c>
      <c r="CV50" s="14">
        <f t="shared" si="41"/>
        <v>34.646793645681022</v>
      </c>
      <c r="CW50" s="22">
        <f t="shared" si="13"/>
        <v>291.66854559956113</v>
      </c>
      <c r="CX50" s="62">
        <f t="shared" si="14"/>
        <v>585.00187893289444</v>
      </c>
      <c r="CY50" s="62">
        <f ca="1">AVERAGE(OFFSET($CX$3,0,0,'Données projet'!$E$13+1,1))-AVERAGE(OFFSET($H$3,0,0,'Données projet'!$E$13+1,1))</f>
        <v>335.83558218229564</v>
      </c>
      <c r="CZ50" s="62">
        <f t="shared" si="42"/>
        <v>217.08423061559648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5.2076191668921723</v>
      </c>
      <c r="DH50" s="23">
        <f>EXP(-LN(2)/2)*DH49+(1-EXP(-LN(2)/2))/(LN(2)/2)*DB50*DE50*VLOOKUP('Données projet'!$B$13,Paramètres!$A$1:$I$89,3,0)*0.475*44/12</f>
        <v>3.0532093113994369E-2</v>
      </c>
      <c r="DI50" s="24">
        <f t="shared" si="15"/>
        <v>5.238151260006167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8.6</v>
      </c>
      <c r="N51" s="14">
        <f>IF('Données projet'!$A$36&gt;35,N50+M51-V50,IF(A51&lt;'Données projet'!$A$36,$K$205^A51,IF(A51='Données projet'!$A$36,'Données projet'!$B$36,N50+M51-V50)))</f>
        <v>213.8</v>
      </c>
      <c r="O51" s="14">
        <f>N51*VLOOKUP('Données projet'!$B$9,Paramètres!$A$1:$I$89,3,0)*VLOOKUP('Données projet'!$B$9,Paramètres!$A$1:$I$89,5,0)</f>
        <v>186.77568000000005</v>
      </c>
      <c r="P51" s="14">
        <f t="shared" si="33"/>
        <v>46.826392937381165</v>
      </c>
      <c r="Q51" s="22">
        <f t="shared" si="53"/>
        <v>406.85694369927228</v>
      </c>
      <c r="R51" s="62">
        <f t="shared" si="0"/>
        <v>700.19027703260554</v>
      </c>
      <c r="S51" s="62">
        <f ca="1">AVERAGE(OFFSET($R$3,0,0,'Données projet'!$E$9+1,1))-AVERAGE(OFFSET($H$3,0,0,'Données projet'!$E$9+1,1))</f>
        <v>321.62968871874483</v>
      </c>
      <c r="T51" s="62">
        <f t="shared" si="34"/>
        <v>389.91636841473559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15.53049550508692</v>
      </c>
      <c r="AB51" s="23">
        <f>EXP(-LN(2)/2)*AB50+(1-EXP(-LN(2)/2))/(LN(2)/2)*V51*Y51*VLOOKUP('Données projet'!$B$9,Paramètres!$A$1:$I$89,3,0)*0.475*44/12</f>
        <v>3.567677359893387E-2</v>
      </c>
      <c r="AC51" s="24">
        <f t="shared" si="3"/>
        <v>15.566172278685855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>
        <f>VLOOKUP(A51,'Données projet'!$A$61:$I$81,2,0)</f>
        <v>655.04999999999995</v>
      </c>
      <c r="AG51" s="13">
        <f>VLOOKUP(A51,'Données projet'!$A$61:$I$81,9,0)</f>
        <v>27.625</v>
      </c>
      <c r="AH51" s="13">
        <f t="array" ref="AH51">INDEX(AG:AG,MIN(IF(ISNUMBER(AG51:AG247),ROW(AG51:AG247),"")))</f>
        <v>27.625</v>
      </c>
      <c r="AI51" s="14">
        <f>IF('Données projet'!$A$62&gt;35,AI50+AH51-AQ50,IF(A51&lt;'Données projet'!$A$62,$AF$205^A51,IF(A51='Données projet'!$A$62,'Données projet'!$B$62,AI50+AH51-AQ50)))</f>
        <v>655.04999999999995</v>
      </c>
      <c r="AJ51" s="14">
        <f>AI51*VLOOKUP('Données projet'!$B$10,Paramètres!$A$1:$I$89,3,0)*VLOOKUP('Données projet'!$B$10,Paramètres!$A$1:$I$89,5,0)</f>
        <v>366.17295000000001</v>
      </c>
      <c r="AK51" s="14">
        <f t="shared" si="35"/>
        <v>84.883884000754321</v>
      </c>
      <c r="AL51" s="22">
        <f t="shared" si="4"/>
        <v>785.59065255131372</v>
      </c>
      <c r="AM51" s="62">
        <f t="shared" si="5"/>
        <v>1078.923985884647</v>
      </c>
      <c r="AN51" s="62">
        <f ca="1">AVERAGE(OFFSET($AM$3,0,0,'Données projet'!$E$10+1,1))-AVERAGE(OFFSET($H$3,0,0,'Données projet'!$E$10+1,1))</f>
        <v>405.09126081846171</v>
      </c>
      <c r="AO51" s="62">
        <f t="shared" si="36"/>
        <v>534.22295841722166</v>
      </c>
      <c r="AP51" s="16">
        <f>IF(ISNA(VLOOKUP(A51,'Données projet'!$A$61:$I$81,3,0)),0,VLOOKUP(A51,'Données projet'!$A$61:$I$81,3,0))</f>
        <v>17</v>
      </c>
      <c r="AQ51" s="16">
        <f>IF(ISNA(VLOOKUP(A51,'Données projet'!$A$61:$I$81,4,0)),0,VLOOKUP(A51,'Données projet'!$A$61:$I$81,4,0))</f>
        <v>101.34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18.4574221546135</v>
      </c>
      <c r="AV51" s="23">
        <f>EXP(-LN(2)/25)*AV50+(1-EXP(-LN(2)/25))/(LN(2)/25)*Calculateur!AQ51*Calculateur!AS51*VLOOKUP('Données projet'!$B$10,Paramètres!$A$1:$I$89,3,0)*0.475*44/12</f>
        <v>14.502645313535636</v>
      </c>
      <c r="AW51" s="23">
        <f>EXP(-LN(2)/2)*AW50+(1-EXP(-LN(2)/2))/(LN(2)/2)*AQ51*AT51*VLOOKUP('Données projet'!$B$10,Paramètres!$A$1:$I$89,3,0)*0.475*44/12</f>
        <v>2.3123327768255649E-2</v>
      </c>
      <c r="AX51" s="23">
        <f t="shared" si="6"/>
        <v>32.983190795917388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705.14140971202096</v>
      </c>
      <c r="BI51" s="62">
        <f ca="1">AVERAGE(OFFSET($BH$3,0,0,'Données projet'!$E$11+1,1))-AVERAGE(OFFSET($H$3,0,0,'Données projet'!$E$11+1,1))</f>
        <v>439.06700232017681</v>
      </c>
      <c r="BJ51" s="62">
        <f t="shared" si="38"/>
        <v>278.21741231699929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5.5430671645503677</v>
      </c>
      <c r="BR51" s="23">
        <f>EXP(-LN(2)/2)*BR50+(1-EXP(-LN(2)/2))/(LN(2)/2)*BL51*BO51*VLOOKUP('Données projet'!$B$11,Paramètres!$A$1:$I$89,3,0)*0.475*44/12</f>
        <v>2.9120653602651671E-2</v>
      </c>
      <c r="BS51" s="24">
        <f t="shared" si="9"/>
        <v>5.5721878181530196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202.14480000000003</v>
      </c>
      <c r="CA51" s="14">
        <f t="shared" si="39"/>
        <v>50.215236821738628</v>
      </c>
      <c r="CB51" s="22">
        <f t="shared" si="10"/>
        <v>439.52706413119489</v>
      </c>
      <c r="CC51" s="62">
        <f t="shared" si="11"/>
        <v>732.86039746452821</v>
      </c>
      <c r="CD51" s="62">
        <f ca="1">AVERAGE(OFFSET($CC$3,0,0,'Données projet'!$E$12+1,1))-AVERAGE(OFFSET($H$3,0,0,'Données projet'!$E$12+1,1))</f>
        <v>466.4945858005575</v>
      </c>
      <c r="CE51" s="62">
        <f t="shared" si="40"/>
        <v>294.45557293177131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5.92534765865729</v>
      </c>
      <c r="CM51" s="23">
        <f>EXP(-LN(2)/2)*CM50+(1-EXP(-LN(2)/2))/(LN(2)/2)*CG51*CJ51*VLOOKUP('Données projet'!$B$12,Paramètres!$A$1:$I$89,3,0)*0.475*44/12</f>
        <v>3.1128974540765578E-2</v>
      </c>
      <c r="CN51" s="24">
        <f t="shared" si="12"/>
        <v>5.9564766331980552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140.19720000000001</v>
      </c>
      <c r="CV51" s="14">
        <f t="shared" si="41"/>
        <v>36.342177544317998</v>
      </c>
      <c r="CW51" s="22">
        <f t="shared" si="13"/>
        <v>307.47274922302051</v>
      </c>
      <c r="CX51" s="62">
        <f t="shared" si="14"/>
        <v>600.80608255635389</v>
      </c>
      <c r="CY51" s="62">
        <f ca="1">AVERAGE(OFFSET($CX$3,0,0,'Données projet'!$E$13+1,1))-AVERAGE(OFFSET($H$3,0,0,'Données projet'!$E$13+1,1))</f>
        <v>335.83558218229564</v>
      </c>
      <c r="CZ51" s="62">
        <f t="shared" si="42"/>
        <v>217.08423061559648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5.0652165469167159</v>
      </c>
      <c r="DH51" s="23">
        <f>EXP(-LN(2)/2)*DH50+(1-EXP(-LN(2)/2))/(LN(2)/2)*DB51*DE51*VLOOKUP('Données projet'!$B$13,Paramètres!$A$1:$I$89,3,0)*0.475*44/12</f>
        <v>2.1589450084724512E-2</v>
      </c>
      <c r="DI51" s="24">
        <f t="shared" si="15"/>
        <v>5.0868059970014405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8.6</v>
      </c>
      <c r="N52" s="14">
        <f>IF('Données projet'!$A$36&gt;35,N51+M52-V51,IF(A52&lt;'Données projet'!$A$36,$K$205^A52,IF(A52='Données projet'!$A$36,'Données projet'!$B$36,N51+M52-V51)))</f>
        <v>222.4</v>
      </c>
      <c r="O52" s="14">
        <f>N52*VLOOKUP('Données projet'!$B$9,Paramètres!$A$1:$I$89,3,0)*VLOOKUP('Données projet'!$B$9,Paramètres!$A$1:$I$89,5,0)</f>
        <v>194.28864000000002</v>
      </c>
      <c r="P52" s="14">
        <f t="shared" si="33"/>
        <v>48.486875029770822</v>
      </c>
      <c r="Q52" s="22">
        <f t="shared" si="53"/>
        <v>422.83402201018413</v>
      </c>
      <c r="R52" s="62">
        <f t="shared" si="0"/>
        <v>716.16735534351744</v>
      </c>
      <c r="S52" s="62">
        <f ca="1">AVERAGE(OFFSET($R$3,0,0,'Données projet'!$E$9+1,1))-AVERAGE(OFFSET($H$3,0,0,'Données projet'!$E$9+1,1))</f>
        <v>321.62968871874483</v>
      </c>
      <c r="T52" s="62">
        <f t="shared" si="34"/>
        <v>389.91636841473559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15.105813288787054</v>
      </c>
      <c r="AB52" s="23">
        <f>EXP(-LN(2)/2)*AB51+(1-EXP(-LN(2)/2))/(LN(2)/2)*V52*Y52*VLOOKUP('Données projet'!$B$9,Paramètres!$A$1:$I$89,3,0)*0.475*44/12</f>
        <v>2.5227288542663328E-2</v>
      </c>
      <c r="AC52" s="24">
        <f t="shared" si="3"/>
        <v>15.131040577329717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25.205000000000041</v>
      </c>
      <c r="AI52" s="14">
        <f>IF('Données projet'!$A$62&gt;35,AI51+AH52-AQ51,IF(A52&lt;'Données projet'!$A$62,$AF$205^A52,IF(A52='Données projet'!$A$62,'Données projet'!$B$62,AI51+AH52-AQ51)))</f>
        <v>578.91499999999996</v>
      </c>
      <c r="AJ52" s="14">
        <f>AI52*VLOOKUP('Données projet'!$B$10,Paramètres!$A$1:$I$89,3,0)*VLOOKUP('Données projet'!$B$10,Paramètres!$A$1:$I$89,5,0)</f>
        <v>323.61348500000003</v>
      </c>
      <c r="AK52" s="14">
        <f t="shared" si="35"/>
        <v>76.10471743389418</v>
      </c>
      <c r="AL52" s="22">
        <f t="shared" si="4"/>
        <v>696.17586923903229</v>
      </c>
      <c r="AM52" s="62">
        <f t="shared" si="5"/>
        <v>989.50920257236567</v>
      </c>
      <c r="AN52" s="62">
        <f ca="1">AVERAGE(OFFSET($AM$3,0,0,'Données projet'!$E$10+1,1))-AVERAGE(OFFSET($H$3,0,0,'Données projet'!$E$10+1,1))</f>
        <v>405.09126081846171</v>
      </c>
      <c r="AO52" s="62">
        <f t="shared" si="36"/>
        <v>534.22295841722166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18.095483364077417</v>
      </c>
      <c r="AV52" s="23">
        <f>EXP(-LN(2)/25)*AV51+(1-EXP(-LN(2)/25))/(LN(2)/25)*Calculateur!AQ52*Calculateur!AS52*VLOOKUP('Données projet'!$B$10,Paramètres!$A$1:$I$89,3,0)*0.475*44/12</f>
        <v>14.106069714776034</v>
      </c>
      <c r="AW52" s="23">
        <f>EXP(-LN(2)/2)*AW51+(1-EXP(-LN(2)/2))/(LN(2)/2)*AQ52*AT52*VLOOKUP('Données projet'!$B$10,Paramètres!$A$1:$I$89,3,0)*0.475*44/12</f>
        <v>1.6350661868532766E-2</v>
      </c>
      <c r="AX52" s="23">
        <f t="shared" si="6"/>
        <v>32.217903740721987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726.29886194422556</v>
      </c>
      <c r="BI52" s="62">
        <f ca="1">AVERAGE(OFFSET($BH$3,0,0,'Données projet'!$E$11+1,1))-AVERAGE(OFFSET($H$3,0,0,'Données projet'!$E$11+1,1))</f>
        <v>439.06700232017681</v>
      </c>
      <c r="BJ52" s="62">
        <f t="shared" si="38"/>
        <v>278.21741231699929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5.3914917014385049</v>
      </c>
      <c r="BR52" s="23">
        <f>EXP(-LN(2)/2)*BR51+(1-EXP(-LN(2)/2))/(LN(2)/2)*BL52*BO52*VLOOKUP('Données projet'!$B$11,Paramètres!$A$1:$I$89,3,0)*0.475*44/12</f>
        <v>2.0591411635019465E-2</v>
      </c>
      <c r="BS52" s="24">
        <f t="shared" si="9"/>
        <v>5.4120831130735247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212.78400000000002</v>
      </c>
      <c r="CA52" s="14">
        <f t="shared" si="39"/>
        <v>52.543492641808065</v>
      </c>
      <c r="CB52" s="22">
        <f t="shared" si="10"/>
        <v>462.11204968448237</v>
      </c>
      <c r="CC52" s="62">
        <f t="shared" si="11"/>
        <v>755.44538301781563</v>
      </c>
      <c r="CD52" s="62">
        <f ca="1">AVERAGE(OFFSET($CC$3,0,0,'Données projet'!$E$12+1,1))-AVERAGE(OFFSET($H$3,0,0,'Données projet'!$E$12+1,1))</f>
        <v>466.4945858005575</v>
      </c>
      <c r="CE52" s="62">
        <f t="shared" si="40"/>
        <v>294.45557293177131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5.7633187153308159</v>
      </c>
      <c r="CM52" s="23">
        <f>EXP(-LN(2)/2)*CM51+(1-EXP(-LN(2)/2))/(LN(2)/2)*CG52*CJ52*VLOOKUP('Données projet'!$B$12,Paramètres!$A$1:$I$89,3,0)*0.475*44/12</f>
        <v>2.2011508989158737E-2</v>
      </c>
      <c r="CN52" s="24">
        <f t="shared" si="12"/>
        <v>5.7853302243199742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147.57600000000002</v>
      </c>
      <c r="CV52" s="14">
        <f t="shared" si="41"/>
        <v>38.027201687128077</v>
      </c>
      <c r="CW52" s="22">
        <f t="shared" si="13"/>
        <v>323.25890960508139</v>
      </c>
      <c r="CX52" s="62">
        <f t="shared" si="14"/>
        <v>616.59224293841476</v>
      </c>
      <c r="CY52" s="62">
        <f ca="1">AVERAGE(OFFSET($CX$3,0,0,'Données projet'!$E$13+1,1))-AVERAGE(OFFSET($H$3,0,0,'Données projet'!$E$13+1,1))</f>
        <v>335.83558218229564</v>
      </c>
      <c r="CZ52" s="62">
        <f t="shared" si="42"/>
        <v>217.08423061559648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4.926707934073117</v>
      </c>
      <c r="DH52" s="23">
        <f>EXP(-LN(2)/2)*DH51+(1-EXP(-LN(2)/2))/(LN(2)/2)*DB52*DE52*VLOOKUP('Données projet'!$B$13,Paramètres!$A$1:$I$89,3,0)*0.475*44/12</f>
        <v>1.5266046556997186E-2</v>
      </c>
      <c r="DI52" s="24">
        <f t="shared" si="15"/>
        <v>4.9419739806301139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8.6</v>
      </c>
      <c r="M53" s="13">
        <f t="array" ref="M53">INDEX(L:L,MIN(IF(ISNUMBER(L53:L249),ROW(L53:L249),"")))</f>
        <v>8.6</v>
      </c>
      <c r="N53" s="14">
        <f>IF('Données projet'!$A$36&gt;35,N52+M53-V52,IF(A53&lt;'Données projet'!$A$36,$K$205^A53,IF(A53='Données projet'!$A$36,'Données projet'!$B$36,N52+M53-V52)))</f>
        <v>231</v>
      </c>
      <c r="O53" s="14">
        <f>N53*VLOOKUP('Données projet'!$B$9,Paramètres!$A$1:$I$89,3,0)*VLOOKUP('Données projet'!$B$9,Paramètres!$A$1:$I$89,5,0)</f>
        <v>201.80160000000004</v>
      </c>
      <c r="P53" s="14">
        <f t="shared" si="33"/>
        <v>50.139897992681668</v>
      </c>
      <c r="Q53" s="22">
        <f t="shared" si="53"/>
        <v>438.79810900392067</v>
      </c>
      <c r="R53" s="62">
        <f t="shared" si="0"/>
        <v>732.13144233725393</v>
      </c>
      <c r="S53" s="62">
        <f ca="1">AVERAGE(OFFSET($R$3,0,0,'Données projet'!$E$9+1,1))-AVERAGE(OFFSET($H$3,0,0,'Données projet'!$E$9+1,1))</f>
        <v>321.62968871874483</v>
      </c>
      <c r="T53" s="62">
        <f t="shared" si="34"/>
        <v>389.91636841473559</v>
      </c>
      <c r="U53" s="16">
        <f>IF(ISNA(VLOOKUP(A53,'Données projet'!$A$35:$I$55,3,0)),0,VLOOKUP(A53,'Données projet'!$A$35:$I$55,3,0))</f>
        <v>8</v>
      </c>
      <c r="V53" s="16">
        <f>IF(ISNA(VLOOKUP(A53,'Données projet'!$A$35:$I$55,4,0)),0,VLOOKUP(A53,'Données projet'!$A$35:$I$55,4,0))</f>
        <v>33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14.692744030024976</v>
      </c>
      <c r="AB53" s="23">
        <f>EXP(-LN(2)/2)*AB52+(1-EXP(-LN(2)/2))/(LN(2)/2)*V53*Y53*VLOOKUP('Données projet'!$B$9,Paramètres!$A$1:$I$89,3,0)*0.475*44/12</f>
        <v>1.7838386799466935E-2</v>
      </c>
      <c r="AC53" s="24">
        <f t="shared" si="3"/>
        <v>14.710582416824442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604.12</v>
      </c>
      <c r="AG53" s="13">
        <f>VLOOKUP(A53,'Données projet'!$A$61:$I$81,9,0)</f>
        <v>25.205000000000041</v>
      </c>
      <c r="AH53" s="13">
        <f t="array" ref="AH53">INDEX(AG:AG,MIN(IF(ISNUMBER(AG53:AG249),ROW(AG53:AG249),"")))</f>
        <v>25.205000000000041</v>
      </c>
      <c r="AI53" s="14">
        <f>IF('Données projet'!$A$62&gt;35,AI52+AH53-AQ52,IF(A53&lt;'Données projet'!$A$62,$AF$205^A53,IF(A53='Données projet'!$A$62,'Données projet'!$B$62,AI52+AH53-AQ52)))</f>
        <v>604.12</v>
      </c>
      <c r="AJ53" s="14">
        <f>AI53*VLOOKUP('Données projet'!$B$10,Paramètres!$A$1:$I$89,3,0)*VLOOKUP('Données projet'!$B$10,Paramètres!$A$1:$I$89,5,0)</f>
        <v>337.70308</v>
      </c>
      <c r="AK53" s="14">
        <f t="shared" si="35"/>
        <v>79.025201150271741</v>
      </c>
      <c r="AL53" s="22">
        <f t="shared" si="4"/>
        <v>725.80175633672332</v>
      </c>
      <c r="AM53" s="62">
        <f t="shared" si="5"/>
        <v>1019.1350896700567</v>
      </c>
      <c r="AN53" s="62">
        <f ca="1">AVERAGE(OFFSET($AM$3,0,0,'Données projet'!$E$10+1,1))-AVERAGE(OFFSET($H$3,0,0,'Données projet'!$E$10+1,1))</f>
        <v>405.09126081846171</v>
      </c>
      <c r="AO53" s="62">
        <f t="shared" si="36"/>
        <v>534.22295841722166</v>
      </c>
      <c r="AP53" s="16">
        <f>IF(ISNA(VLOOKUP(A53,'Données projet'!$A$61:$I$81,3,0)),0,VLOOKUP(A53,'Données projet'!$A$61:$I$81,3,0))</f>
        <v>18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17.740641972462882</v>
      </c>
      <c r="AV53" s="23">
        <f>EXP(-LN(2)/25)*AV52+(1-EXP(-LN(2)/25))/(LN(2)/25)*Calculateur!AQ53*Calculateur!AS53*VLOOKUP('Données projet'!$B$10,Paramètres!$A$1:$I$89,3,0)*0.475*44/12</f>
        <v>13.720338496619517</v>
      </c>
      <c r="AW53" s="23">
        <f>EXP(-LN(2)/2)*AW52+(1-EXP(-LN(2)/2))/(LN(2)/2)*AQ53*AT53*VLOOKUP('Données projet'!$B$10,Paramètres!$A$1:$I$89,3,0)*0.475*44/12</f>
        <v>1.1561663884127825E-2</v>
      </c>
      <c r="AX53" s="23">
        <f t="shared" si="6"/>
        <v>31.472542132966527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747.43411921957727</v>
      </c>
      <c r="BI53" s="62">
        <f ca="1">AVERAGE(OFFSET($BH$3,0,0,'Données projet'!$E$11+1,1))-AVERAGE(OFFSET($H$3,0,0,'Données projet'!$E$11+1,1))</f>
        <v>439.06700232017681</v>
      </c>
      <c r="BJ53" s="62">
        <f t="shared" si="38"/>
        <v>278.21741231699929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5.2440610773364424</v>
      </c>
      <c r="BR53" s="23">
        <f>EXP(-LN(2)/2)*BR52+(1-EXP(-LN(2)/2))/(LN(2)/2)*BL53*BO53*VLOOKUP('Données projet'!$B$11,Paramètres!$A$1:$I$89,3,0)*0.475*44/12</f>
        <v>1.4560326801325837E-2</v>
      </c>
      <c r="BS53" s="24">
        <f t="shared" si="9"/>
        <v>5.2586214041377684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223.42320000000004</v>
      </c>
      <c r="CA53" s="14">
        <f t="shared" si="39"/>
        <v>54.858231422257631</v>
      </c>
      <c r="CB53" s="22">
        <f t="shared" si="10"/>
        <v>484.67349306043207</v>
      </c>
      <c r="CC53" s="62">
        <f t="shared" si="11"/>
        <v>778.00682639376532</v>
      </c>
      <c r="CD53" s="62">
        <f ca="1">AVERAGE(OFFSET($CC$3,0,0,'Données projet'!$E$12+1,1))-AVERAGE(OFFSET($H$3,0,0,'Données projet'!$E$12+1,1))</f>
        <v>466.4945858005575</v>
      </c>
      <c r="CE53" s="62">
        <f t="shared" si="40"/>
        <v>294.45557293177131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5.6057204619803356</v>
      </c>
      <c r="CM53" s="23">
        <f>EXP(-LN(2)/2)*CM52+(1-EXP(-LN(2)/2))/(LN(2)/2)*CG53*CJ53*VLOOKUP('Données projet'!$B$12,Paramètres!$A$1:$I$89,3,0)*0.475*44/12</f>
        <v>1.5564487270382791E-2</v>
      </c>
      <c r="CN53" s="24">
        <f t="shared" si="12"/>
        <v>5.6212849492507182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154.95480000000003</v>
      </c>
      <c r="CV53" s="14">
        <f t="shared" si="41"/>
        <v>39.702443168641857</v>
      </c>
      <c r="CW53" s="22">
        <f t="shared" si="13"/>
        <v>339.02803185205124</v>
      </c>
      <c r="CX53" s="62">
        <f t="shared" si="14"/>
        <v>632.36136518538456</v>
      </c>
      <c r="CY53" s="62">
        <f ca="1">AVERAGE(OFFSET($CX$3,0,0,'Données projet'!$E$13+1,1))-AVERAGE(OFFSET($H$3,0,0,'Données projet'!$E$13+1,1))</f>
        <v>335.83558218229564</v>
      </c>
      <c r="CZ53" s="62">
        <f t="shared" si="42"/>
        <v>217.08423061559648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4.7919868465315778</v>
      </c>
      <c r="DH53" s="23">
        <f>EXP(-LN(2)/2)*DH52+(1-EXP(-LN(2)/2))/(LN(2)/2)*DB53*DE53*VLOOKUP('Données projet'!$B$13,Paramètres!$A$1:$I$89,3,0)*0.475*44/12</f>
        <v>1.0794725042362258E-2</v>
      </c>
      <c r="DI53" s="24">
        <f t="shared" si="15"/>
        <v>4.8027815715739397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205.8</v>
      </c>
      <c r="O54" s="14">
        <f>N54*VLOOKUP('Données projet'!$B$9,Paramètres!$A$1:$I$89,3,0)*VLOOKUP('Données projet'!$B$9,Paramètres!$A$1:$I$89,5,0)</f>
        <v>179.78688000000002</v>
      </c>
      <c r="P54" s="14">
        <f t="shared" si="33"/>
        <v>45.274767624296935</v>
      </c>
      <c r="Q54" s="22">
        <f t="shared" si="53"/>
        <v>391.9823696123172</v>
      </c>
      <c r="R54" s="62">
        <f t="shared" si="0"/>
        <v>685.31570294565051</v>
      </c>
      <c r="S54" s="62">
        <f ca="1">AVERAGE(OFFSET($R$3,0,0,'Données projet'!$E$9+1,1))-AVERAGE(OFFSET($H$3,0,0,'Données projet'!$E$9+1,1))</f>
        <v>321.62968871874483</v>
      </c>
      <c r="T54" s="62">
        <f t="shared" si="34"/>
        <v>389.91636841473559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14.290970171866116</v>
      </c>
      <c r="AB54" s="23">
        <f>EXP(-LN(2)/2)*AB53+(1-EXP(-LN(2)/2))/(LN(2)/2)*V54*Y54*VLOOKUP('Données projet'!$B$9,Paramètres!$A$1:$I$89,3,0)*0.475*44/12</f>
        <v>1.2613644271331664E-2</v>
      </c>
      <c r="AC54" s="24">
        <f t="shared" si="3"/>
        <v>14.303583816137447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25.71999999999997</v>
      </c>
      <c r="AI54" s="14">
        <f>IF('Données projet'!$A$62&gt;35,AI53+AH54-AQ53,IF(A54&lt;'Données projet'!$A$62,$AF$205^A54,IF(A54='Données projet'!$A$62,'Données projet'!$B$62,AI53+AH54-AQ53)))</f>
        <v>629.83999999999992</v>
      </c>
      <c r="AJ54" s="14">
        <f>AI54*VLOOKUP('Données projet'!$B$10,Paramètres!$A$1:$I$89,3,0)*VLOOKUP('Données projet'!$B$10,Paramètres!$A$1:$I$89,5,0)</f>
        <v>352.08055999999999</v>
      </c>
      <c r="AK54" s="14">
        <f t="shared" si="35"/>
        <v>81.99077226106516</v>
      </c>
      <c r="AL54" s="22">
        <f t="shared" si="4"/>
        <v>756.00757035468848</v>
      </c>
      <c r="AM54" s="62">
        <f t="shared" si="5"/>
        <v>1049.3409036880219</v>
      </c>
      <c r="AN54" s="62">
        <f ca="1">AVERAGE(OFFSET($AM$3,0,0,'Données projet'!$E$10+1,1))-AVERAGE(OFFSET($H$3,0,0,'Données projet'!$E$10+1,1))</f>
        <v>405.09126081846171</v>
      </c>
      <c r="AO54" s="62">
        <f t="shared" si="36"/>
        <v>534.22295841722166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17.39275880410603</v>
      </c>
      <c r="AV54" s="23">
        <f>EXP(-LN(2)/25)*AV53+(1-EXP(-LN(2)/25))/(LN(2)/25)*Calculateur!AQ54*Calculateur!AS54*VLOOKUP('Données projet'!$B$10,Paramètres!$A$1:$I$89,3,0)*0.475*44/12</f>
        <v>13.345155118908213</v>
      </c>
      <c r="AW54" s="23">
        <f>EXP(-LN(2)/2)*AW53+(1-EXP(-LN(2)/2))/(LN(2)/2)*AQ54*AT54*VLOOKUP('Données projet'!$B$10,Paramètres!$A$1:$I$89,3,0)*0.475*44/12</f>
        <v>8.1753309342663828E-3</v>
      </c>
      <c r="AX54" s="23">
        <f t="shared" si="6"/>
        <v>30.746089253948512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713.22240923574122</v>
      </c>
      <c r="BI54" s="62">
        <f ca="1">AVERAGE(OFFSET($BH$3,0,0,'Données projet'!$E$11+1,1))-AVERAGE(OFFSET($H$3,0,0,'Données projet'!$E$11+1,1))</f>
        <v>439.06700232017681</v>
      </c>
      <c r="BJ54" s="62">
        <f t="shared" si="38"/>
        <v>278.21741231699929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5.1006619514034908</v>
      </c>
      <c r="BR54" s="23">
        <f>EXP(-LN(2)/2)*BR53+(1-EXP(-LN(2)/2))/(LN(2)/2)*BL54*BO54*VLOOKUP('Données projet'!$B$11,Paramètres!$A$1:$I$89,3,0)*0.475*44/12</f>
        <v>1.0295705817509732E-2</v>
      </c>
      <c r="BS54" s="24">
        <f t="shared" si="9"/>
        <v>5.1109576572210003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206.20704000000001</v>
      </c>
      <c r="CA54" s="14">
        <f t="shared" si="39"/>
        <v>51.105851308113081</v>
      </c>
      <c r="CB54" s="22">
        <f t="shared" si="10"/>
        <v>448.15328569496359</v>
      </c>
      <c r="CC54" s="62">
        <f t="shared" si="11"/>
        <v>741.4866190282969</v>
      </c>
      <c r="CD54" s="62">
        <f ca="1">AVERAGE(OFFSET($CC$3,0,0,'Données projet'!$E$12+1,1))-AVERAGE(OFFSET($H$3,0,0,'Données projet'!$E$12+1,1))</f>
        <v>466.4945858005575</v>
      </c>
      <c r="CE54" s="62">
        <f t="shared" si="40"/>
        <v>294.45557293177131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5.4524317411554559</v>
      </c>
      <c r="CM54" s="23">
        <f>EXP(-LN(2)/2)*CM53+(1-EXP(-LN(2)/2))/(LN(2)/2)*CG54*CJ54*VLOOKUP('Données projet'!$B$12,Paramètres!$A$1:$I$89,3,0)*0.475*44/12</f>
        <v>1.100575449457937E-2</v>
      </c>
      <c r="CN54" s="24">
        <f t="shared" si="12"/>
        <v>5.4634374956500356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143.01456000000002</v>
      </c>
      <c r="CV54" s="14">
        <f t="shared" si="41"/>
        <v>36.986740267426583</v>
      </c>
      <c r="CW54" s="22">
        <f t="shared" si="13"/>
        <v>313.50226463243462</v>
      </c>
      <c r="CX54" s="62">
        <f t="shared" si="14"/>
        <v>606.83559796576787</v>
      </c>
      <c r="CY54" s="62">
        <f ca="1">AVERAGE(OFFSET($CX$3,0,0,'Données projet'!$E$13+1,1))-AVERAGE(OFFSET($H$3,0,0,'Données projet'!$E$13+1,1))</f>
        <v>335.83558218229564</v>
      </c>
      <c r="CZ54" s="62">
        <f t="shared" si="42"/>
        <v>217.08423061559648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4.6609497142135359</v>
      </c>
      <c r="DH54" s="23">
        <f>EXP(-LN(2)/2)*DH53+(1-EXP(-LN(2)/2))/(LN(2)/2)*DB54*DE54*VLOOKUP('Données projet'!$B$13,Paramètres!$A$1:$I$89,3,0)*0.475*44/12</f>
        <v>7.633023278498594E-3</v>
      </c>
      <c r="DI54" s="24">
        <f t="shared" si="15"/>
        <v>4.6685827374920343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213.60000000000002</v>
      </c>
      <c r="O55" s="14">
        <f>N55*VLOOKUP('Données projet'!$B$9,Paramètres!$A$1:$I$89,3,0)*VLOOKUP('Données projet'!$B$9,Paramètres!$A$1:$I$89,5,0)</f>
        <v>186.60096000000004</v>
      </c>
      <c r="P55" s="14">
        <f t="shared" si="33"/>
        <v>46.787685683664144</v>
      </c>
      <c r="Q55" s="22">
        <f t="shared" si="53"/>
        <v>406.4852245657151</v>
      </c>
      <c r="R55" s="62">
        <f t="shared" si="0"/>
        <v>699.81855789904841</v>
      </c>
      <c r="S55" s="62">
        <f ca="1">AVERAGE(OFFSET($R$3,0,0,'Données projet'!$E$9+1,1))-AVERAGE(OFFSET($H$3,0,0,'Données projet'!$E$9+1,1))</f>
        <v>321.62968871874483</v>
      </c>
      <c r="T55" s="62">
        <f t="shared" si="34"/>
        <v>389.91636841473559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13.900182840986979</v>
      </c>
      <c r="AB55" s="23">
        <f>EXP(-LN(2)/2)*AB54+(1-EXP(-LN(2)/2))/(LN(2)/2)*V55*Y55*VLOOKUP('Données projet'!$B$9,Paramètres!$A$1:$I$89,3,0)*0.475*44/12</f>
        <v>8.9191933997334674E-3</v>
      </c>
      <c r="AC55" s="24">
        <f t="shared" si="3"/>
        <v>13.909102034386713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>
        <f>VLOOKUP(A55,'Données projet'!$A$61:$I$81,2,0)</f>
        <v>655.56</v>
      </c>
      <c r="AG55" s="13">
        <f>VLOOKUP(A55,'Données projet'!$A$61:$I$81,9,0)</f>
        <v>25.71999999999997</v>
      </c>
      <c r="AH55" s="13">
        <f t="array" ref="AH55">INDEX(AG:AG,MIN(IF(ISNUMBER(AG55:AG251),ROW(AG55:AG251),"")))</f>
        <v>25.71999999999997</v>
      </c>
      <c r="AI55" s="14">
        <f>IF('Données projet'!$A$62&gt;35,AI54+AH55-AQ54,IF(A55&lt;'Données projet'!$A$62,$AF$205^A55,IF(A55='Données projet'!$A$62,'Données projet'!$B$62,AI54+AH55-AQ54)))</f>
        <v>655.56</v>
      </c>
      <c r="AJ55" s="14">
        <f>AI55*VLOOKUP('Données projet'!$B$10,Paramètres!$A$1:$I$89,3,0)*VLOOKUP('Données projet'!$B$10,Paramètres!$A$1:$I$89,5,0)</f>
        <v>366.45803999999998</v>
      </c>
      <c r="AK55" s="14">
        <f t="shared" si="35"/>
        <v>84.942276491660508</v>
      </c>
      <c r="AL55" s="22">
        <f t="shared" si="4"/>
        <v>786.18888455630861</v>
      </c>
      <c r="AM55" s="62">
        <f t="shared" si="5"/>
        <v>1079.522217889642</v>
      </c>
      <c r="AN55" s="62">
        <f ca="1">AVERAGE(OFFSET($AM$3,0,0,'Données projet'!$E$10+1,1))-AVERAGE(OFFSET($H$3,0,0,'Données projet'!$E$10+1,1))</f>
        <v>405.09126081846171</v>
      </c>
      <c r="AO55" s="62">
        <f t="shared" si="36"/>
        <v>534.22295841722166</v>
      </c>
      <c r="AP55" s="16">
        <f>IF(ISNA(VLOOKUP(A55,'Données projet'!$A$61:$I$81,3,0)),0,VLOOKUP(A55,'Données projet'!$A$61:$I$81,3,0))</f>
        <v>19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17.051697412492874</v>
      </c>
      <c r="AV55" s="23">
        <f>EXP(-LN(2)/25)*AV54+(1-EXP(-LN(2)/25))/(LN(2)/25)*Calculateur!AQ55*Calculateur!AS55*VLOOKUP('Données projet'!$B$10,Paramètres!$A$1:$I$89,3,0)*0.475*44/12</f>
        <v>12.980231150390461</v>
      </c>
      <c r="AW55" s="23">
        <f>EXP(-LN(2)/2)*AW54+(1-EXP(-LN(2)/2))/(LN(2)/2)*AQ55*AT55*VLOOKUP('Données projet'!$B$10,Paramètres!$A$1:$I$89,3,0)*0.475*44/12</f>
        <v>5.7808319420639123E-3</v>
      </c>
      <c r="AX55" s="23">
        <f t="shared" si="6"/>
        <v>30.037709394825402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732.83389045993795</v>
      </c>
      <c r="BI55" s="62">
        <f ca="1">AVERAGE(OFFSET($BH$3,0,0,'Données projet'!$E$11+1,1))-AVERAGE(OFFSET($H$3,0,0,'Données projet'!$E$11+1,1))</f>
        <v>439.06700232017681</v>
      </c>
      <c r="BJ55" s="62">
        <f t="shared" si="38"/>
        <v>278.21741231699929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4.9611840821102078</v>
      </c>
      <c r="BR55" s="23">
        <f>EXP(-LN(2)/2)*BR54+(1-EXP(-LN(2)/2))/(LN(2)/2)*BL55*BO55*VLOOKUP('Données projet'!$B$11,Paramètres!$A$1:$I$89,3,0)*0.475*44/12</f>
        <v>7.2801634006629187E-3</v>
      </c>
      <c r="BS55" s="24">
        <f t="shared" si="9"/>
        <v>4.9684642455108703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216.07248000000001</v>
      </c>
      <c r="CA55" s="14">
        <f t="shared" si="39"/>
        <v>53.260365780197098</v>
      </c>
      <c r="CB55" s="22">
        <f t="shared" si="10"/>
        <v>469.08803973384329</v>
      </c>
      <c r="CC55" s="62">
        <f t="shared" si="11"/>
        <v>762.42137306717655</v>
      </c>
      <c r="CD55" s="62">
        <f ca="1">AVERAGE(OFFSET($CC$3,0,0,'Données projet'!$E$12+1,1))-AVERAGE(OFFSET($H$3,0,0,'Données projet'!$E$12+1,1))</f>
        <v>466.4945858005575</v>
      </c>
      <c r="CE55" s="62">
        <f t="shared" si="40"/>
        <v>294.45557293177131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5.3033347084626365</v>
      </c>
      <c r="CM55" s="23">
        <f>EXP(-LN(2)/2)*CM54+(1-EXP(-LN(2)/2))/(LN(2)/2)*CG55*CJ55*VLOOKUP('Données projet'!$B$12,Paramètres!$A$1:$I$89,3,0)*0.475*44/12</f>
        <v>7.7822436351913972E-3</v>
      </c>
      <c r="CN55" s="24">
        <f t="shared" si="12"/>
        <v>5.3111169520978283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149.85672</v>
      </c>
      <c r="CV55" s="14">
        <f t="shared" si="41"/>
        <v>38.546022915923054</v>
      </c>
      <c r="CW55" s="22">
        <f t="shared" si="13"/>
        <v>328.13477724523267</v>
      </c>
      <c r="CX55" s="62">
        <f t="shared" si="14"/>
        <v>621.46811057856598</v>
      </c>
      <c r="CY55" s="62">
        <f ca="1">AVERAGE(OFFSET($CX$3,0,0,'Données projet'!$E$13+1,1))-AVERAGE(OFFSET($H$3,0,0,'Données projet'!$E$13+1,1))</f>
        <v>335.83558218229564</v>
      </c>
      <c r="CZ55" s="62">
        <f t="shared" si="42"/>
        <v>217.08423061559648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4.5334957991696738</v>
      </c>
      <c r="DH55" s="23">
        <f>EXP(-LN(2)/2)*DH54+(1-EXP(-LN(2)/2))/(LN(2)/2)*DB55*DE55*VLOOKUP('Données projet'!$B$13,Paramètres!$A$1:$I$89,3,0)*0.475*44/12</f>
        <v>5.3973625211811297E-3</v>
      </c>
      <c r="DI55" s="24">
        <f t="shared" si="15"/>
        <v>4.5388931616908552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221.40000000000003</v>
      </c>
      <c r="O56" s="14">
        <f>N56*VLOOKUP('Données projet'!$B$9,Paramètres!$A$1:$I$89,3,0)*VLOOKUP('Données projet'!$B$9,Paramètres!$A$1:$I$89,5,0)</f>
        <v>193.41504000000006</v>
      </c>
      <c r="P56" s="14">
        <f t="shared" si="33"/>
        <v>48.294185132315114</v>
      </c>
      <c r="Q56" s="22">
        <f t="shared" si="53"/>
        <v>420.97690043878225</v>
      </c>
      <c r="R56" s="62">
        <f t="shared" si="0"/>
        <v>714.31023377211557</v>
      </c>
      <c r="S56" s="62">
        <f ca="1">AVERAGE(OFFSET($R$3,0,0,'Données projet'!$E$9+1,1))-AVERAGE(OFFSET($H$3,0,0,'Données projet'!$E$9+1,1))</f>
        <v>321.62968871874483</v>
      </c>
      <c r="T56" s="62">
        <f t="shared" si="34"/>
        <v>389.91636841473559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13.520081610221343</v>
      </c>
      <c r="AB56" s="23">
        <f>EXP(-LN(2)/2)*AB55+(1-EXP(-LN(2)/2))/(LN(2)/2)*V56*Y56*VLOOKUP('Données projet'!$B$9,Paramètres!$A$1:$I$89,3,0)*0.475*44/12</f>
        <v>6.306822135665832E-3</v>
      </c>
      <c r="AC56" s="24">
        <f t="shared" si="3"/>
        <v>13.52638843235701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26.095000000000027</v>
      </c>
      <c r="AI56" s="14">
        <f>IF('Données projet'!$A$62&gt;35,AI55+AH56-AQ55,IF(A56&lt;'Données projet'!$A$62,$AF$205^A56,IF(A56='Données projet'!$A$62,'Données projet'!$B$62,AI55+AH56-AQ55)))</f>
        <v>681.65499999999997</v>
      </c>
      <c r="AJ56" s="14">
        <f>AI56*VLOOKUP('Données projet'!$B$10,Paramètres!$A$1:$I$89,3,0)*VLOOKUP('Données projet'!$B$10,Paramètres!$A$1:$I$89,5,0)</f>
        <v>381.04514499999999</v>
      </c>
      <c r="AK56" s="14">
        <f t="shared" si="35"/>
        <v>87.92306934491728</v>
      </c>
      <c r="AL56" s="22">
        <f t="shared" si="4"/>
        <v>816.78630665073081</v>
      </c>
      <c r="AM56" s="62">
        <f t="shared" si="5"/>
        <v>1110.1196399840642</v>
      </c>
      <c r="AN56" s="62">
        <f ca="1">AVERAGE(OFFSET($AM$3,0,0,'Données projet'!$E$10+1,1))-AVERAGE(OFFSET($H$3,0,0,'Données projet'!$E$10+1,1))</f>
        <v>405.09126081846171</v>
      </c>
      <c r="AO56" s="62">
        <f t="shared" si="36"/>
        <v>534.22295841722166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16.717324026742347</v>
      </c>
      <c r="AV56" s="23">
        <f>EXP(-LN(2)/25)*AV55+(1-EXP(-LN(2)/25))/(LN(2)/25)*Calculateur!AQ56*Calculateur!AS56*VLOOKUP('Données projet'!$B$10,Paramètres!$A$1:$I$89,3,0)*0.475*44/12</f>
        <v>12.625286046982344</v>
      </c>
      <c r="AW56" s="23">
        <f>EXP(-LN(2)/2)*AW55+(1-EXP(-LN(2)/2))/(LN(2)/2)*AQ56*AT56*VLOOKUP('Données projet'!$B$10,Paramètres!$A$1:$I$89,3,0)*0.475*44/12</f>
        <v>4.0876654671331914E-3</v>
      </c>
      <c r="AX56" s="23">
        <f t="shared" si="6"/>
        <v>29.346697739191825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752.42661319140393</v>
      </c>
      <c r="BI56" s="62">
        <f ca="1">AVERAGE(OFFSET($BH$3,0,0,'Données projet'!$E$11+1,1))-AVERAGE(OFFSET($H$3,0,0,'Données projet'!$E$11+1,1))</f>
        <v>439.06700232017681</v>
      </c>
      <c r="BJ56" s="62">
        <f t="shared" si="38"/>
        <v>278.21741231699929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4.8255202424875723</v>
      </c>
      <c r="BR56" s="23">
        <f>EXP(-LN(2)/2)*BR55+(1-EXP(-LN(2)/2))/(LN(2)/2)*BL56*BO56*VLOOKUP('Données projet'!$B$11,Paramètres!$A$1:$I$89,3,0)*0.475*44/12</f>
        <v>5.1478529087548661E-3</v>
      </c>
      <c r="BS56" s="24">
        <f t="shared" si="9"/>
        <v>4.8306680953963275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225.93791999999999</v>
      </c>
      <c r="CA56" s="14">
        <f t="shared" si="39"/>
        <v>55.403456067447962</v>
      </c>
      <c r="CB56" s="22">
        <f t="shared" si="10"/>
        <v>490.00289665080521</v>
      </c>
      <c r="CC56" s="62">
        <f t="shared" si="11"/>
        <v>783.33622998413853</v>
      </c>
      <c r="CD56" s="62">
        <f ca="1">AVERAGE(OFFSET($CC$3,0,0,'Données projet'!$E$12+1,1))-AVERAGE(OFFSET($H$3,0,0,'Données projet'!$E$12+1,1))</f>
        <v>466.4945858005575</v>
      </c>
      <c r="CE56" s="62">
        <f t="shared" si="40"/>
        <v>294.45557293177131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5.1583147419694741</v>
      </c>
      <c r="CM56" s="23">
        <f>EXP(-LN(2)/2)*CM55+(1-EXP(-LN(2)/2))/(LN(2)/2)*CG56*CJ56*VLOOKUP('Données projet'!$B$12,Paramètres!$A$1:$I$89,3,0)*0.475*44/12</f>
        <v>5.5028772472896859E-3</v>
      </c>
      <c r="CN56" s="24">
        <f t="shared" si="12"/>
        <v>5.163817619216764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156.69888</v>
      </c>
      <c r="CV56" s="14">
        <f t="shared" si="41"/>
        <v>40.097037560925337</v>
      </c>
      <c r="CW56" s="22">
        <f t="shared" si="13"/>
        <v>342.75288975194491</v>
      </c>
      <c r="CX56" s="62">
        <f t="shared" si="14"/>
        <v>636.08622308527822</v>
      </c>
      <c r="CY56" s="62">
        <f ca="1">AVERAGE(OFFSET($CX$3,0,0,'Données projet'!$E$13+1,1))-AVERAGE(OFFSET($H$3,0,0,'Données projet'!$E$13+1,1))</f>
        <v>335.83558218229564</v>
      </c>
      <c r="CZ56" s="62">
        <f t="shared" si="42"/>
        <v>217.08423061559648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4.4095271181351965</v>
      </c>
      <c r="DH56" s="23">
        <f>EXP(-LN(2)/2)*DH55+(1-EXP(-LN(2)/2))/(LN(2)/2)*DB56*DE56*VLOOKUP('Données projet'!$B$13,Paramètres!$A$1:$I$89,3,0)*0.475*44/12</f>
        <v>3.8165116392492979E-3</v>
      </c>
      <c r="DI56" s="24">
        <f t="shared" si="15"/>
        <v>4.4133436297744462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229.20000000000005</v>
      </c>
      <c r="O57" s="14">
        <f>N57*VLOOKUP('Données projet'!$B$9,Paramètres!$A$1:$I$89,3,0)*VLOOKUP('Données projet'!$B$9,Paramètres!$A$1:$I$89,5,0)</f>
        <v>200.22912000000005</v>
      </c>
      <c r="P57" s="14">
        <f t="shared" si="33"/>
        <v>49.794518010766353</v>
      </c>
      <c r="Q57" s="22">
        <f t="shared" si="53"/>
        <v>435.45783620208476</v>
      </c>
      <c r="R57" s="62">
        <f t="shared" si="0"/>
        <v>728.79116953541802</v>
      </c>
      <c r="S57" s="62">
        <f ca="1">AVERAGE(OFFSET($R$3,0,0,'Données projet'!$E$9+1,1))-AVERAGE(OFFSET($H$3,0,0,'Données projet'!$E$9+1,1))</f>
        <v>321.62968871874483</v>
      </c>
      <c r="T57" s="62">
        <f t="shared" si="34"/>
        <v>389.91636841473559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13.150374267599648</v>
      </c>
      <c r="AB57" s="23">
        <f>EXP(-LN(2)/2)*AB56+(1-EXP(-LN(2)/2))/(LN(2)/2)*V57*Y57*VLOOKUP('Données projet'!$B$9,Paramètres!$A$1:$I$89,3,0)*0.475*44/12</f>
        <v>4.4595966998667337E-3</v>
      </c>
      <c r="AC57" s="24">
        <f t="shared" si="3"/>
        <v>13.154833864299516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707.75</v>
      </c>
      <c r="AG57" s="13">
        <f>VLOOKUP(A57,'Données projet'!$A$61:$I$81,9,0)</f>
        <v>26.095000000000027</v>
      </c>
      <c r="AH57" s="13">
        <f t="array" ref="AH57">INDEX(AG:AG,MIN(IF(ISNUMBER(AG57:AG253),ROW(AG57:AG253),"")))</f>
        <v>26.095000000000027</v>
      </c>
      <c r="AI57" s="14">
        <f>IF('Données projet'!$A$62&gt;35,AI56+AH57-AQ56,IF(A57&lt;'Données projet'!$A$62,$AF$205^A57,IF(A57='Données projet'!$A$62,'Données projet'!$B$62,AI56+AH57-AQ56)))</f>
        <v>707.75</v>
      </c>
      <c r="AJ57" s="14">
        <f>AI57*VLOOKUP('Données projet'!$B$10,Paramètres!$A$1:$I$89,3,0)*VLOOKUP('Données projet'!$B$10,Paramètres!$A$1:$I$89,5,0)</f>
        <v>395.63225</v>
      </c>
      <c r="AK57" s="14">
        <f t="shared" si="35"/>
        <v>90.890605900198707</v>
      </c>
      <c r="AL57" s="22">
        <f t="shared" si="4"/>
        <v>847.360640692846</v>
      </c>
      <c r="AM57" s="62">
        <f t="shared" si="5"/>
        <v>1140.6939740261794</v>
      </c>
      <c r="AN57" s="62">
        <f ca="1">AVERAGE(OFFSET($AM$3,0,0,'Données projet'!$E$10+1,1))-AVERAGE(OFFSET($H$3,0,0,'Données projet'!$E$10+1,1))</f>
        <v>405.09126081846171</v>
      </c>
      <c r="AO57" s="62">
        <f t="shared" si="36"/>
        <v>534.22295841722166</v>
      </c>
      <c r="AP57" s="16">
        <f>IF(ISNA(VLOOKUP(A57,'Données projet'!$A$61:$I$81,3,0)),0,VLOOKUP(A57,'Données projet'!$A$61:$I$81,3,0))</f>
        <v>20</v>
      </c>
      <c r="AQ57" s="16">
        <f>IF(ISNA(VLOOKUP(A57,'Données projet'!$A$61:$I$81,4,0)),0,VLOOKUP(A57,'Données projet'!$A$61:$I$81,4,0))</f>
        <v>707.75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16.389507499138759</v>
      </c>
      <c r="AV57" s="23">
        <f>EXP(-LN(2)/25)*AV56+(1-EXP(-LN(2)/25))/(LN(2)/25)*Calculateur!AQ57*Calculateur!AS57*VLOOKUP('Données projet'!$B$10,Paramètres!$A$1:$I$89,3,0)*0.475*44/12</f>
        <v>12.280046936092674</v>
      </c>
      <c r="AW57" s="23">
        <f>EXP(-LN(2)/2)*AW56+(1-EXP(-LN(2)/2))/(LN(2)/2)*AQ57*AT57*VLOOKUP('Données projet'!$B$10,Paramètres!$A$1:$I$89,3,0)*0.475*44/12</f>
        <v>2.8904159710319561E-3</v>
      </c>
      <c r="AX57" s="23">
        <f t="shared" si="6"/>
        <v>28.672444851202464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772.00149012109455</v>
      </c>
      <c r="BI57" s="62">
        <f ca="1">AVERAGE(OFFSET($BH$3,0,0,'Données projet'!$E$11+1,1))-AVERAGE(OFFSET($H$3,0,0,'Données projet'!$E$11+1,1))</f>
        <v>439.06700232017681</v>
      </c>
      <c r="BJ57" s="62">
        <f t="shared" si="38"/>
        <v>278.21741231699929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4.6935661376936686</v>
      </c>
      <c r="BR57" s="23">
        <f>EXP(-LN(2)/2)*BR56+(1-EXP(-LN(2)/2))/(LN(2)/2)*BL57*BO57*VLOOKUP('Données projet'!$B$11,Paramètres!$A$1:$I$89,3,0)*0.475*44/12</f>
        <v>3.6400817003314594E-3</v>
      </c>
      <c r="BS57" s="24">
        <f t="shared" si="9"/>
        <v>4.6972062193940003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235.80335999999997</v>
      </c>
      <c r="CA57" s="14">
        <f t="shared" si="39"/>
        <v>57.53567801144218</v>
      </c>
      <c r="CB57" s="22">
        <f t="shared" si="10"/>
        <v>510.89882453659499</v>
      </c>
      <c r="CC57" s="62">
        <f t="shared" si="11"/>
        <v>804.2321578699283</v>
      </c>
      <c r="CD57" s="62">
        <f ca="1">AVERAGE(OFFSET($CC$3,0,0,'Données projet'!$E$12+1,1))-AVERAGE(OFFSET($H$3,0,0,'Données projet'!$E$12+1,1))</f>
        <v>466.4945858005575</v>
      </c>
      <c r="CE57" s="62">
        <f t="shared" si="40"/>
        <v>294.45557293177131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5.0172603540863365</v>
      </c>
      <c r="CM57" s="23">
        <f>EXP(-LN(2)/2)*CM56+(1-EXP(-LN(2)/2))/(LN(2)/2)*CG57*CJ57*VLOOKUP('Données projet'!$B$12,Paramètres!$A$1:$I$89,3,0)*0.475*44/12</f>
        <v>3.891121817595699E-3</v>
      </c>
      <c r="CN57" s="24">
        <f t="shared" si="12"/>
        <v>5.021151475903932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163.54103999999998</v>
      </c>
      <c r="CV57" s="14">
        <f t="shared" si="41"/>
        <v>41.640186480597151</v>
      </c>
      <c r="CW57" s="22">
        <f t="shared" si="13"/>
        <v>357.35730278704</v>
      </c>
      <c r="CX57" s="62">
        <f t="shared" si="14"/>
        <v>650.69063612037326</v>
      </c>
      <c r="CY57" s="62">
        <f ca="1">AVERAGE(OFFSET($CX$3,0,0,'Données projet'!$E$13+1,1))-AVERAGE(OFFSET($H$3,0,0,'Données projet'!$E$13+1,1))</f>
        <v>335.83558218229564</v>
      </c>
      <c r="CZ57" s="62">
        <f t="shared" si="42"/>
        <v>217.08423061559648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4.2889483672028366</v>
      </c>
      <c r="DH57" s="23">
        <f>EXP(-LN(2)/2)*DH56+(1-EXP(-LN(2)/2))/(LN(2)/2)*DB57*DE57*VLOOKUP('Données projet'!$B$13,Paramètres!$A$1:$I$89,3,0)*0.475*44/12</f>
        <v>2.6986812605905653E-3</v>
      </c>
      <c r="DI57" s="24">
        <f t="shared" si="15"/>
        <v>4.2916470484634273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237</v>
      </c>
      <c r="L58" s="13">
        <f>VLOOKUP(A58,'Données projet'!$A$35:$I$55,9,0)</f>
        <v>7.8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237.00000000000006</v>
      </c>
      <c r="O58" s="14">
        <f>N58*VLOOKUP('Données projet'!$B$9,Paramètres!$A$1:$I$89,3,0)*VLOOKUP('Données projet'!$B$9,Paramètres!$A$1:$I$89,5,0)</f>
        <v>207.0432000000001</v>
      </c>
      <c r="P58" s="14">
        <f t="shared" si="33"/>
        <v>51.28891823180637</v>
      </c>
      <c r="Q58" s="22">
        <f t="shared" si="53"/>
        <v>449.92843925372966</v>
      </c>
      <c r="R58" s="62">
        <f t="shared" si="0"/>
        <v>743.26177258706298</v>
      </c>
      <c r="S58" s="62">
        <f ca="1">AVERAGE(OFFSET($R$3,0,0,'Données projet'!$E$9+1,1))-AVERAGE(OFFSET($H$3,0,0,'Données projet'!$E$9+1,1))</f>
        <v>321.62968871874483</v>
      </c>
      <c r="T58" s="62">
        <f t="shared" si="34"/>
        <v>389.91636841473559</v>
      </c>
      <c r="U58" s="16">
        <f>IF(ISNA(VLOOKUP(A58,'Données projet'!$A$35:$I$55,3,0)),0,VLOOKUP(A58,'Données projet'!$A$35:$I$55,3,0))</f>
        <v>9</v>
      </c>
      <c r="V58" s="16">
        <f>IF(ISNA(VLOOKUP(A58,'Données projet'!$A$35:$I$55,4,0)),0,VLOOKUP(A58,'Données projet'!$A$35:$I$55,4,0))</f>
        <v>29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12.790776591704009</v>
      </c>
      <c r="AB58" s="23">
        <f>EXP(-LN(2)/2)*AB57+(1-EXP(-LN(2)/2))/(LN(2)/2)*V58*Y58*VLOOKUP('Données projet'!$B$9,Paramètres!$A$1:$I$89,3,0)*0.475*44/12</f>
        <v>3.153411067832916E-3</v>
      </c>
      <c r="AC58" s="24">
        <f t="shared" si="3"/>
        <v>12.793930002771843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405.09126081846171</v>
      </c>
      <c r="AO58" s="62">
        <f t="shared" si="36"/>
        <v>534.22295841722166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16.068119253693137</v>
      </c>
      <c r="AV58" s="23">
        <f>EXP(-LN(2)/25)*AV57+(1-EXP(-LN(2)/25))/(LN(2)/25)*Calculateur!AQ58*Calculateur!AS58*VLOOKUP('Données projet'!$B$10,Paramètres!$A$1:$I$89,3,0)*0.475*44/12</f>
        <v>11.944248406845619</v>
      </c>
      <c r="AW58" s="23">
        <f>EXP(-LN(2)/2)*AW57+(1-EXP(-LN(2)/2))/(LN(2)/2)*AQ58*AT58*VLOOKUP('Données projet'!$B$10,Paramètres!$A$1:$I$89,3,0)*0.475*44/12</f>
        <v>2.0438327335665957E-3</v>
      </c>
      <c r="AX58" s="23">
        <f t="shared" si="6"/>
        <v>28.014411493272323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791.5593532499397</v>
      </c>
      <c r="BI58" s="62">
        <f ca="1">AVERAGE(OFFSET($BH$3,0,0,'Données projet'!$E$11+1,1))-AVERAGE(OFFSET($H$3,0,0,'Données projet'!$E$11+1,1))</f>
        <v>439.06700232017681</v>
      </c>
      <c r="BJ58" s="62">
        <f t="shared" si="38"/>
        <v>278.21741231699929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4.5652203248345193</v>
      </c>
      <c r="BR58" s="23">
        <f>EXP(-LN(2)/2)*BR57+(1-EXP(-LN(2)/2))/(LN(2)/2)*BL58*BO58*VLOOKUP('Données projet'!$B$11,Paramètres!$A$1:$I$89,3,0)*0.475*44/12</f>
        <v>2.5739264543774331E-3</v>
      </c>
      <c r="BS58" s="24">
        <f t="shared" si="9"/>
        <v>4.5677942512888965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245.6688</v>
      </c>
      <c r="CA58" s="14">
        <f t="shared" si="39"/>
        <v>59.657538312400263</v>
      </c>
      <c r="CB58" s="22">
        <f t="shared" si="10"/>
        <v>531.77670589409706</v>
      </c>
      <c r="CC58" s="62">
        <f t="shared" si="11"/>
        <v>825.11003922743043</v>
      </c>
      <c r="CD58" s="62">
        <f ca="1">AVERAGE(OFFSET($CC$3,0,0,'Données projet'!$E$12+1,1))-AVERAGE(OFFSET($H$3,0,0,'Données projet'!$E$12+1,1))</f>
        <v>466.4945858005575</v>
      </c>
      <c r="CE58" s="62">
        <f t="shared" si="40"/>
        <v>294.45557293177131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4.880063105857591</v>
      </c>
      <c r="CM58" s="23">
        <f>EXP(-LN(2)/2)*CM57+(1-EXP(-LN(2)/2))/(LN(2)/2)*CG58*CJ58*VLOOKUP('Données projet'!$B$12,Paramètres!$A$1:$I$89,3,0)*0.475*44/12</f>
        <v>2.7514386236448434E-3</v>
      </c>
      <c r="CN58" s="24">
        <f t="shared" si="12"/>
        <v>4.8828145444812359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170.38319999999999</v>
      </c>
      <c r="CV58" s="14">
        <f t="shared" si="41"/>
        <v>43.175836388122306</v>
      </c>
      <c r="CW58" s="22">
        <f t="shared" si="13"/>
        <v>371.94865504264635</v>
      </c>
      <c r="CX58" s="62">
        <f t="shared" si="14"/>
        <v>665.28198837597961</v>
      </c>
      <c r="CY58" s="62">
        <f ca="1">AVERAGE(OFFSET($CX$3,0,0,'Données projet'!$E$13+1,1))-AVERAGE(OFFSET($H$3,0,0,'Données projet'!$E$13+1,1))</f>
        <v>335.83558218229564</v>
      </c>
      <c r="CZ58" s="62">
        <f t="shared" si="42"/>
        <v>217.08423061559648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4.1716668485556827</v>
      </c>
      <c r="DH58" s="23">
        <f>EXP(-LN(2)/2)*DH57+(1-EXP(-LN(2)/2))/(LN(2)/2)*DB58*DE58*VLOOKUP('Données projet'!$B$13,Paramètres!$A$1:$I$89,3,0)*0.475*44/12</f>
        <v>1.9082558196246492E-3</v>
      </c>
      <c r="DI58" s="24">
        <f t="shared" si="15"/>
        <v>4.1735751043753071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6.8</v>
      </c>
      <c r="N59" s="14">
        <f>IF('Données projet'!$A$36&gt;35,N58+M59-V58,IF(A59&lt;'Données projet'!$A$36,$K$205^A59,IF(A59='Données projet'!$A$36,'Données projet'!$B$36,N58+M59-V58)))</f>
        <v>214.80000000000007</v>
      </c>
      <c r="O59" s="14">
        <f>N59*VLOOKUP('Données projet'!$B$9,Paramètres!$A$1:$I$89,3,0)*VLOOKUP('Données projet'!$B$9,Paramètres!$A$1:$I$89,5,0)</f>
        <v>187.64928000000009</v>
      </c>
      <c r="P59" s="14">
        <f t="shared" si="33"/>
        <v>47.019866076567546</v>
      </c>
      <c r="Q59" s="22">
        <f t="shared" si="53"/>
        <v>408.71542941668866</v>
      </c>
      <c r="R59" s="62">
        <f t="shared" si="0"/>
        <v>702.04876275002198</v>
      </c>
      <c r="S59" s="62">
        <f ca="1">AVERAGE(OFFSET($R$3,0,0,'Données projet'!$E$9+1,1))-AVERAGE(OFFSET($H$3,0,0,'Données projet'!$E$9+1,1))</f>
        <v>321.62968871874483</v>
      </c>
      <c r="T59" s="62">
        <f t="shared" si="34"/>
        <v>389.91636841473559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12.441012133166156</v>
      </c>
      <c r="AB59" s="23">
        <f>EXP(-LN(2)/2)*AB58+(1-EXP(-LN(2)/2))/(LN(2)/2)*V59*Y59*VLOOKUP('Données projet'!$B$9,Paramètres!$A$1:$I$89,3,0)*0.475*44/12</f>
        <v>2.2297983499333669E-3</v>
      </c>
      <c r="AC59" s="24">
        <f t="shared" si="3"/>
        <v>12.44324193151609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405.09126081846171</v>
      </c>
      <c r="AO59" s="62">
        <f t="shared" si="36"/>
        <v>534.22295841722166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15.753033235713232</v>
      </c>
      <c r="AV59" s="23">
        <f>EXP(-LN(2)/25)*AV58+(1-EXP(-LN(2)/25))/(LN(2)/25)*Calculateur!AQ59*Calculateur!AS59*VLOOKUP('Données projet'!$B$10,Paramètres!$A$1:$I$89,3,0)*0.475*44/12</f>
        <v>11.617632306039701</v>
      </c>
      <c r="AW59" s="23">
        <f>EXP(-LN(2)/2)*AW58+(1-EXP(-LN(2)/2))/(LN(2)/2)*AQ59*AT59*VLOOKUP('Données projet'!$B$10,Paramètres!$A$1:$I$89,3,0)*0.475*44/12</f>
        <v>1.4452079855159781E-3</v>
      </c>
      <c r="AX59" s="23">
        <f t="shared" si="6"/>
        <v>27.37211074973845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755.88227529661003</v>
      </c>
      <c r="BI59" s="62">
        <f ca="1">AVERAGE(OFFSET($BH$3,0,0,'Données projet'!$E$11+1,1))-AVERAGE(OFFSET($H$3,0,0,'Données projet'!$E$11+1,1))</f>
        <v>439.06700232017681</v>
      </c>
      <c r="BJ59" s="62">
        <f t="shared" si="38"/>
        <v>278.21741231699929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4.4403841349774167</v>
      </c>
      <c r="BR59" s="23">
        <f>EXP(-LN(2)/2)*BR58+(1-EXP(-LN(2)/2))/(LN(2)/2)*BL59*BO59*VLOOKUP('Données projet'!$B$11,Paramètres!$A$1:$I$89,3,0)*0.475*44/12</f>
        <v>1.8200408501657297E-3</v>
      </c>
      <c r="BS59" s="24">
        <f t="shared" si="9"/>
        <v>4.4422041758275821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227.67887999999996</v>
      </c>
      <c r="CA59" s="14">
        <f t="shared" si="39"/>
        <v>55.780505229774469</v>
      </c>
      <c r="CB59" s="22">
        <f t="shared" si="10"/>
        <v>493.69176260852379</v>
      </c>
      <c r="CC59" s="62">
        <f t="shared" si="11"/>
        <v>787.0250959418571</v>
      </c>
      <c r="CD59" s="62">
        <f ca="1">AVERAGE(OFFSET($CC$3,0,0,'Données projet'!$E$12+1,1))-AVERAGE(OFFSET($H$3,0,0,'Données projet'!$E$12+1,1))</f>
        <v>466.4945858005575</v>
      </c>
      <c r="CE59" s="62">
        <f t="shared" si="40"/>
        <v>294.45557293177131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4.7466175235965498</v>
      </c>
      <c r="CM59" s="23">
        <f>EXP(-LN(2)/2)*CM58+(1-EXP(-LN(2)/2))/(LN(2)/2)*CG59*CJ59*VLOOKUP('Données projet'!$B$12,Paramètres!$A$1:$I$89,3,0)*0.475*44/12</f>
        <v>1.9455609087978499E-3</v>
      </c>
      <c r="CN59" s="24">
        <f t="shared" si="12"/>
        <v>4.7485630845053475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157.90631999999999</v>
      </c>
      <c r="CV59" s="14">
        <f t="shared" si="41"/>
        <v>40.369918631841159</v>
      </c>
      <c r="CW59" s="22">
        <f t="shared" si="13"/>
        <v>345.33111561712332</v>
      </c>
      <c r="CX59" s="62">
        <f t="shared" si="14"/>
        <v>638.66444895045663</v>
      </c>
      <c r="CY59" s="62">
        <f ca="1">AVERAGE(OFFSET($CX$3,0,0,'Données projet'!$E$13+1,1))-AVERAGE(OFFSET($H$3,0,0,'Données projet'!$E$13+1,1))</f>
        <v>335.83558218229564</v>
      </c>
      <c r="CZ59" s="62">
        <f t="shared" si="42"/>
        <v>217.08423061559648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4.0575923992035028</v>
      </c>
      <c r="DH59" s="23">
        <f>EXP(-LN(2)/2)*DH58+(1-EXP(-LN(2)/2))/(LN(2)/2)*DB59*DE59*VLOOKUP('Données projet'!$B$13,Paramètres!$A$1:$I$89,3,0)*0.475*44/12</f>
        <v>1.3493406302952829E-3</v>
      </c>
      <c r="DI59" s="24">
        <f t="shared" si="15"/>
        <v>4.0589417398337977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6.8</v>
      </c>
      <c r="N60" s="14">
        <f>IF('Données projet'!$A$36&gt;35,N59+M60-V59,IF(A60&lt;'Données projet'!$A$36,$K$205^A60,IF(A60='Données projet'!$A$36,'Données projet'!$B$36,N59+M60-V59)))</f>
        <v>221.60000000000008</v>
      </c>
      <c r="O60" s="14">
        <f>N60*VLOOKUP('Données projet'!$B$9,Paramètres!$A$1:$I$89,3,0)*VLOOKUP('Données projet'!$B$9,Paramètres!$A$1:$I$89,5,0)</f>
        <v>193.5897600000001</v>
      </c>
      <c r="P60" s="14">
        <f t="shared" si="33"/>
        <v>48.332731202087089</v>
      </c>
      <c r="Q60" s="22">
        <f t="shared" si="53"/>
        <v>421.34833884363525</v>
      </c>
      <c r="R60" s="62">
        <f t="shared" si="0"/>
        <v>714.6816721769685</v>
      </c>
      <c r="S60" s="62">
        <f ca="1">AVERAGE(OFFSET($R$3,0,0,'Données projet'!$E$9+1,1))-AVERAGE(OFFSET($H$3,0,0,'Données projet'!$E$9+1,1))</f>
        <v>321.62968871874483</v>
      </c>
      <c r="T60" s="62">
        <f t="shared" si="34"/>
        <v>389.91636841473559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12.100812002140334</v>
      </c>
      <c r="AB60" s="23">
        <f>EXP(-LN(2)/2)*AB59+(1-EXP(-LN(2)/2))/(LN(2)/2)*V60*Y60*VLOOKUP('Données projet'!$B$9,Paramètres!$A$1:$I$89,3,0)*0.475*44/12</f>
        <v>1.576705533916458E-3</v>
      </c>
      <c r="AC60" s="24">
        <f t="shared" si="3"/>
        <v>12.102388707674249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405.09126081846171</v>
      </c>
      <c r="AO60" s="62">
        <f t="shared" si="36"/>
        <v>534.22295841722166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15.444125862362419</v>
      </c>
      <c r="AV60" s="23">
        <f>EXP(-LN(2)/25)*AV59+(1-EXP(-LN(2)/25))/(LN(2)/25)*Calculateur!AQ60*Calculateur!AS60*VLOOKUP('Données projet'!$B$10,Paramètres!$A$1:$I$89,3,0)*0.475*44/12</f>
        <v>11.299947539686315</v>
      </c>
      <c r="AW60" s="23">
        <f>EXP(-LN(2)/2)*AW59+(1-EXP(-LN(2)/2))/(LN(2)/2)*AQ60*AT60*VLOOKUP('Données projet'!$B$10,Paramètres!$A$1:$I$89,3,0)*0.475*44/12</f>
        <v>1.0219163667832978E-3</v>
      </c>
      <c r="AX60" s="23">
        <f t="shared" si="6"/>
        <v>26.745095318415519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773.91966709175358</v>
      </c>
      <c r="BI60" s="62">
        <f ca="1">AVERAGE(OFFSET($BH$3,0,0,'Données projet'!$E$11+1,1))-AVERAGE(OFFSET($H$3,0,0,'Données projet'!$E$11+1,1))</f>
        <v>439.06700232017681</v>
      </c>
      <c r="BJ60" s="62">
        <f t="shared" si="38"/>
        <v>278.21741231699929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4.3189615972968065</v>
      </c>
      <c r="BR60" s="23">
        <f>EXP(-LN(2)/2)*BR59+(1-EXP(-LN(2)/2))/(LN(2)/2)*BL60*BO60*VLOOKUP('Données projet'!$B$11,Paramètres!$A$1:$I$89,3,0)*0.475*44/12</f>
        <v>1.2869632271887165E-3</v>
      </c>
      <c r="BS60" s="24">
        <f t="shared" si="9"/>
        <v>4.3202485605239955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236.77055999999999</v>
      </c>
      <c r="CA60" s="14">
        <f t="shared" si="39"/>
        <v>57.744153841586929</v>
      </c>
      <c r="CB60" s="22">
        <f t="shared" si="10"/>
        <v>512.94645994076382</v>
      </c>
      <c r="CC60" s="62">
        <f t="shared" si="11"/>
        <v>806.27979327409707</v>
      </c>
      <c r="CD60" s="62">
        <f ca="1">AVERAGE(OFFSET($CC$3,0,0,'Données projet'!$E$12+1,1))-AVERAGE(OFFSET($H$3,0,0,'Données projet'!$E$12+1,1))</f>
        <v>466.4945858005575</v>
      </c>
      <c r="CE60" s="62">
        <f t="shared" si="40"/>
        <v>294.45557293177131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4.6168210178000351</v>
      </c>
      <c r="CM60" s="23">
        <f>EXP(-LN(2)/2)*CM59+(1-EXP(-LN(2)/2))/(LN(2)/2)*CG60*CJ60*VLOOKUP('Données projet'!$B$12,Paramètres!$A$1:$I$89,3,0)*0.475*44/12</f>
        <v>1.3757193118224219E-3</v>
      </c>
      <c r="CN60" s="24">
        <f t="shared" si="12"/>
        <v>4.6181967371118571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164.21184</v>
      </c>
      <c r="CV60" s="14">
        <f t="shared" si="41"/>
        <v>41.79106629541738</v>
      </c>
      <c r="CW60" s="22">
        <f t="shared" si="13"/>
        <v>358.78839513118527</v>
      </c>
      <c r="CX60" s="62">
        <f t="shared" si="14"/>
        <v>652.12172846451858</v>
      </c>
      <c r="CY60" s="62">
        <f ca="1">AVERAGE(OFFSET($CX$3,0,0,'Données projet'!$E$13+1,1))-AVERAGE(OFFSET($H$3,0,0,'Données projet'!$E$13+1,1))</f>
        <v>335.83558218229564</v>
      </c>
      <c r="CZ60" s="62">
        <f t="shared" si="42"/>
        <v>217.08423061559648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3.9466373216677724</v>
      </c>
      <c r="DH60" s="23">
        <f>EXP(-LN(2)/2)*DH59+(1-EXP(-LN(2)/2))/(LN(2)/2)*DB60*DE60*VLOOKUP('Données projet'!$B$13,Paramètres!$A$1:$I$89,3,0)*0.475*44/12</f>
        <v>9.541279098123248E-4</v>
      </c>
      <c r="DI60" s="24">
        <f t="shared" si="15"/>
        <v>3.9475914495775846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6.8</v>
      </c>
      <c r="N61" s="14">
        <f>IF('Données projet'!$A$36&gt;35,N60+M61-V60,IF(A61&lt;'Données projet'!$A$36,$K$205^A61,IF(A61='Données projet'!$A$36,'Données projet'!$B$36,N60+M61-V60)))</f>
        <v>228.40000000000009</v>
      </c>
      <c r="O61" s="14">
        <f>N61*VLOOKUP('Données projet'!$B$9,Paramètres!$A$1:$I$89,3,0)*VLOOKUP('Données projet'!$B$9,Paramètres!$A$1:$I$89,5,0)</f>
        <v>199.53024000000011</v>
      </c>
      <c r="P61" s="14">
        <f t="shared" si="33"/>
        <v>49.640914570461312</v>
      </c>
      <c r="Q61" s="22">
        <f t="shared" si="53"/>
        <v>433.97309421022027</v>
      </c>
      <c r="R61" s="62">
        <f t="shared" si="0"/>
        <v>727.30642754355358</v>
      </c>
      <c r="S61" s="62">
        <f ca="1">AVERAGE(OFFSET($R$3,0,0,'Données projet'!$E$9+1,1))-AVERAGE(OFFSET($H$3,0,0,'Données projet'!$E$9+1,1))</f>
        <v>321.62968871874483</v>
      </c>
      <c r="T61" s="62">
        <f t="shared" si="34"/>
        <v>389.91636841473559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11.769914661587761</v>
      </c>
      <c r="AB61" s="23">
        <f>EXP(-LN(2)/2)*AB60+(1-EXP(-LN(2)/2))/(LN(2)/2)*V61*Y61*VLOOKUP('Données projet'!$B$9,Paramètres!$A$1:$I$89,3,0)*0.475*44/12</f>
        <v>1.1148991749666834E-3</v>
      </c>
      <c r="AC61" s="24">
        <f t="shared" si="3"/>
        <v>11.771029560762727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405.09126081846171</v>
      </c>
      <c r="AO61" s="62">
        <f t="shared" si="36"/>
        <v>534.22295841722166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15.141275974188122</v>
      </c>
      <c r="AV61" s="23">
        <f>EXP(-LN(2)/25)*AV60+(1-EXP(-LN(2)/25))/(LN(2)/25)*Calculateur!AQ61*Calculateur!AS61*VLOOKUP('Données projet'!$B$10,Paramètres!$A$1:$I$89,3,0)*0.475*44/12</f>
        <v>10.990949879975178</v>
      </c>
      <c r="AW61" s="23">
        <f>EXP(-LN(2)/2)*AW60+(1-EXP(-LN(2)/2))/(LN(2)/2)*AQ61*AT61*VLOOKUP('Données projet'!$B$10,Paramètres!$A$1:$I$89,3,0)*0.475*44/12</f>
        <v>7.2260399275798904E-4</v>
      </c>
      <c r="AX61" s="23">
        <f t="shared" si="6"/>
        <v>26.132948458156061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791.94267592098333</v>
      </c>
      <c r="BI61" s="62">
        <f ca="1">AVERAGE(OFFSET($BH$3,0,0,'Données projet'!$E$11+1,1))-AVERAGE(OFFSET($H$3,0,0,'Données projet'!$E$11+1,1))</f>
        <v>439.06700232017681</v>
      </c>
      <c r="BJ61" s="62">
        <f t="shared" si="38"/>
        <v>278.21741231699929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4.2008593652944057</v>
      </c>
      <c r="BR61" s="23">
        <f>EXP(-LN(2)/2)*BR60+(1-EXP(-LN(2)/2))/(LN(2)/2)*BL61*BO61*VLOOKUP('Données projet'!$B$11,Paramètres!$A$1:$I$89,3,0)*0.475*44/12</f>
        <v>9.1002042508286484E-4</v>
      </c>
      <c r="BS61" s="24">
        <f t="shared" si="9"/>
        <v>4.2017693857194889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245.86223999999999</v>
      </c>
      <c r="CA61" s="14">
        <f t="shared" si="39"/>
        <v>59.699043025687963</v>
      </c>
      <c r="CB61" s="22">
        <f t="shared" si="10"/>
        <v>532.18590126973982</v>
      </c>
      <c r="CC61" s="62">
        <f t="shared" si="11"/>
        <v>825.51923460307307</v>
      </c>
      <c r="CD61" s="62">
        <f ca="1">AVERAGE(OFFSET($CC$3,0,0,'Données projet'!$E$12+1,1))-AVERAGE(OFFSET($H$3,0,0,'Données projet'!$E$12+1,1))</f>
        <v>466.4945858005575</v>
      </c>
      <c r="CE61" s="62">
        <f t="shared" si="40"/>
        <v>294.45557293177131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4.4905738042802277</v>
      </c>
      <c r="CM61" s="23">
        <f>EXP(-LN(2)/2)*CM60+(1-EXP(-LN(2)/2))/(LN(2)/2)*CG61*CJ61*VLOOKUP('Données projet'!$B$12,Paramètres!$A$1:$I$89,3,0)*0.475*44/12</f>
        <v>9.7278045439892508E-4</v>
      </c>
      <c r="CN61" s="24">
        <f t="shared" si="12"/>
        <v>4.4915465847346265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170.51736</v>
      </c>
      <c r="CV61" s="14">
        <f t="shared" si="41"/>
        <v>43.205874515087281</v>
      </c>
      <c r="CW61" s="22">
        <f t="shared" si="13"/>
        <v>372.23463344711035</v>
      </c>
      <c r="CX61" s="62">
        <f t="shared" si="14"/>
        <v>665.56796678044361</v>
      </c>
      <c r="CY61" s="62">
        <f ca="1">AVERAGE(OFFSET($CX$3,0,0,'Données projet'!$E$13+1,1))-AVERAGE(OFFSET($H$3,0,0,'Données projet'!$E$13+1,1))</f>
        <v>335.83558218229564</v>
      </c>
      <c r="CZ61" s="62">
        <f t="shared" si="42"/>
        <v>217.08423061559648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3.8387163165621305</v>
      </c>
      <c r="DH61" s="23">
        <f>EXP(-LN(2)/2)*DH60+(1-EXP(-LN(2)/2))/(LN(2)/2)*DB61*DE61*VLOOKUP('Données projet'!$B$13,Paramètres!$A$1:$I$89,3,0)*0.475*44/12</f>
        <v>6.7467031514764153E-4</v>
      </c>
      <c r="DI61" s="24">
        <f t="shared" si="15"/>
        <v>3.839390986877278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6.8</v>
      </c>
      <c r="N62" s="14">
        <f>IF('Données projet'!$A$36&gt;35,N61+M62-V61,IF(A62&lt;'Données projet'!$A$36,$K$205^A62,IF(A62='Données projet'!$A$36,'Données projet'!$B$36,N61+M62-V61)))</f>
        <v>235.2000000000001</v>
      </c>
      <c r="O62" s="14">
        <f>N62*VLOOKUP('Données projet'!$B$9,Paramètres!$A$1:$I$89,3,0)*VLOOKUP('Données projet'!$B$9,Paramètres!$A$1:$I$89,5,0)</f>
        <v>205.47072000000011</v>
      </c>
      <c r="P62" s="14">
        <f t="shared" si="33"/>
        <v>50.944571570352757</v>
      </c>
      <c r="Q62" s="22">
        <f t="shared" si="53"/>
        <v>446.58996615169781</v>
      </c>
      <c r="R62" s="62">
        <f t="shared" si="0"/>
        <v>739.92329948503107</v>
      </c>
      <c r="S62" s="62">
        <f ca="1">AVERAGE(OFFSET($R$3,0,0,'Données projet'!$E$9+1,1))-AVERAGE(OFFSET($H$3,0,0,'Données projet'!$E$9+1,1))</f>
        <v>321.62968871874483</v>
      </c>
      <c r="T62" s="62">
        <f t="shared" si="34"/>
        <v>389.91636841473559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11.448065726213732</v>
      </c>
      <c r="AB62" s="23">
        <f>EXP(-LN(2)/2)*AB61+(1-EXP(-LN(2)/2))/(LN(2)/2)*V62*Y62*VLOOKUP('Données projet'!$B$9,Paramètres!$A$1:$I$89,3,0)*0.475*44/12</f>
        <v>7.88352766958229E-4</v>
      </c>
      <c r="AC62" s="24">
        <f t="shared" si="3"/>
        <v>11.448854078980691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405.09126081846171</v>
      </c>
      <c r="AO62" s="62">
        <f t="shared" si="36"/>
        <v>534.22295841722166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14.84436478760073</v>
      </c>
      <c r="AV62" s="23">
        <f>EXP(-LN(2)/25)*AV61+(1-EXP(-LN(2)/25))/(LN(2)/25)*Calculateur!AQ62*Calculateur!AS62*VLOOKUP('Données projet'!$B$10,Paramètres!$A$1:$I$89,3,0)*0.475*44/12</f>
        <v>10.690401777518323</v>
      </c>
      <c r="AW62" s="23">
        <f>EXP(-LN(2)/2)*AW61+(1-EXP(-LN(2)/2))/(LN(2)/2)*AQ62*AT62*VLOOKUP('Données projet'!$B$10,Paramètres!$A$1:$I$89,3,0)*0.475*44/12</f>
        <v>5.1095818339164892E-4</v>
      </c>
      <c r="AX62" s="23">
        <f t="shared" si="6"/>
        <v>25.535277523302444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809.95189455631794</v>
      </c>
      <c r="BI62" s="62">
        <f ca="1">AVERAGE(OFFSET($BH$3,0,0,'Données projet'!$E$11+1,1))-AVERAGE(OFFSET($H$3,0,0,'Données projet'!$E$11+1,1))</f>
        <v>439.06700232017681</v>
      </c>
      <c r="BJ62" s="62">
        <f t="shared" si="38"/>
        <v>278.21741231699929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4.0859866450368374</v>
      </c>
      <c r="BR62" s="23">
        <f>EXP(-LN(2)/2)*BR61+(1-EXP(-LN(2)/2))/(LN(2)/2)*BL62*BO62*VLOOKUP('Données projet'!$B$11,Paramètres!$A$1:$I$89,3,0)*0.475*44/12</f>
        <v>6.4348161359435827E-4</v>
      </c>
      <c r="BS62" s="24">
        <f t="shared" si="9"/>
        <v>4.0866301266504319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254.95391999999998</v>
      </c>
      <c r="CA62" s="14">
        <f t="shared" si="39"/>
        <v>61.645533788540583</v>
      </c>
      <c r="CB62" s="22">
        <f t="shared" si="10"/>
        <v>551.41071534837477</v>
      </c>
      <c r="CC62" s="62">
        <f t="shared" si="11"/>
        <v>844.74404868170814</v>
      </c>
      <c r="CD62" s="62">
        <f ca="1">AVERAGE(OFFSET($CC$3,0,0,'Données projet'!$E$12+1,1))-AVERAGE(OFFSET($H$3,0,0,'Données projet'!$E$12+1,1))</f>
        <v>466.4945858005575</v>
      </c>
      <c r="CE62" s="62">
        <f t="shared" si="40"/>
        <v>294.45557293177131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4.3677788274531721</v>
      </c>
      <c r="CM62" s="23">
        <f>EXP(-LN(2)/2)*CM61+(1-EXP(-LN(2)/2))/(LN(2)/2)*CG62*CJ62*VLOOKUP('Données projet'!$B$12,Paramètres!$A$1:$I$89,3,0)*0.475*44/12</f>
        <v>6.8785965591121106E-4</v>
      </c>
      <c r="CN62" s="24">
        <f t="shared" si="12"/>
        <v>4.3684666871090831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176.82287999999997</v>
      </c>
      <c r="CV62" s="14">
        <f t="shared" si="41"/>
        <v>44.614604561369582</v>
      </c>
      <c r="CW62" s="22">
        <f t="shared" si="13"/>
        <v>385.67028561105195</v>
      </c>
      <c r="CX62" s="62">
        <f t="shared" si="14"/>
        <v>679.00361894438527</v>
      </c>
      <c r="CY62" s="62">
        <f ca="1">AVERAGE(OFFSET($CX$3,0,0,'Données projet'!$E$13+1,1))-AVERAGE(OFFSET($H$3,0,0,'Données projet'!$E$13+1,1))</f>
        <v>335.83558218229564</v>
      </c>
      <c r="CZ62" s="62">
        <f t="shared" si="42"/>
        <v>217.08423061559648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3.7337464170164214</v>
      </c>
      <c r="DH62" s="23">
        <f>EXP(-LN(2)/2)*DH61+(1-EXP(-LN(2)/2))/(LN(2)/2)*DB62*DE62*VLOOKUP('Données projet'!$B$13,Paramètres!$A$1:$I$89,3,0)*0.475*44/12</f>
        <v>4.7706395490616245E-4</v>
      </c>
      <c r="DI62" s="24">
        <f t="shared" si="15"/>
        <v>3.7342234809713277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242</v>
      </c>
      <c r="L63" s="13">
        <f>VLOOKUP(A63,'Données projet'!$A$35:$I$55,9,0)</f>
        <v>6.8</v>
      </c>
      <c r="M63" s="13">
        <f t="array" ref="M63">INDEX(L:L,MIN(IF(ISNUMBER(L63:L259),ROW(L63:L259),"")))</f>
        <v>6.8</v>
      </c>
      <c r="N63" s="14">
        <f>IF('Données projet'!$A$36&gt;35,N62+M63-V62,IF(A63&lt;'Données projet'!$A$36,$K$205^A63,IF(A63='Données projet'!$A$36,'Données projet'!$B$36,N62+M63-V62)))</f>
        <v>242.00000000000011</v>
      </c>
      <c r="O63" s="14">
        <f>N63*VLOOKUP('Données projet'!$B$9,Paramètres!$A$1:$I$89,3,0)*VLOOKUP('Données projet'!$B$9,Paramètres!$A$1:$I$89,5,0)</f>
        <v>211.41120000000012</v>
      </c>
      <c r="P63" s="14">
        <f t="shared" si="33"/>
        <v>52.243848094411206</v>
      </c>
      <c r="Q63" s="22">
        <f t="shared" si="53"/>
        <v>459.19920876443302</v>
      </c>
      <c r="R63" s="62">
        <f t="shared" si="0"/>
        <v>752.53254209776628</v>
      </c>
      <c r="S63" s="62">
        <f ca="1">AVERAGE(OFFSET($R$3,0,0,'Données projet'!$E$9+1,1))-AVERAGE(OFFSET($H$3,0,0,'Données projet'!$E$9+1,1))</f>
        <v>321.62968871874483</v>
      </c>
      <c r="T63" s="62">
        <f t="shared" si="34"/>
        <v>389.91636841473559</v>
      </c>
      <c r="U63" s="16">
        <f>IF(ISNA(VLOOKUP(A63,'Données projet'!$A$35:$I$55,3,0)),0,VLOOKUP(A63,'Données projet'!$A$35:$I$55,3,0))</f>
        <v>10</v>
      </c>
      <c r="V63" s="16">
        <f>IF(ISNA(VLOOKUP(A63,'Données projet'!$A$35:$I$55,4,0)),0,VLOOKUP(A63,'Données projet'!$A$35:$I$55,4,0))</f>
        <v>26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11.135017766902806</v>
      </c>
      <c r="AB63" s="23">
        <f>EXP(-LN(2)/2)*AB62+(1-EXP(-LN(2)/2))/(LN(2)/2)*V63*Y63*VLOOKUP('Données projet'!$B$9,Paramètres!$A$1:$I$89,3,0)*0.475*44/12</f>
        <v>5.5744958748334171E-4</v>
      </c>
      <c r="AC63" s="24">
        <f t="shared" si="3"/>
        <v>11.135575216490288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405.09126081846171</v>
      </c>
      <c r="AO63" s="62">
        <f t="shared" si="36"/>
        <v>534.22295841722166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14.553275848284375</v>
      </c>
      <c r="AV63" s="23">
        <f>EXP(-LN(2)/25)*AV62+(1-EXP(-LN(2)/25))/(LN(2)/25)*Calculateur!AQ63*Calculateur!AS63*VLOOKUP('Données projet'!$B$10,Paramètres!$A$1:$I$89,3,0)*0.475*44/12</f>
        <v>10.398072178728288</v>
      </c>
      <c r="AW63" s="23">
        <f>EXP(-LN(2)/2)*AW62+(1-EXP(-LN(2)/2))/(LN(2)/2)*AQ63*AT63*VLOOKUP('Données projet'!$B$10,Paramètres!$A$1:$I$89,3,0)*0.475*44/12</f>
        <v>3.6130199637899452E-4</v>
      </c>
      <c r="AX63" s="23">
        <f t="shared" si="6"/>
        <v>24.951709329009041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827.94787109652862</v>
      </c>
      <c r="BI63" s="62">
        <f ca="1">AVERAGE(OFFSET($BH$3,0,0,'Données projet'!$E$11+1,1))-AVERAGE(OFFSET($H$3,0,0,'Données projet'!$E$11+1,1))</f>
        <v>439.06700232017681</v>
      </c>
      <c r="BJ63" s="62">
        <f t="shared" si="38"/>
        <v>278.21741231699929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3.9742551253556062</v>
      </c>
      <c r="BR63" s="23">
        <f>EXP(-LN(2)/2)*BR62+(1-EXP(-LN(2)/2))/(LN(2)/2)*BL63*BO63*VLOOKUP('Données projet'!$B$11,Paramètres!$A$1:$I$89,3,0)*0.475*44/12</f>
        <v>4.5501021254143242E-4</v>
      </c>
      <c r="BS63" s="24">
        <f t="shared" si="9"/>
        <v>3.9747101355681478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264.04559999999992</v>
      </c>
      <c r="CA63" s="14">
        <f t="shared" si="39"/>
        <v>63.58395992997368</v>
      </c>
      <c r="CB63" s="22">
        <f t="shared" si="10"/>
        <v>570.62148354470401</v>
      </c>
      <c r="CC63" s="62">
        <f t="shared" si="11"/>
        <v>863.95481687803726</v>
      </c>
      <c r="CD63" s="62">
        <f ca="1">AVERAGE(OFFSET($CC$3,0,0,'Données projet'!$E$12+1,1))-AVERAGE(OFFSET($H$3,0,0,'Données projet'!$E$12+1,1))</f>
        <v>466.4945858005575</v>
      </c>
      <c r="CE63" s="62">
        <f t="shared" si="40"/>
        <v>294.45557293177131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4.2483416857249594</v>
      </c>
      <c r="CM63" s="23">
        <f>EXP(-LN(2)/2)*CM62+(1-EXP(-LN(2)/2))/(LN(2)/2)*CG63*CJ63*VLOOKUP('Données projet'!$B$12,Paramètres!$A$1:$I$89,3,0)*0.475*44/12</f>
        <v>4.8639022719946265E-4</v>
      </c>
      <c r="CN63" s="24">
        <f t="shared" si="12"/>
        <v>4.2488280759521588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183.12839999999997</v>
      </c>
      <c r="CV63" s="14">
        <f t="shared" si="41"/>
        <v>46.017498014577676</v>
      </c>
      <c r="CW63" s="22">
        <f t="shared" si="13"/>
        <v>399.09577237538934</v>
      </c>
      <c r="CX63" s="62">
        <f t="shared" si="14"/>
        <v>692.42910570872266</v>
      </c>
      <c r="CY63" s="62">
        <f ca="1">AVERAGE(OFFSET($CX$3,0,0,'Données projet'!$E$13+1,1))-AVERAGE(OFFSET($H$3,0,0,'Données projet'!$E$13+1,1))</f>
        <v>335.83558218229564</v>
      </c>
      <c r="CZ63" s="62">
        <f t="shared" si="42"/>
        <v>217.08423061559648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3.6316469248939169</v>
      </c>
      <c r="DH63" s="23">
        <f>EXP(-LN(2)/2)*DH62+(1-EXP(-LN(2)/2))/(LN(2)/2)*DB63*DE63*VLOOKUP('Données projet'!$B$13,Paramètres!$A$1:$I$89,3,0)*0.475*44/12</f>
        <v>3.3733515757382082E-4</v>
      </c>
      <c r="DI63" s="24">
        <f t="shared" si="15"/>
        <v>3.6319842600514907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</v>
      </c>
      <c r="N64" s="14">
        <f>IF('Données projet'!$A$36&gt;35,N63+M64-V63,IF(A64&lt;'Données projet'!$A$36,$K$205^A64,IF(A64='Données projet'!$A$36,'Données projet'!$B$36,N63+M64-V63)))</f>
        <v>222.00000000000011</v>
      </c>
      <c r="O64" s="14">
        <f>N64*VLOOKUP('Données projet'!$B$9,Paramètres!$A$1:$I$89,3,0)*VLOOKUP('Données projet'!$B$9,Paramètres!$A$1:$I$89,5,0)</f>
        <v>193.93920000000014</v>
      </c>
      <c r="P64" s="14">
        <f t="shared" si="33"/>
        <v>48.409811198069384</v>
      </c>
      <c r="Q64" s="22">
        <f t="shared" si="53"/>
        <v>422.09119450330439</v>
      </c>
      <c r="R64" s="62">
        <f t="shared" si="0"/>
        <v>715.42452783663771</v>
      </c>
      <c r="S64" s="62">
        <f ca="1">AVERAGE(OFFSET($R$3,0,0,'Données projet'!$E$9+1,1))-AVERAGE(OFFSET($H$3,0,0,'Données projet'!$E$9+1,1))</f>
        <v>321.62968871874483</v>
      </c>
      <c r="T64" s="62">
        <f t="shared" si="34"/>
        <v>389.91636841473559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10.830530120501713</v>
      </c>
      <c r="AB64" s="23">
        <f>EXP(-LN(2)/2)*AB63+(1-EXP(-LN(2)/2))/(LN(2)/2)*V64*Y64*VLOOKUP('Données projet'!$B$9,Paramètres!$A$1:$I$89,3,0)*0.475*44/12</f>
        <v>3.941763834791145E-4</v>
      </c>
      <c r="AC64" s="24">
        <f t="shared" si="3"/>
        <v>10.830924296885192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405.09126081846171</v>
      </c>
      <c r="AO64" s="62">
        <f t="shared" si="36"/>
        <v>534.22295841722166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14.267894985521293</v>
      </c>
      <c r="AV64" s="23">
        <f>EXP(-LN(2)/25)*AV63+(1-EXP(-LN(2)/25))/(LN(2)/25)*Calculateur!AQ64*Calculateur!AS64*VLOOKUP('Données projet'!$B$10,Paramètres!$A$1:$I$89,3,0)*0.475*44/12</f>
        <v>10.113736348190113</v>
      </c>
      <c r="AW64" s="23">
        <f>EXP(-LN(2)/2)*AW63+(1-EXP(-LN(2)/2))/(LN(2)/2)*AQ64*AT64*VLOOKUP('Données projet'!$B$10,Paramètres!$A$1:$I$89,3,0)*0.475*44/12</f>
        <v>2.5547909169582446E-4</v>
      </c>
      <c r="AX64" s="23">
        <f t="shared" si="6"/>
        <v>24.381886812803099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791.17602433235857</v>
      </c>
      <c r="BI64" s="62">
        <f ca="1">AVERAGE(OFFSET($BH$3,0,0,'Données projet'!$E$11+1,1))-AVERAGE(OFFSET($H$3,0,0,'Données projet'!$E$11+1,1))</f>
        <v>439.06700232017681</v>
      </c>
      <c r="BJ64" s="62">
        <f t="shared" si="38"/>
        <v>278.21741231699929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3.8655789099557634</v>
      </c>
      <c r="BR64" s="23">
        <f>EXP(-LN(2)/2)*BR63+(1-EXP(-LN(2)/2))/(LN(2)/2)*BL64*BO64*VLOOKUP('Données projet'!$B$11,Paramètres!$A$1:$I$89,3,0)*0.475*44/12</f>
        <v>3.2174080679717913E-4</v>
      </c>
      <c r="BS64" s="24">
        <f t="shared" si="9"/>
        <v>3.8659006507625606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245.47535999999997</v>
      </c>
      <c r="CA64" s="14">
        <f t="shared" si="39"/>
        <v>59.616029794883758</v>
      </c>
      <c r="CB64" s="22">
        <f t="shared" si="10"/>
        <v>531.36750389275585</v>
      </c>
      <c r="CC64" s="62">
        <f t="shared" si="11"/>
        <v>824.70083722608911</v>
      </c>
      <c r="CD64" s="62">
        <f ca="1">AVERAGE(OFFSET($CC$3,0,0,'Données projet'!$E$12+1,1))-AVERAGE(OFFSET($H$3,0,0,'Données projet'!$E$12+1,1))</f>
        <v>466.4945858005575</v>
      </c>
      <c r="CE64" s="62">
        <f t="shared" si="40"/>
        <v>294.45557293177131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4.1321705589182312</v>
      </c>
      <c r="CM64" s="23">
        <f>EXP(-LN(2)/2)*CM63+(1-EXP(-LN(2)/2))/(LN(2)/2)*CG64*CJ64*VLOOKUP('Données projet'!$B$12,Paramètres!$A$1:$I$89,3,0)*0.475*44/12</f>
        <v>3.4392982795560559E-4</v>
      </c>
      <c r="CN64" s="24">
        <f t="shared" si="12"/>
        <v>4.1325144887461871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170.24903999999995</v>
      </c>
      <c r="CV64" s="14">
        <f t="shared" si="41"/>
        <v>43.145795507930075</v>
      </c>
      <c r="CW64" s="22">
        <f t="shared" si="13"/>
        <v>371.66267184297811</v>
      </c>
      <c r="CX64" s="62">
        <f t="shared" si="14"/>
        <v>664.99600517631143</v>
      </c>
      <c r="CY64" s="62">
        <f ca="1">AVERAGE(OFFSET($CX$3,0,0,'Données projet'!$E$13+1,1))-AVERAGE(OFFSET($H$3,0,0,'Données projet'!$E$13+1,1))</f>
        <v>335.83558218229564</v>
      </c>
      <c r="CZ64" s="62">
        <f t="shared" si="42"/>
        <v>217.08423061559648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3.5323393487526813</v>
      </c>
      <c r="DH64" s="23">
        <f>EXP(-LN(2)/2)*DH63+(1-EXP(-LN(2)/2))/(LN(2)/2)*DB64*DE64*VLOOKUP('Données projet'!$B$13,Paramètres!$A$1:$I$89,3,0)*0.475*44/12</f>
        <v>2.3853197745308125E-4</v>
      </c>
      <c r="DI64" s="24">
        <f t="shared" si="15"/>
        <v>3.5325778807301345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</v>
      </c>
      <c r="N65" s="14">
        <f>IF('Données projet'!$A$36&gt;35,N64+M65-V64,IF(A65&lt;'Données projet'!$A$36,$K$205^A65,IF(A65='Données projet'!$A$36,'Données projet'!$B$36,N64+M65-V64)))</f>
        <v>228.00000000000011</v>
      </c>
      <c r="O65" s="14">
        <f>N65*VLOOKUP('Données projet'!$B$9,Paramètres!$A$1:$I$89,3,0)*VLOOKUP('Données projet'!$B$9,Paramètres!$A$1:$I$89,5,0)</f>
        <v>199.18080000000012</v>
      </c>
      <c r="P65" s="14">
        <f t="shared" si="33"/>
        <v>49.564089376413726</v>
      </c>
      <c r="Q65" s="22">
        <f t="shared" si="53"/>
        <v>433.2306823305874</v>
      </c>
      <c r="R65" s="62">
        <f t="shared" si="0"/>
        <v>726.56401566392071</v>
      </c>
      <c r="S65" s="62">
        <f ca="1">AVERAGE(OFFSET($R$3,0,0,'Données projet'!$E$9+1,1))-AVERAGE(OFFSET($H$3,0,0,'Données projet'!$E$9+1,1))</f>
        <v>321.62968871874483</v>
      </c>
      <c r="T65" s="62">
        <f t="shared" si="34"/>
        <v>389.91636841473559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10.534368704803768</v>
      </c>
      <c r="AB65" s="23">
        <f>EXP(-LN(2)/2)*AB64+(1-EXP(-LN(2)/2))/(LN(2)/2)*V65*Y65*VLOOKUP('Données projet'!$B$9,Paramètres!$A$1:$I$89,3,0)*0.475*44/12</f>
        <v>2.7872479374167086E-4</v>
      </c>
      <c r="AC65" s="24">
        <f t="shared" si="3"/>
        <v>10.534647429597509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405.09126081846171</v>
      </c>
      <c r="AO65" s="62">
        <f t="shared" si="36"/>
        <v>534.22295841722166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13.988110267411855</v>
      </c>
      <c r="AV65" s="23">
        <f>EXP(-LN(2)/25)*AV64+(1-EXP(-LN(2)/25))/(LN(2)/25)*Calculateur!AQ65*Calculateur!AS65*VLOOKUP('Données projet'!$B$10,Paramètres!$A$1:$I$89,3,0)*0.475*44/12</f>
        <v>9.8371756958905738</v>
      </c>
      <c r="AW65" s="23">
        <f>EXP(-LN(2)/2)*AW64+(1-EXP(-LN(2)/2))/(LN(2)/2)*AQ65*AT65*VLOOKUP('Données projet'!$B$10,Paramètres!$A$1:$I$89,3,0)*0.475*44/12</f>
        <v>1.8065099818949726E-4</v>
      </c>
      <c r="AX65" s="23">
        <f t="shared" si="6"/>
        <v>23.825466614300616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808.03665892907816</v>
      </c>
      <c r="BI65" s="62">
        <f ca="1">AVERAGE(OFFSET($BH$3,0,0,'Données projet'!$E$11+1,1))-AVERAGE(OFFSET($H$3,0,0,'Données projet'!$E$11+1,1))</f>
        <v>439.06700232017681</v>
      </c>
      <c r="BJ65" s="62">
        <f t="shared" si="38"/>
        <v>278.21741231699929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3.7598744513810631</v>
      </c>
      <c r="BR65" s="23">
        <f>EXP(-LN(2)/2)*BR64+(1-EXP(-LN(2)/2))/(LN(2)/2)*BL65*BO65*VLOOKUP('Données projet'!$B$11,Paramètres!$A$1:$I$89,3,0)*0.475*44/12</f>
        <v>2.2750510627071621E-4</v>
      </c>
      <c r="BS65" s="24">
        <f t="shared" si="9"/>
        <v>3.7601019564873339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253.98671999999999</v>
      </c>
      <c r="CA65" s="14">
        <f t="shared" si="39"/>
        <v>61.438849277739124</v>
      </c>
      <c r="CB65" s="22">
        <f t="shared" si="10"/>
        <v>549.3661998253956</v>
      </c>
      <c r="CC65" s="62">
        <f t="shared" si="11"/>
        <v>842.69953315872885</v>
      </c>
      <c r="CD65" s="62">
        <f ca="1">AVERAGE(OFFSET($CC$3,0,0,'Données projet'!$E$12+1,1))-AVERAGE(OFFSET($H$3,0,0,'Données projet'!$E$12+1,1))</f>
        <v>466.4945858005575</v>
      </c>
      <c r="CE65" s="62">
        <f t="shared" si="40"/>
        <v>294.45557293177131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4.0191761376832069</v>
      </c>
      <c r="CM65" s="23">
        <f>EXP(-LN(2)/2)*CM64+(1-EXP(-LN(2)/2))/(LN(2)/2)*CG65*CJ65*VLOOKUP('Données projet'!$B$12,Paramètres!$A$1:$I$89,3,0)*0.475*44/12</f>
        <v>2.4319511359973135E-4</v>
      </c>
      <c r="CN65" s="24">
        <f t="shared" si="12"/>
        <v>4.0194193327968071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176.15207999999998</v>
      </c>
      <c r="CV65" s="14">
        <f t="shared" si="41"/>
        <v>44.465021174680203</v>
      </c>
      <c r="CW65" s="22">
        <f t="shared" si="13"/>
        <v>384.24145121256805</v>
      </c>
      <c r="CX65" s="62">
        <f t="shared" si="14"/>
        <v>677.57478454590137</v>
      </c>
      <c r="CY65" s="62">
        <f ca="1">AVERAGE(OFFSET($CX$3,0,0,'Données projet'!$E$13+1,1))-AVERAGE(OFFSET($H$3,0,0,'Données projet'!$E$13+1,1))</f>
        <v>335.83558218229564</v>
      </c>
      <c r="CZ65" s="62">
        <f t="shared" si="42"/>
        <v>217.08423061559648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3.4357473435033863</v>
      </c>
      <c r="DH65" s="23">
        <f>EXP(-LN(2)/2)*DH64+(1-EXP(-LN(2)/2))/(LN(2)/2)*DB65*DE65*VLOOKUP('Données projet'!$B$13,Paramètres!$A$1:$I$89,3,0)*0.475*44/12</f>
        <v>1.6866757878691044E-4</v>
      </c>
      <c r="DI65" s="24">
        <f t="shared" si="15"/>
        <v>3.4359160110821731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</v>
      </c>
      <c r="N66" s="14">
        <f>IF('Données projet'!$A$36&gt;35,N65+M66-V65,IF(A66&lt;'Données projet'!$A$36,$K$205^A66,IF(A66='Données projet'!$A$36,'Données projet'!$B$36,N65+M66-V65)))</f>
        <v>234.00000000000011</v>
      </c>
      <c r="O66" s="14">
        <f>N66*VLOOKUP('Données projet'!$B$9,Paramètres!$A$1:$I$89,3,0)*VLOOKUP('Données projet'!$B$9,Paramètres!$A$1:$I$89,5,0)</f>
        <v>204.42240000000012</v>
      </c>
      <c r="P66" s="14">
        <f t="shared" si="33"/>
        <v>50.714836797527312</v>
      </c>
      <c r="Q66" s="22">
        <f t="shared" si="53"/>
        <v>444.36402075569362</v>
      </c>
      <c r="R66" s="62">
        <f t="shared" si="0"/>
        <v>737.69735408902693</v>
      </c>
      <c r="S66" s="62">
        <f ca="1">AVERAGE(OFFSET($R$3,0,0,'Données projet'!$E$9+1,1))-AVERAGE(OFFSET($H$3,0,0,'Données projet'!$E$9+1,1))</f>
        <v>321.62968871874483</v>
      </c>
      <c r="T66" s="62">
        <f t="shared" si="34"/>
        <v>389.91636841473559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10.246305838592535</v>
      </c>
      <c r="AB66" s="23">
        <f>EXP(-LN(2)/2)*AB65+(1-EXP(-LN(2)/2))/(LN(2)/2)*V66*Y66*VLOOKUP('Données projet'!$B$9,Paramètres!$A$1:$I$89,3,0)*0.475*44/12</f>
        <v>1.9708819173955725E-4</v>
      </c>
      <c r="AC66" s="24">
        <f t="shared" si="3"/>
        <v>10.246502926784276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405.09126081846171</v>
      </c>
      <c r="AO66" s="62">
        <f t="shared" si="36"/>
        <v>534.22295841722166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13.713811956972716</v>
      </c>
      <c r="AV66" s="23">
        <f>EXP(-LN(2)/25)*AV65+(1-EXP(-LN(2)/25))/(LN(2)/25)*Calculateur!AQ66*Calculateur!AS66*VLOOKUP('Données projet'!$B$10,Paramètres!$A$1:$I$89,3,0)*0.475*44/12</f>
        <v>9.56817760917186</v>
      </c>
      <c r="AW66" s="23">
        <f>EXP(-LN(2)/2)*AW65+(1-EXP(-LN(2)/2))/(LN(2)/2)*AQ66*AT66*VLOOKUP('Données projet'!$B$10,Paramètres!$A$1:$I$89,3,0)*0.475*44/12</f>
        <v>1.2773954584791223E-4</v>
      </c>
      <c r="AX66" s="23">
        <f t="shared" si="6"/>
        <v>23.282117305690424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824.8856389507489</v>
      </c>
      <c r="BI66" s="62">
        <f ca="1">AVERAGE(OFFSET($BH$3,0,0,'Données projet'!$E$11+1,1))-AVERAGE(OFFSET($H$3,0,0,'Données projet'!$E$11+1,1))</f>
        <v>439.06700232017681</v>
      </c>
      <c r="BJ66" s="62">
        <f t="shared" si="38"/>
        <v>278.21741231699929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3.657060486784844</v>
      </c>
      <c r="BR66" s="23">
        <f>EXP(-LN(2)/2)*BR65+(1-EXP(-LN(2)/2))/(LN(2)/2)*BL66*BO66*VLOOKUP('Données projet'!$B$11,Paramètres!$A$1:$I$89,3,0)*0.475*44/12</f>
        <v>1.6087040339858957E-4</v>
      </c>
      <c r="BS66" s="24">
        <f t="shared" si="9"/>
        <v>3.6572213571882424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262.49807999999996</v>
      </c>
      <c r="CA66" s="14">
        <f t="shared" si="39"/>
        <v>63.254570961138086</v>
      </c>
      <c r="CB66" s="22">
        <f t="shared" si="10"/>
        <v>567.35253375731543</v>
      </c>
      <c r="CC66" s="62">
        <f t="shared" si="11"/>
        <v>860.6858670906488</v>
      </c>
      <c r="CD66" s="62">
        <f ca="1">AVERAGE(OFFSET($CC$3,0,0,'Données projet'!$E$12+1,1))-AVERAGE(OFFSET($H$3,0,0,'Données projet'!$E$12+1,1))</f>
        <v>466.4945858005575</v>
      </c>
      <c r="CE66" s="62">
        <f t="shared" si="40"/>
        <v>294.45557293177131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3.9092715548389725</v>
      </c>
      <c r="CM66" s="23">
        <f>EXP(-LN(2)/2)*CM65+(1-EXP(-LN(2)/2))/(LN(2)/2)*CG66*CJ66*VLOOKUP('Données projet'!$B$12,Paramètres!$A$1:$I$89,3,0)*0.475*44/12</f>
        <v>1.7196491397780282E-4</v>
      </c>
      <c r="CN66" s="24">
        <f t="shared" si="12"/>
        <v>3.9094435197529505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182.05511999999999</v>
      </c>
      <c r="CV66" s="14">
        <f t="shared" si="41"/>
        <v>45.7791099645709</v>
      </c>
      <c r="CW66" s="22">
        <f t="shared" si="13"/>
        <v>396.81128385496095</v>
      </c>
      <c r="CX66" s="62">
        <f t="shared" si="14"/>
        <v>690.14461718829421</v>
      </c>
      <c r="CY66" s="62">
        <f ca="1">AVERAGE(OFFSET($CX$3,0,0,'Données projet'!$E$13+1,1))-AVERAGE(OFFSET($H$3,0,0,'Données projet'!$E$13+1,1))</f>
        <v>335.83558218229564</v>
      </c>
      <c r="CZ66" s="62">
        <f t="shared" si="42"/>
        <v>217.08423061559648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3.341796651717186</v>
      </c>
      <c r="DH66" s="23">
        <f>EXP(-LN(2)/2)*DH65+(1-EXP(-LN(2)/2))/(LN(2)/2)*DB66*DE66*VLOOKUP('Données projet'!$B$13,Paramètres!$A$1:$I$89,3,0)*0.475*44/12</f>
        <v>1.1926598872654065E-4</v>
      </c>
      <c r="DI66" s="24">
        <f t="shared" si="15"/>
        <v>3.3419159177059123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</v>
      </c>
      <c r="N67" s="14">
        <f>IF('Données projet'!$A$36&gt;35,N66+M67-V66,IF(A67&lt;'Données projet'!$A$36,$K$205^A67,IF(A67='Données projet'!$A$36,'Données projet'!$B$36,N66+M67-V66)))</f>
        <v>240.00000000000011</v>
      </c>
      <c r="O67" s="14">
        <f>N67*VLOOKUP('Données projet'!$B$9,Paramètres!$A$1:$I$89,3,0)*VLOOKUP('Données projet'!$B$9,Paramètres!$A$1:$I$89,5,0)</f>
        <v>209.6640000000001</v>
      </c>
      <c r="P67" s="14">
        <f t="shared" si="33"/>
        <v>51.862154403304537</v>
      </c>
      <c r="Q67" s="22">
        <f t="shared" ref="Q67:Q98" si="54">(O67+P67)*0.475*44/12</f>
        <v>455.49138558575561</v>
      </c>
      <c r="R67" s="62">
        <f t="shared" ref="R67:R130" si="55">Q67+(I67+J67)*44/12</f>
        <v>748.82471891908892</v>
      </c>
      <c r="S67" s="62">
        <f ca="1">AVERAGE(OFFSET($R$3,0,0,'Données projet'!$E$9+1,1))-AVERAGE(OFFSET($H$3,0,0,'Données projet'!$E$9+1,1))</f>
        <v>321.62968871874483</v>
      </c>
      <c r="T67" s="62">
        <f t="shared" si="34"/>
        <v>389.91636841473559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9.9661200666064165</v>
      </c>
      <c r="AB67" s="23">
        <f>EXP(-LN(2)/2)*AB66+(1-EXP(-LN(2)/2))/(LN(2)/2)*V67*Y67*VLOOKUP('Données projet'!$B$9,Paramètres!$A$1:$I$89,3,0)*0.475*44/12</f>
        <v>1.3936239687083543E-4</v>
      </c>
      <c r="AC67" s="24">
        <f t="shared" si="3"/>
        <v>9.9662594290032871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405.09126081846171</v>
      </c>
      <c r="AO67" s="62">
        <f t="shared" si="36"/>
        <v>534.22295841722166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13.444892469095839</v>
      </c>
      <c r="AV67" s="23">
        <f>EXP(-LN(2)/25)*AV66+(1-EXP(-LN(2)/25))/(LN(2)/25)*Calculateur!AQ67*Calculateur!AS67*VLOOKUP('Données projet'!$B$10,Paramètres!$A$1:$I$89,3,0)*0.475*44/12</f>
        <v>9.3065352892804629</v>
      </c>
      <c r="AW67" s="23">
        <f>EXP(-LN(2)/2)*AW66+(1-EXP(-LN(2)/2))/(LN(2)/2)*AQ67*AT67*VLOOKUP('Données projet'!$B$10,Paramètres!$A$1:$I$89,3,0)*0.475*44/12</f>
        <v>9.0325499094748629E-5</v>
      </c>
      <c r="AX67" s="23">
        <f t="shared" si="6"/>
        <v>22.751518083875396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841.72338563225185</v>
      </c>
      <c r="BI67" s="62">
        <f ca="1">AVERAGE(OFFSET($BH$3,0,0,'Données projet'!$E$11+1,1))-AVERAGE(OFFSET($H$3,0,0,'Données projet'!$E$11+1,1))</f>
        <v>439.06700232017681</v>
      </c>
      <c r="BJ67" s="62">
        <f t="shared" si="38"/>
        <v>278.21741231699929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3.5570579754572598</v>
      </c>
      <c r="BR67" s="23">
        <f>EXP(-LN(2)/2)*BR66+(1-EXP(-LN(2)/2))/(LN(2)/2)*BL67*BO67*VLOOKUP('Données projet'!$B$11,Paramètres!$A$1:$I$89,3,0)*0.475*44/12</f>
        <v>1.1375255313535811E-4</v>
      </c>
      <c r="BS67" s="24">
        <f t="shared" si="9"/>
        <v>3.5571717280103949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271.00943999999998</v>
      </c>
      <c r="CA67" s="14">
        <f t="shared" si="39"/>
        <v>65.063451383023647</v>
      </c>
      <c r="CB67" s="22">
        <f t="shared" si="10"/>
        <v>585.32695249209939</v>
      </c>
      <c r="CC67" s="62">
        <f t="shared" si="11"/>
        <v>878.66028582543277</v>
      </c>
      <c r="CD67" s="62">
        <f ca="1">AVERAGE(OFFSET($CC$3,0,0,'Données projet'!$E$12+1,1))-AVERAGE(OFFSET($H$3,0,0,'Données projet'!$E$12+1,1))</f>
        <v>466.4945858005575</v>
      </c>
      <c r="CE67" s="62">
        <f t="shared" si="40"/>
        <v>294.45557293177131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3.8023723185922447</v>
      </c>
      <c r="CM67" s="23">
        <f>EXP(-LN(2)/2)*CM66+(1-EXP(-LN(2)/2))/(LN(2)/2)*CG67*CJ67*VLOOKUP('Données projet'!$B$12,Paramètres!$A$1:$I$89,3,0)*0.475*44/12</f>
        <v>1.2159755679986569E-4</v>
      </c>
      <c r="CN67" s="24">
        <f t="shared" si="12"/>
        <v>3.8024939161490448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187.95815999999999</v>
      </c>
      <c r="CV67" s="14">
        <f t="shared" si="41"/>
        <v>47.088247541318253</v>
      </c>
      <c r="CW67" s="22">
        <f t="shared" si="13"/>
        <v>409.37249313446256</v>
      </c>
      <c r="CX67" s="62">
        <f t="shared" si="14"/>
        <v>702.70582646779587</v>
      </c>
      <c r="CY67" s="62">
        <f ca="1">AVERAGE(OFFSET($CX$3,0,0,'Données projet'!$E$13+1,1))-AVERAGE(OFFSET($H$3,0,0,'Données projet'!$E$13+1,1))</f>
        <v>335.83558218229564</v>
      </c>
      <c r="CZ67" s="62">
        <f t="shared" si="42"/>
        <v>217.08423061559648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3.2504150465385315</v>
      </c>
      <c r="DH67" s="23">
        <f>EXP(-LN(2)/2)*DH66+(1-EXP(-LN(2)/2))/(LN(2)/2)*DB67*DE67*VLOOKUP('Données projet'!$B$13,Paramètres!$A$1:$I$89,3,0)*0.475*44/12</f>
        <v>8.4333789393455232E-5</v>
      </c>
      <c r="DI67" s="24">
        <f t="shared" si="15"/>
        <v>3.2504993803279252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246</v>
      </c>
      <c r="L68" s="13">
        <f>VLOOKUP(A68,'Données projet'!$A$35:$I$55,9,0)</f>
        <v>6</v>
      </c>
      <c r="M68" s="13">
        <f t="array" ref="M68">INDEX(L:L,MIN(IF(ISNUMBER(L68:L264),ROW(L68:L264),"")))</f>
        <v>6</v>
      </c>
      <c r="N68" s="14">
        <f>IF('Données projet'!$A$36&gt;35,N67+M68-V67,IF(A68&lt;'Données projet'!$A$36,$K$205^A68,IF(A68='Données projet'!$A$36,'Données projet'!$B$36,N67+M68-V67)))</f>
        <v>246.00000000000011</v>
      </c>
      <c r="O68" s="14">
        <f>N68*VLOOKUP('Données projet'!$B$9,Paramètres!$A$1:$I$89,3,0)*VLOOKUP('Données projet'!$B$9,Paramètres!$A$1:$I$89,5,0)</f>
        <v>214.90560000000013</v>
      </c>
      <c r="P68" s="14">
        <f t="shared" si="33"/>
        <v>53.006137800892375</v>
      </c>
      <c r="Q68" s="22">
        <f t="shared" si="54"/>
        <v>466.61294333655451</v>
      </c>
      <c r="R68" s="62">
        <f t="shared" si="55"/>
        <v>759.94627666988777</v>
      </c>
      <c r="S68" s="62">
        <f ca="1">AVERAGE(OFFSET($R$3,0,0,'Données projet'!$E$9+1,1))-AVERAGE(OFFSET($H$3,0,0,'Données projet'!$E$9+1,1))</f>
        <v>321.62968871874483</v>
      </c>
      <c r="T68" s="62">
        <f t="shared" si="34"/>
        <v>389.91636841473559</v>
      </c>
      <c r="U68" s="16">
        <f>IF(ISNA(VLOOKUP(A68,'Données projet'!$A$35:$I$55,3,0)),0,VLOOKUP(A68,'Données projet'!$A$35:$I$55,3,0))</f>
        <v>11</v>
      </c>
      <c r="V68" s="16">
        <f>IF(ISNA(VLOOKUP(A68,'Données projet'!$A$35:$I$55,4,0)),0,VLOOKUP(A68,'Données projet'!$A$35:$I$55,4,0))</f>
        <v>23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9.6935959892895873</v>
      </c>
      <c r="AB68" s="23">
        <f>EXP(-LN(2)/2)*AB67+(1-EXP(-LN(2)/2))/(LN(2)/2)*V68*Y68*VLOOKUP('Données projet'!$B$9,Paramètres!$A$1:$I$89,3,0)*0.475*44/12</f>
        <v>9.8544095869778625E-5</v>
      </c>
      <c r="AC68" s="24">
        <f t="shared" ref="AC68:AC131" si="57">SUM(Z68:AB68)</f>
        <v>9.6936945333854574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405.09126081846171</v>
      </c>
      <c r="AO68" s="62">
        <f t="shared" si="36"/>
        <v>534.22295841722166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13.181246328351536</v>
      </c>
      <c r="AV68" s="23">
        <f>EXP(-LN(2)/25)*AV67+(1-EXP(-LN(2)/25))/(LN(2)/25)*Calculateur!AQ68*Calculateur!AS68*VLOOKUP('Données projet'!$B$10,Paramètres!$A$1:$I$89,3,0)*0.475*44/12</f>
        <v>9.0520475923856676</v>
      </c>
      <c r="AW68" s="23">
        <f>EXP(-LN(2)/2)*AW67+(1-EXP(-LN(2)/2))/(LN(2)/2)*AQ68*AT68*VLOOKUP('Données projet'!$B$10,Paramètres!$A$1:$I$89,3,0)*0.475*44/12</f>
        <v>6.3869772923956115E-5</v>
      </c>
      <c r="AX68" s="23">
        <f t="shared" ref="AX68:AX131" si="60">SUM(AU68:AW68)</f>
        <v>22.233357790510127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858.55029224701411</v>
      </c>
      <c r="BI68" s="62">
        <f ca="1">AVERAGE(OFFSET($BH$3,0,0,'Données projet'!$E$11+1,1))-AVERAGE(OFFSET($H$3,0,0,'Données projet'!$E$11+1,1))</f>
        <v>439.06700232017681</v>
      </c>
      <c r="BJ68" s="62">
        <f t="shared" si="38"/>
        <v>278.21741231699929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3.4597900380608317</v>
      </c>
      <c r="BR68" s="23">
        <f>EXP(-LN(2)/2)*BR67+(1-EXP(-LN(2)/2))/(LN(2)/2)*BL68*BO68*VLOOKUP('Données projet'!$B$11,Paramètres!$A$1:$I$89,3,0)*0.475*44/12</f>
        <v>8.0435201699294783E-5</v>
      </c>
      <c r="BS68" s="24">
        <f t="shared" ref="BS68:BS131" si="63">SUM(BP68:BR68)</f>
        <v>3.4598704732625309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279.52080000000001</v>
      </c>
      <c r="CA68" s="14">
        <f t="shared" si="39"/>
        <v>66.865730052421583</v>
      </c>
      <c r="CB68" s="22">
        <f t="shared" ref="CB68:CB131" si="64">(BZ68+CA68)*0.475*44/12</f>
        <v>603.28987317463418</v>
      </c>
      <c r="CC68" s="62">
        <f t="shared" ref="CC68:CC131" si="65">CB68+(BT68+BU68)*44/12</f>
        <v>896.62320650796755</v>
      </c>
      <c r="CD68" s="62">
        <f ca="1">AVERAGE(OFFSET($CC$3,0,0,'Données projet'!$E$12+1,1))-AVERAGE(OFFSET($H$3,0,0,'Données projet'!$E$12+1,1))</f>
        <v>466.4945858005575</v>
      </c>
      <c r="CE68" s="62">
        <f t="shared" si="40"/>
        <v>294.45557293177131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3.69839624758227</v>
      </c>
      <c r="CM68" s="23">
        <f>EXP(-LN(2)/2)*CM67+(1-EXP(-LN(2)/2))/(LN(2)/2)*CG68*CJ68*VLOOKUP('Données projet'!$B$12,Paramètres!$A$1:$I$89,3,0)*0.475*44/12</f>
        <v>8.5982456988901423E-5</v>
      </c>
      <c r="CN68" s="24">
        <f t="shared" ref="CN68:CN131" si="66">SUM(CK68:CM68)</f>
        <v>3.698482230039259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193.8612</v>
      </c>
      <c r="CV68" s="14">
        <f t="shared" si="41"/>
        <v>48.392607244332538</v>
      </c>
      <c r="CW68" s="22">
        <f t="shared" ref="CW68:CW131" si="67">(CU68+CV68)*0.475*44/12</f>
        <v>421.92538095054584</v>
      </c>
      <c r="CX68" s="62">
        <f t="shared" ref="CX68:CX131" si="68">CW68+(CO68+CP68)*44/12</f>
        <v>715.25871428387916</v>
      </c>
      <c r="CY68" s="62">
        <f ca="1">AVERAGE(OFFSET($CX$3,0,0,'Données projet'!$E$13+1,1))-AVERAGE(OFFSET($H$3,0,0,'Données projet'!$E$13+1,1))</f>
        <v>335.83558218229564</v>
      </c>
      <c r="CZ68" s="62">
        <f t="shared" si="42"/>
        <v>217.08423061559648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3.1615322761590372</v>
      </c>
      <c r="DH68" s="23">
        <f>EXP(-LN(2)/2)*DH67+(1-EXP(-LN(2)/2))/(LN(2)/2)*DB68*DE68*VLOOKUP('Données projet'!$B$13,Paramètres!$A$1:$I$89,3,0)*0.475*44/12</f>
        <v>5.9632994363270334E-5</v>
      </c>
      <c r="DI68" s="24">
        <f t="shared" ref="DI68:DI131" si="69">SUM(DF68:DH68)</f>
        <v>3.1615919091534006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228.2000000000001</v>
      </c>
      <c r="O69" s="14">
        <f>N69*VLOOKUP('Données projet'!$B$9,Paramètres!$A$1:$I$89,3,0)*VLOOKUP('Données projet'!$B$9,Paramètres!$A$1:$I$89,5,0)</f>
        <v>199.35552000000013</v>
      </c>
      <c r="P69" s="14">
        <f t="shared" ref="P69:P132" si="87">EXP(-1.0587+0.8836*LN(O69)+0.284)</f>
        <v>49.602503932783222</v>
      </c>
      <c r="Q69" s="22">
        <f t="shared" si="54"/>
        <v>433.60189168293101</v>
      </c>
      <c r="R69" s="62">
        <f t="shared" si="55"/>
        <v>726.93522501626433</v>
      </c>
      <c r="S69" s="62">
        <f ca="1">AVERAGE(OFFSET($R$3,0,0,'Données projet'!$E$9+1,1))-AVERAGE(OFFSET($H$3,0,0,'Données projet'!$E$9+1,1))</f>
        <v>321.62968871874483</v>
      </c>
      <c r="T69" s="62">
        <f t="shared" ref="T69:T132" si="88">$T$3</f>
        <v>389.91636841473559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9.4285240971984052</v>
      </c>
      <c r="AB69" s="23">
        <f>EXP(-LN(2)/2)*AB68+(1-EXP(-LN(2)/2))/(LN(2)/2)*V69*Y69*VLOOKUP('Données projet'!$B$9,Paramètres!$A$1:$I$89,3,0)*0.475*44/12</f>
        <v>6.9681198435417714E-5</v>
      </c>
      <c r="AC69" s="24">
        <f t="shared" si="57"/>
        <v>9.4285937783968414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405.09126081846171</v>
      </c>
      <c r="AO69" s="62">
        <f t="shared" ref="AO69:AO132" si="90">$AO$3</f>
        <v>534.22295841722166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12.922770127618962</v>
      </c>
      <c r="AV69" s="23">
        <f>EXP(-LN(2)/25)*AV68+(1-EXP(-LN(2)/25))/(LN(2)/25)*Calculateur!AQ69*Calculateur!AS69*VLOOKUP('Données projet'!$B$10,Paramètres!$A$1:$I$89,3,0)*0.475*44/12</f>
        <v>8.8045188749453871</v>
      </c>
      <c r="AW69" s="23">
        <f>EXP(-LN(2)/2)*AW68+(1-EXP(-LN(2)/2))/(LN(2)/2)*AQ69*AT69*VLOOKUP('Données projet'!$B$10,Paramètres!$A$1:$I$89,3,0)*0.475*44/12</f>
        <v>4.5162749547374315E-5</v>
      </c>
      <c r="AX69" s="23">
        <f t="shared" si="60"/>
        <v>21.727334165313895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820.67446302574353</v>
      </c>
      <c r="BI69" s="62">
        <f ca="1">AVERAGE(OFFSET($BH$3,0,0,'Données projet'!$E$11+1,1))-AVERAGE(OFFSET($H$3,0,0,'Données projet'!$E$11+1,1))</f>
        <v>439.06700232017681</v>
      </c>
      <c r="BJ69" s="62">
        <f t="shared" ref="BJ69:BJ132" si="92">$BJ$3</f>
        <v>278.21741231699929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3.3651818975276075</v>
      </c>
      <c r="BR69" s="23">
        <f>EXP(-LN(2)/2)*BR68+(1-EXP(-LN(2)/2))/(LN(2)/2)*BL69*BO69*VLOOKUP('Données projet'!$B$11,Paramètres!$A$1:$I$89,3,0)*0.475*44/12</f>
        <v>5.6876276567679053E-5</v>
      </c>
      <c r="BS69" s="24">
        <f t="shared" si="63"/>
        <v>3.3652387738041751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260.37024000000002</v>
      </c>
      <c r="CA69" s="14">
        <f t="shared" ref="CA69:CA132" si="93">EXP(-1.0587+0.8836*LN(BZ69)+0.284)</f>
        <v>62.801291625234725</v>
      </c>
      <c r="CB69" s="22">
        <f t="shared" si="64"/>
        <v>562.85708424728386</v>
      </c>
      <c r="CC69" s="62">
        <f t="shared" si="65"/>
        <v>856.19041758061712</v>
      </c>
      <c r="CD69" s="62">
        <f ca="1">AVERAGE(OFFSET($CC$3,0,0,'Données projet'!$E$12+1,1))-AVERAGE(OFFSET($H$3,0,0,'Données projet'!$E$12+1,1))</f>
        <v>466.4945858005575</v>
      </c>
      <c r="CE69" s="62">
        <f t="shared" ref="CE69:CE132" si="94">$CE$3</f>
        <v>294.45557293177131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3.5972634077019272</v>
      </c>
      <c r="CM69" s="23">
        <f>EXP(-LN(2)/2)*CM68+(1-EXP(-LN(2)/2))/(LN(2)/2)*CG69*CJ69*VLOOKUP('Données projet'!$B$12,Paramètres!$A$1:$I$89,3,0)*0.475*44/12</f>
        <v>6.0798778399932858E-5</v>
      </c>
      <c r="CN69" s="24">
        <f t="shared" si="66"/>
        <v>3.597324206480327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180.57936000000001</v>
      </c>
      <c r="CV69" s="14">
        <f t="shared" ref="CV69:CV132" si="95">EXP(-1.0587+0.8836*LN(CU69)+0.284)</f>
        <v>45.45105897556433</v>
      </c>
      <c r="CW69" s="22">
        <f t="shared" si="67"/>
        <v>393.66964638244121</v>
      </c>
      <c r="CX69" s="62">
        <f t="shared" si="68"/>
        <v>687.00297971577447</v>
      </c>
      <c r="CY69" s="62">
        <f ca="1">AVERAGE(OFFSET($CX$3,0,0,'Données projet'!$E$13+1,1))-AVERAGE(OFFSET($H$3,0,0,'Données projet'!$E$13+1,1))</f>
        <v>335.83558218229564</v>
      </c>
      <c r="CZ69" s="62">
        <f t="shared" ref="CZ69:CZ132" si="96">$CZ$3</f>
        <v>217.08423061559648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3.0750800098097115</v>
      </c>
      <c r="DH69" s="23">
        <f>EXP(-LN(2)/2)*DH68+(1-EXP(-LN(2)/2))/(LN(2)/2)*DB69*DE69*VLOOKUP('Données projet'!$B$13,Paramètres!$A$1:$I$89,3,0)*0.475*44/12</f>
        <v>4.2166894696727623E-5</v>
      </c>
      <c r="DI69" s="24">
        <f t="shared" si="69"/>
        <v>3.0751221767044083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233.40000000000009</v>
      </c>
      <c r="O70" s="14">
        <f>N70*VLOOKUP('Données projet'!$B$9,Paramètres!$A$1:$I$89,3,0)*VLOOKUP('Données projet'!$B$9,Paramètres!$A$1:$I$89,5,0)</f>
        <v>203.8982400000001</v>
      </c>
      <c r="P70" s="14">
        <f t="shared" si="87"/>
        <v>50.599918019430213</v>
      </c>
      <c r="Q70" s="22">
        <f t="shared" si="54"/>
        <v>443.25095855050785</v>
      </c>
      <c r="R70" s="62">
        <f t="shared" si="55"/>
        <v>736.58429188384116</v>
      </c>
      <c r="S70" s="62">
        <f ca="1">AVERAGE(OFFSET($R$3,0,0,'Données projet'!$E$9+1,1))-AVERAGE(OFFSET($H$3,0,0,'Données projet'!$E$9+1,1))</f>
        <v>321.62968871874483</v>
      </c>
      <c r="T70" s="62">
        <f t="shared" si="88"/>
        <v>389.91636841473559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9.1707006099359809</v>
      </c>
      <c r="AB70" s="23">
        <f>EXP(-LN(2)/2)*AB69+(1-EXP(-LN(2)/2))/(LN(2)/2)*V70*Y70*VLOOKUP('Données projet'!$B$9,Paramètres!$A$1:$I$89,3,0)*0.475*44/12</f>
        <v>4.9272047934889312E-5</v>
      </c>
      <c r="AC70" s="24">
        <f t="shared" si="57"/>
        <v>9.1707498819839159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405.09126081846171</v>
      </c>
      <c r="AO70" s="62">
        <f t="shared" si="90"/>
        <v>534.22295841722166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12.669362487527838</v>
      </c>
      <c r="AV70" s="23">
        <f>EXP(-LN(2)/25)*AV69+(1-EXP(-LN(2)/25))/(LN(2)/25)*Calculateur!AQ70*Calculateur!AS70*VLOOKUP('Données projet'!$B$10,Paramètres!$A$1:$I$89,3,0)*0.475*44/12</f>
        <v>8.5637588433004801</v>
      </c>
      <c r="AW70" s="23">
        <f>EXP(-LN(2)/2)*AW69+(1-EXP(-LN(2)/2))/(LN(2)/2)*AQ70*AT70*VLOOKUP('Données projet'!$B$10,Paramètres!$A$1:$I$89,3,0)*0.475*44/12</f>
        <v>3.1934886461978058E-5</v>
      </c>
      <c r="AX70" s="23">
        <f t="shared" si="60"/>
        <v>21.23315326571478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836.36711482633996</v>
      </c>
      <c r="BI70" s="62">
        <f ca="1">AVERAGE(OFFSET($BH$3,0,0,'Données projet'!$E$11+1,1))-AVERAGE(OFFSET($H$3,0,0,'Données projet'!$E$11+1,1))</f>
        <v>439.06700232017681</v>
      </c>
      <c r="BJ70" s="62">
        <f t="shared" si="92"/>
        <v>278.21741231699929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3.2731608215724903</v>
      </c>
      <c r="BR70" s="23">
        <f>EXP(-LN(2)/2)*BR69+(1-EXP(-LN(2)/2))/(LN(2)/2)*BL70*BO70*VLOOKUP('Données projet'!$B$11,Paramètres!$A$1:$I$89,3,0)*0.475*44/12</f>
        <v>4.0217600849647392E-5</v>
      </c>
      <c r="BS70" s="24">
        <f t="shared" si="63"/>
        <v>3.2732010391733399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268.30127999999996</v>
      </c>
      <c r="CA70" s="14">
        <f t="shared" si="93"/>
        <v>64.488625713042012</v>
      </c>
      <c r="CB70" s="22">
        <f t="shared" si="64"/>
        <v>579.60908578354815</v>
      </c>
      <c r="CC70" s="62">
        <f t="shared" si="65"/>
        <v>872.94241911688141</v>
      </c>
      <c r="CD70" s="62">
        <f ca="1">AVERAGE(OFFSET($CC$3,0,0,'Données projet'!$E$12+1,1))-AVERAGE(OFFSET($H$3,0,0,'Données projet'!$E$12+1,1))</f>
        <v>466.4945858005575</v>
      </c>
      <c r="CE70" s="62">
        <f t="shared" si="94"/>
        <v>294.45557293177131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3.498896050646457</v>
      </c>
      <c r="CM70" s="23">
        <f>EXP(-LN(2)/2)*CM69+(1-EXP(-LN(2)/2))/(LN(2)/2)*CG70*CJ70*VLOOKUP('Données projet'!$B$12,Paramètres!$A$1:$I$89,3,0)*0.475*44/12</f>
        <v>4.2991228494450718E-5</v>
      </c>
      <c r="CN70" s="24">
        <f t="shared" si="66"/>
        <v>3.4989390418749515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186.07991999999999</v>
      </c>
      <c r="CV70" s="14">
        <f t="shared" si="95"/>
        <v>46.672230055835435</v>
      </c>
      <c r="CW70" s="22">
        <f t="shared" si="67"/>
        <v>405.37666134724668</v>
      </c>
      <c r="CX70" s="62">
        <f t="shared" si="68"/>
        <v>698.70999468057994</v>
      </c>
      <c r="CY70" s="62">
        <f ca="1">AVERAGE(OFFSET($CX$3,0,0,'Données projet'!$E$13+1,1))-AVERAGE(OFFSET($H$3,0,0,'Données projet'!$E$13+1,1))</f>
        <v>335.83558218229564</v>
      </c>
      <c r="CZ70" s="62">
        <f t="shared" si="96"/>
        <v>217.08423061559648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2.9909917852300354</v>
      </c>
      <c r="DH70" s="23">
        <f>EXP(-LN(2)/2)*DH69+(1-EXP(-LN(2)/2))/(LN(2)/2)*DB70*DE70*VLOOKUP('Données projet'!$B$13,Paramètres!$A$1:$I$89,3,0)*0.475*44/12</f>
        <v>2.9816497181635174E-5</v>
      </c>
      <c r="DI70" s="24">
        <f t="shared" si="69"/>
        <v>2.9910216017272169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238.60000000000008</v>
      </c>
      <c r="O71" s="14">
        <f>N71*VLOOKUP('Données projet'!$B$9,Paramètres!$A$1:$I$89,3,0)*VLOOKUP('Données projet'!$B$9,Paramètres!$A$1:$I$89,5,0)</f>
        <v>208.4409600000001</v>
      </c>
      <c r="P71" s="14">
        <f t="shared" si="87"/>
        <v>51.594748621124211</v>
      </c>
      <c r="Q71" s="22">
        <f t="shared" si="54"/>
        <v>452.89552584845813</v>
      </c>
      <c r="R71" s="62">
        <f t="shared" si="55"/>
        <v>746.22885918179145</v>
      </c>
      <c r="S71" s="62">
        <f ca="1">AVERAGE(OFFSET($R$3,0,0,'Données projet'!$E$9+1,1))-AVERAGE(OFFSET($H$3,0,0,'Données projet'!$E$9+1,1))</f>
        <v>321.62968871874483</v>
      </c>
      <c r="T71" s="62">
        <f t="shared" si="88"/>
        <v>389.91636841473559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8.9199273194910962</v>
      </c>
      <c r="AB71" s="23">
        <f>EXP(-LN(2)/2)*AB70+(1-EXP(-LN(2)/2))/(LN(2)/2)*V71*Y71*VLOOKUP('Données projet'!$B$9,Paramètres!$A$1:$I$89,3,0)*0.475*44/12</f>
        <v>3.4840599217708857E-5</v>
      </c>
      <c r="AC71" s="24">
        <f t="shared" si="57"/>
        <v>8.9199621600903143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405.09126081846171</v>
      </c>
      <c r="AO71" s="62">
        <f t="shared" si="90"/>
        <v>534.22295841722166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12.420924016695503</v>
      </c>
      <c r="AV71" s="23">
        <f>EXP(-LN(2)/25)*AV70+(1-EXP(-LN(2)/25))/(LN(2)/25)*Calculateur!AQ71*Calculateur!AS71*VLOOKUP('Données projet'!$B$10,Paramètres!$A$1:$I$89,3,0)*0.475*44/12</f>
        <v>8.329582407381924</v>
      </c>
      <c r="AW71" s="23">
        <f>EXP(-LN(2)/2)*AW70+(1-EXP(-LN(2)/2))/(LN(2)/2)*AQ71*AT71*VLOOKUP('Données projet'!$B$10,Paramètres!$A$1:$I$89,3,0)*0.475*44/12</f>
        <v>2.2581374773687157E-5</v>
      </c>
      <c r="AX71" s="23">
        <f t="shared" si="60"/>
        <v>20.750529005452204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852.05024844371815</v>
      </c>
      <c r="BI71" s="62">
        <f ca="1">AVERAGE(OFFSET($BH$3,0,0,'Données projet'!$E$11+1,1))-AVERAGE(OFFSET($H$3,0,0,'Données projet'!$E$11+1,1))</f>
        <v>439.06700232017681</v>
      </c>
      <c r="BJ71" s="62">
        <f t="shared" si="92"/>
        <v>278.21741231699929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3.1836560667785441</v>
      </c>
      <c r="BR71" s="23">
        <f>EXP(-LN(2)/2)*BR70+(1-EXP(-LN(2)/2))/(LN(2)/2)*BL71*BO71*VLOOKUP('Données projet'!$B$11,Paramètres!$A$1:$I$89,3,0)*0.475*44/12</f>
        <v>2.8438138283839526E-5</v>
      </c>
      <c r="BS71" s="24">
        <f t="shared" si="63"/>
        <v>3.1836845049168279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276.23231999999996</v>
      </c>
      <c r="CA71" s="14">
        <f t="shared" si="93"/>
        <v>66.170163093943458</v>
      </c>
      <c r="CB71" s="22">
        <f t="shared" si="64"/>
        <v>596.35099138861813</v>
      </c>
      <c r="CC71" s="62">
        <f t="shared" si="65"/>
        <v>889.6843247219515</v>
      </c>
      <c r="CD71" s="62">
        <f ca="1">AVERAGE(OFFSET($CC$3,0,0,'Données projet'!$E$12+1,1))-AVERAGE(OFFSET($H$3,0,0,'Données projet'!$E$12+1,1))</f>
        <v>466.4945858005575</v>
      </c>
      <c r="CE71" s="62">
        <f t="shared" si="94"/>
        <v>294.45557293177131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3.4032185541425832</v>
      </c>
      <c r="CM71" s="23">
        <f>EXP(-LN(2)/2)*CM70+(1-EXP(-LN(2)/2))/(LN(2)/2)*CG71*CJ71*VLOOKUP('Données projet'!$B$12,Paramètres!$A$1:$I$89,3,0)*0.475*44/12</f>
        <v>3.0399389199966433E-5</v>
      </c>
      <c r="CN71" s="24">
        <f t="shared" si="66"/>
        <v>3.4032489535317834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191.58047999999997</v>
      </c>
      <c r="CV71" s="14">
        <f t="shared" si="95"/>
        <v>47.889205896476554</v>
      </c>
      <c r="CW71" s="22">
        <f t="shared" si="67"/>
        <v>417.07636960302989</v>
      </c>
      <c r="CX71" s="62">
        <f t="shared" si="68"/>
        <v>710.40970293636315</v>
      </c>
      <c r="CY71" s="62">
        <f ca="1">AVERAGE(OFFSET($CX$3,0,0,'Données projet'!$E$13+1,1))-AVERAGE(OFFSET($H$3,0,0,'Données projet'!$E$13+1,1))</f>
        <v>335.83558218229564</v>
      </c>
      <c r="CZ71" s="62">
        <f t="shared" si="96"/>
        <v>217.08423061559648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2.9092029575734979</v>
      </c>
      <c r="DH71" s="23">
        <f>EXP(-LN(2)/2)*DH70+(1-EXP(-LN(2)/2))/(LN(2)/2)*DB71*DE71*VLOOKUP('Données projet'!$B$13,Paramètres!$A$1:$I$89,3,0)*0.475*44/12</f>
        <v>2.1083447348363815E-5</v>
      </c>
      <c r="DI71" s="24">
        <f t="shared" si="69"/>
        <v>2.9092240410208463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243.80000000000007</v>
      </c>
      <c r="O72" s="14">
        <f>N72*VLOOKUP('Données projet'!$B$9,Paramètres!$A$1:$I$89,3,0)*VLOOKUP('Données projet'!$B$9,Paramètres!$A$1:$I$89,5,0)</f>
        <v>212.98368000000008</v>
      </c>
      <c r="P72" s="14">
        <f t="shared" si="87"/>
        <v>52.587058525970363</v>
      </c>
      <c r="Q72" s="22">
        <f t="shared" si="54"/>
        <v>462.53570293273191</v>
      </c>
      <c r="R72" s="62">
        <f t="shared" si="55"/>
        <v>755.86903626606522</v>
      </c>
      <c r="S72" s="62">
        <f ca="1">AVERAGE(OFFSET($R$3,0,0,'Données projet'!$E$9+1,1))-AVERAGE(OFFSET($H$3,0,0,'Données projet'!$E$9+1,1))</f>
        <v>321.62968871874483</v>
      </c>
      <c r="T72" s="62">
        <f t="shared" si="88"/>
        <v>389.91636841473559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8.6760114378610211</v>
      </c>
      <c r="AB72" s="23">
        <f>EXP(-LN(2)/2)*AB71+(1-EXP(-LN(2)/2))/(LN(2)/2)*V72*Y72*VLOOKUP('Données projet'!$B$9,Paramètres!$A$1:$I$89,3,0)*0.475*44/12</f>
        <v>2.4636023967444656E-5</v>
      </c>
      <c r="AC72" s="24">
        <f t="shared" si="57"/>
        <v>8.6760360738849887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405.09126081846171</v>
      </c>
      <c r="AO72" s="62">
        <f t="shared" si="90"/>
        <v>534.22295841722166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12.177357272743684</v>
      </c>
      <c r="AV72" s="23">
        <f>EXP(-LN(2)/25)*AV71+(1-EXP(-LN(2)/25))/(LN(2)/25)*Calculateur!AQ72*Calculateur!AS72*VLOOKUP('Données projet'!$B$10,Paramètres!$A$1:$I$89,3,0)*0.475*44/12</f>
        <v>8.1018095384183635</v>
      </c>
      <c r="AW72" s="23">
        <f>EXP(-LN(2)/2)*AW71+(1-EXP(-LN(2)/2))/(LN(2)/2)*AQ72*AT72*VLOOKUP('Données projet'!$B$10,Paramètres!$A$1:$I$89,3,0)*0.475*44/12</f>
        <v>1.5967443230989029E-5</v>
      </c>
      <c r="AX72" s="23">
        <f t="shared" si="60"/>
        <v>20.279182778605282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867.72416854456674</v>
      </c>
      <c r="BI72" s="62">
        <f ca="1">AVERAGE(OFFSET($BH$3,0,0,'Données projet'!$E$11+1,1))-AVERAGE(OFFSET($H$3,0,0,'Données projet'!$E$11+1,1))</f>
        <v>439.06700232017681</v>
      </c>
      <c r="BJ72" s="62">
        <f t="shared" si="92"/>
        <v>278.21741231699929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3.0965988242112887</v>
      </c>
      <c r="BR72" s="23">
        <f>EXP(-LN(2)/2)*BR71+(1-EXP(-LN(2)/2))/(LN(2)/2)*BL72*BO72*VLOOKUP('Données projet'!$B$11,Paramètres!$A$1:$I$89,3,0)*0.475*44/12</f>
        <v>2.0108800424823696E-5</v>
      </c>
      <c r="BS72" s="24">
        <f t="shared" si="63"/>
        <v>3.0966189330117135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284.16335999999995</v>
      </c>
      <c r="CA72" s="14">
        <f t="shared" si="93"/>
        <v>67.846089314219739</v>
      </c>
      <c r="CB72" s="22">
        <f t="shared" si="64"/>
        <v>613.08312422226595</v>
      </c>
      <c r="CC72" s="62">
        <f t="shared" si="65"/>
        <v>906.41645755559921</v>
      </c>
      <c r="CD72" s="62">
        <f ca="1">AVERAGE(OFFSET($CC$3,0,0,'Données projet'!$E$12+1,1))-AVERAGE(OFFSET($H$3,0,0,'Données projet'!$E$12+1,1))</f>
        <v>466.4945858005575</v>
      </c>
      <c r="CE72" s="62">
        <f t="shared" si="94"/>
        <v>294.45557293177131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3.3101573638120687</v>
      </c>
      <c r="CM72" s="23">
        <f>EXP(-LN(2)/2)*CM71+(1-EXP(-LN(2)/2))/(LN(2)/2)*CG72*CJ72*VLOOKUP('Données projet'!$B$12,Paramètres!$A$1:$I$89,3,0)*0.475*44/12</f>
        <v>2.1495614247225363E-5</v>
      </c>
      <c r="CN72" s="24">
        <f t="shared" si="66"/>
        <v>3.310178859426316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197.08103999999997</v>
      </c>
      <c r="CV72" s="14">
        <f t="shared" si="95"/>
        <v>49.102120782543381</v>
      </c>
      <c r="CW72" s="22">
        <f t="shared" si="67"/>
        <v>428.76900502959637</v>
      </c>
      <c r="CX72" s="62">
        <f t="shared" si="68"/>
        <v>722.10233836292969</v>
      </c>
      <c r="CY72" s="62">
        <f ca="1">AVERAGE(OFFSET($CX$3,0,0,'Données projet'!$E$13+1,1))-AVERAGE(OFFSET($H$3,0,0,'Données projet'!$E$13+1,1))</f>
        <v>335.83558218229564</v>
      </c>
      <c r="CZ72" s="62">
        <f t="shared" si="96"/>
        <v>217.08423061559648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2.8296506497103162</v>
      </c>
      <c r="DH72" s="23">
        <f>EXP(-LN(2)/2)*DH71+(1-EXP(-LN(2)/2))/(LN(2)/2)*DB72*DE72*VLOOKUP('Données projet'!$B$13,Paramètres!$A$1:$I$89,3,0)*0.475*44/12</f>
        <v>1.4908248590817589E-5</v>
      </c>
      <c r="DI72" s="24">
        <f t="shared" si="69"/>
        <v>2.829665557958907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249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249.00000000000006</v>
      </c>
      <c r="O73" s="14">
        <f>N73*VLOOKUP('Données projet'!$B$9,Paramètres!$A$1:$I$89,3,0)*VLOOKUP('Données projet'!$B$9,Paramètres!$A$1:$I$89,5,0)</f>
        <v>217.52640000000008</v>
      </c>
      <c r="P73" s="14">
        <f t="shared" si="87"/>
        <v>53.576907690651254</v>
      </c>
      <c r="Q73" s="22">
        <f t="shared" si="54"/>
        <v>472.17159422788433</v>
      </c>
      <c r="R73" s="62">
        <f t="shared" si="55"/>
        <v>765.50492756121764</v>
      </c>
      <c r="S73" s="62">
        <f ca="1">AVERAGE(OFFSET($R$3,0,0,'Données projet'!$E$9+1,1))-AVERAGE(OFFSET($H$3,0,0,'Données projet'!$E$9+1,1))</f>
        <v>321.62968871874483</v>
      </c>
      <c r="T73" s="62">
        <f t="shared" si="88"/>
        <v>389.91636841473559</v>
      </c>
      <c r="U73" s="16">
        <f>IF(ISNA(VLOOKUP(A73,'Données projet'!$A$35:$I$55,3,0)),0,VLOOKUP(A73,'Données projet'!$A$35:$I$55,3,0))</f>
        <v>12</v>
      </c>
      <c r="V73" s="16">
        <f>IF(ISNA(VLOOKUP(A73,'Données projet'!$A$35:$I$55,4,0)),0,VLOOKUP(A73,'Données projet'!$A$35:$I$55,4,0))</f>
        <v>249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8.4387654488410995</v>
      </c>
      <c r="AB73" s="23">
        <f>EXP(-LN(2)/2)*AB72+(1-EXP(-LN(2)/2))/(LN(2)/2)*V73*Y73*VLOOKUP('Données projet'!$B$9,Paramètres!$A$1:$I$89,3,0)*0.475*44/12</f>
        <v>1.7420299608854429E-5</v>
      </c>
      <c r="AC73" s="24">
        <f t="shared" si="57"/>
        <v>8.4387828691407076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405.09126081846171</v>
      </c>
      <c r="AO73" s="62">
        <f t="shared" si="90"/>
        <v>534.22295841722166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11.938566724079717</v>
      </c>
      <c r="AV73" s="23">
        <f>EXP(-LN(2)/25)*AV72+(1-EXP(-LN(2)/25))/(LN(2)/25)*Calculateur!AQ73*Calculateur!AS73*VLOOKUP('Données projet'!$B$10,Paramètres!$A$1:$I$89,3,0)*0.475*44/12</f>
        <v>7.8802651305346663</v>
      </c>
      <c r="AW73" s="23">
        <f>EXP(-LN(2)/2)*AW72+(1-EXP(-LN(2)/2))/(LN(2)/2)*AQ73*AT73*VLOOKUP('Données projet'!$B$10,Paramètres!$A$1:$I$89,3,0)*0.475*44/12</f>
        <v>1.1290687386843579E-5</v>
      </c>
      <c r="AX73" s="23">
        <f t="shared" si="60"/>
        <v>19.81884314530177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883.38916182135404</v>
      </c>
      <c r="BI73" s="62">
        <f ca="1">AVERAGE(OFFSET($BH$3,0,0,'Données projet'!$E$11+1,1))-AVERAGE(OFFSET($H$3,0,0,'Données projet'!$E$11+1,1))</f>
        <v>439.06700232017681</v>
      </c>
      <c r="BJ73" s="62">
        <f t="shared" si="92"/>
        <v>278.21741231699929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3.0119221665201761</v>
      </c>
      <c r="BR73" s="23">
        <f>EXP(-LN(2)/2)*BR72+(1-EXP(-LN(2)/2))/(LN(2)/2)*BL73*BO73*VLOOKUP('Données projet'!$B$11,Paramètres!$A$1:$I$89,3,0)*0.475*44/12</f>
        <v>1.4219069141919763E-5</v>
      </c>
      <c r="BS73" s="24">
        <f t="shared" si="63"/>
        <v>3.0119363855893182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292.09439999999995</v>
      </c>
      <c r="CA73" s="14">
        <f t="shared" si="93"/>
        <v>69.516578973599849</v>
      </c>
      <c r="CB73" s="22">
        <f t="shared" si="64"/>
        <v>629.80578837901965</v>
      </c>
      <c r="CC73" s="62">
        <f t="shared" si="65"/>
        <v>923.13912171235302</v>
      </c>
      <c r="CD73" s="62">
        <f ca="1">AVERAGE(OFFSET($CC$3,0,0,'Données projet'!$E$12+1,1))-AVERAGE(OFFSET($H$3,0,0,'Données projet'!$E$12+1,1))</f>
        <v>466.4945858005575</v>
      </c>
      <c r="CE73" s="62">
        <f t="shared" si="94"/>
        <v>294.45557293177131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3.2196409366250176</v>
      </c>
      <c r="CM73" s="23">
        <f>EXP(-LN(2)/2)*CM72+(1-EXP(-LN(2)/2))/(LN(2)/2)*CG73*CJ73*VLOOKUP('Données projet'!$B$12,Paramètres!$A$1:$I$89,3,0)*0.475*44/12</f>
        <v>1.519969459998322E-5</v>
      </c>
      <c r="CN73" s="24">
        <f t="shared" si="66"/>
        <v>3.2196561363196174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202.58159999999998</v>
      </c>
      <c r="CV73" s="14">
        <f t="shared" si="95"/>
        <v>50.311101076764672</v>
      </c>
      <c r="CW73" s="22">
        <f t="shared" si="67"/>
        <v>440.4547877086984</v>
      </c>
      <c r="CX73" s="62">
        <f t="shared" si="68"/>
        <v>733.78812104203166</v>
      </c>
      <c r="CY73" s="62">
        <f ca="1">AVERAGE(OFFSET($CX$3,0,0,'Données projet'!$E$13+1,1))-AVERAGE(OFFSET($H$3,0,0,'Données projet'!$E$13+1,1))</f>
        <v>335.83558218229564</v>
      </c>
      <c r="CZ73" s="62">
        <f t="shared" si="96"/>
        <v>217.08423061559648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2.7522737038891272</v>
      </c>
      <c r="DH73" s="23">
        <f>EXP(-LN(2)/2)*DH72+(1-EXP(-LN(2)/2))/(LN(2)/2)*DB73*DE73*VLOOKUP('Données projet'!$B$13,Paramètres!$A$1:$I$89,3,0)*0.475*44/12</f>
        <v>1.0541723674181909E-5</v>
      </c>
      <c r="DI73" s="24">
        <f t="shared" si="69"/>
        <v>2.7522842456128012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4.9658410716801891E-14</v>
      </c>
      <c r="P74" s="14">
        <f t="shared" si="87"/>
        <v>8.0934058173791862E-13</v>
      </c>
      <c r="Q74" s="22">
        <f t="shared" si="54"/>
        <v>1.4960899118586383E-12</v>
      </c>
      <c r="R74" s="62">
        <f t="shared" si="55"/>
        <v>293.33333333333479</v>
      </c>
      <c r="S74" s="62">
        <f ca="1">AVERAGE(OFFSET($R$3,0,0,'Données projet'!$E$9+1,1))-AVERAGE(OFFSET($H$3,0,0,'Données projet'!$E$9+1,1))</f>
        <v>321.62968871874483</v>
      </c>
      <c r="T74" s="62">
        <f t="shared" si="88"/>
        <v>389.91636841473559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8.2080069638671525</v>
      </c>
      <c r="AB74" s="23">
        <f>EXP(-LN(2)/2)*AB73+(1-EXP(-LN(2)/2))/(LN(2)/2)*V74*Y74*VLOOKUP('Données projet'!$B$9,Paramètres!$A$1:$I$89,3,0)*0.475*44/12</f>
        <v>1.2318011983722328E-5</v>
      </c>
      <c r="AC74" s="24">
        <f t="shared" si="57"/>
        <v>8.2080192818791353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405.09126081846171</v>
      </c>
      <c r="AO74" s="62">
        <f t="shared" si="90"/>
        <v>534.22295841722166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11.704458712427197</v>
      </c>
      <c r="AV74" s="23">
        <f>EXP(-LN(2)/25)*AV73+(1-EXP(-LN(2)/25))/(LN(2)/25)*Calculateur!AQ74*Calculateur!AS74*VLOOKUP('Données projet'!$B$10,Paramètres!$A$1:$I$89,3,0)*0.475*44/12</f>
        <v>7.6647788661350633</v>
      </c>
      <c r="AW74" s="23">
        <f>EXP(-LN(2)/2)*AW73+(1-EXP(-LN(2)/2))/(LN(2)/2)*AQ74*AT74*VLOOKUP('Données projet'!$B$10,Paramètres!$A$1:$I$89,3,0)*0.475*44/12</f>
        <v>7.9837216154945144E-6</v>
      </c>
      <c r="AX74" s="23">
        <f t="shared" si="60"/>
        <v>19.369245562283876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844.40110880221437</v>
      </c>
      <c r="BI74" s="62">
        <f ca="1">AVERAGE(OFFSET($BH$3,0,0,'Données projet'!$E$11+1,1))-AVERAGE(OFFSET($H$3,0,0,'Données projet'!$E$11+1,1))</f>
        <v>439.06700232017681</v>
      </c>
      <c r="BJ74" s="62">
        <f t="shared" si="92"/>
        <v>278.21741231699929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2.929560996486579</v>
      </c>
      <c r="BR74" s="23">
        <f>EXP(-LN(2)/2)*BR73+(1-EXP(-LN(2)/2))/(LN(2)/2)*BL74*BO74*VLOOKUP('Données projet'!$B$11,Paramètres!$A$1:$I$89,3,0)*0.475*44/12</f>
        <v>1.0054400212411848E-5</v>
      </c>
      <c r="BS74" s="24">
        <f t="shared" si="63"/>
        <v>2.9295710508867914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272.36351999999999</v>
      </c>
      <c r="CA74" s="14">
        <f t="shared" si="93"/>
        <v>65.350613162347059</v>
      </c>
      <c r="CB74" s="22">
        <f t="shared" si="64"/>
        <v>588.18544859108772</v>
      </c>
      <c r="CC74" s="62">
        <f t="shared" si="65"/>
        <v>881.51878192442109</v>
      </c>
      <c r="CD74" s="62">
        <f ca="1">AVERAGE(OFFSET($CC$3,0,0,'Données projet'!$E$12+1,1))-AVERAGE(OFFSET($H$3,0,0,'Données projet'!$E$12+1,1))</f>
        <v>466.4945858005575</v>
      </c>
      <c r="CE74" s="62">
        <f t="shared" si="94"/>
        <v>294.45557293177131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3.1315996858994484</v>
      </c>
      <c r="CM74" s="23">
        <f>EXP(-LN(2)/2)*CM73+(1-EXP(-LN(2)/2))/(LN(2)/2)*CG74*CJ74*VLOOKUP('Données projet'!$B$12,Paramètres!$A$1:$I$89,3,0)*0.475*44/12</f>
        <v>1.0747807123612683E-5</v>
      </c>
      <c r="CN74" s="24">
        <f t="shared" si="66"/>
        <v>3.1316104337065718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188.89727999999997</v>
      </c>
      <c r="CV74" s="14">
        <f t="shared" si="95"/>
        <v>47.296074588020467</v>
      </c>
      <c r="CW74" s="22">
        <f t="shared" si="67"/>
        <v>411.37009257413553</v>
      </c>
      <c r="CX74" s="62">
        <f t="shared" si="68"/>
        <v>704.70342590746884</v>
      </c>
      <c r="CY74" s="62">
        <f ca="1">AVERAGE(OFFSET($CX$3,0,0,'Données projet'!$E$13+1,1))-AVERAGE(OFFSET($H$3,0,0,'Données projet'!$E$13+1,1))</f>
        <v>335.83558218229564</v>
      </c>
      <c r="CZ74" s="62">
        <f t="shared" si="96"/>
        <v>217.08423061559648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2.6770126347204952</v>
      </c>
      <c r="DH74" s="23">
        <f>EXP(-LN(2)/2)*DH73+(1-EXP(-LN(2)/2))/(LN(2)/2)*DB74*DE74*VLOOKUP('Données projet'!$B$13,Paramètres!$A$1:$I$89,3,0)*0.475*44/12</f>
        <v>7.454124295408796E-6</v>
      </c>
      <c r="DI74" s="24">
        <f t="shared" si="69"/>
        <v>2.6770200888447908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4.9658410716801891E-14</v>
      </c>
      <c r="P75" s="14">
        <f t="shared" si="87"/>
        <v>8.0934058173791862E-13</v>
      </c>
      <c r="Q75" s="22">
        <f t="shared" si="54"/>
        <v>1.4960899118586383E-12</v>
      </c>
      <c r="R75" s="62">
        <f t="shared" si="55"/>
        <v>293.33333333333479</v>
      </c>
      <c r="S75" s="62">
        <f ca="1">AVERAGE(OFFSET($R$3,0,0,'Données projet'!$E$9+1,1))-AVERAGE(OFFSET($H$3,0,0,'Données projet'!$E$9+1,1))</f>
        <v>321.62968871874483</v>
      </c>
      <c r="T75" s="62">
        <f t="shared" si="88"/>
        <v>389.91636841473559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7.9835585817998789</v>
      </c>
      <c r="AB75" s="23">
        <f>EXP(-LN(2)/2)*AB74+(1-EXP(-LN(2)/2))/(LN(2)/2)*V75*Y75*VLOOKUP('Données projet'!$B$9,Paramètres!$A$1:$I$89,3,0)*0.475*44/12</f>
        <v>8.7101498044272143E-6</v>
      </c>
      <c r="AC75" s="24">
        <f t="shared" si="57"/>
        <v>7.983567291949683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405.09126081846171</v>
      </c>
      <c r="AO75" s="62">
        <f t="shared" si="90"/>
        <v>534.22295841722166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11.474941416091395</v>
      </c>
      <c r="AV75" s="23">
        <f>EXP(-LN(2)/25)*AV74+(1-EXP(-LN(2)/25))/(LN(2)/25)*Calculateur!AQ75*Calculateur!AS75*VLOOKUP('Données projet'!$B$10,Paramètres!$A$1:$I$89,3,0)*0.475*44/12</f>
        <v>7.4551850849673977</v>
      </c>
      <c r="AW75" s="23">
        <f>EXP(-LN(2)/2)*AW74+(1-EXP(-LN(2)/2))/(LN(2)/2)*AQ75*AT75*VLOOKUP('Données projet'!$B$10,Paramètres!$A$1:$I$89,3,0)*0.475*44/12</f>
        <v>5.6453436934217893E-6</v>
      </c>
      <c r="AX75" s="23">
        <f t="shared" si="60"/>
        <v>18.930132146402489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858.93259888961916</v>
      </c>
      <c r="BI75" s="62">
        <f ca="1">AVERAGE(OFFSET($BH$3,0,0,'Données projet'!$E$11+1,1))-AVERAGE(OFFSET($H$3,0,0,'Données projet'!$E$11+1,1))</f>
        <v>439.06700232017681</v>
      </c>
      <c r="BJ75" s="62">
        <f t="shared" si="92"/>
        <v>278.21741231699929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2.8494519969787362</v>
      </c>
      <c r="BR75" s="23">
        <f>EXP(-LN(2)/2)*BR74+(1-EXP(-LN(2)/2))/(LN(2)/2)*BL75*BO75*VLOOKUP('Données projet'!$B$11,Paramètres!$A$1:$I$89,3,0)*0.475*44/12</f>
        <v>7.1095345709598816E-6</v>
      </c>
      <c r="BS75" s="24">
        <f t="shared" si="63"/>
        <v>2.849459106513307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279.71424000000002</v>
      </c>
      <c r="CA75" s="14">
        <f t="shared" si="93"/>
        <v>66.906615990158315</v>
      </c>
      <c r="CB75" s="22">
        <f t="shared" si="64"/>
        <v>603.69799084952581</v>
      </c>
      <c r="CC75" s="62">
        <f t="shared" si="65"/>
        <v>897.03132418285918</v>
      </c>
      <c r="CD75" s="62">
        <f ca="1">AVERAGE(OFFSET($CC$3,0,0,'Données projet'!$E$12+1,1))-AVERAGE(OFFSET($H$3,0,0,'Données projet'!$E$12+1,1))</f>
        <v>466.4945858005575</v>
      </c>
      <c r="CE75" s="62">
        <f t="shared" si="94"/>
        <v>294.45557293177131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3.0459659278048576</v>
      </c>
      <c r="CM75" s="23">
        <f>EXP(-LN(2)/2)*CM74+(1-EXP(-LN(2)/2))/(LN(2)/2)*CG75*CJ75*VLOOKUP('Données projet'!$B$12,Paramètres!$A$1:$I$89,3,0)*0.475*44/12</f>
        <v>7.5998472999916107E-6</v>
      </c>
      <c r="CN75" s="24">
        <f t="shared" si="66"/>
        <v>3.0459735276521576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193.99536000000001</v>
      </c>
      <c r="CV75" s="14">
        <f t="shared" si="95"/>
        <v>48.422197546048515</v>
      </c>
      <c r="CW75" s="22">
        <f t="shared" si="67"/>
        <v>422.21057939270116</v>
      </c>
      <c r="CX75" s="62">
        <f t="shared" si="68"/>
        <v>715.54391272603448</v>
      </c>
      <c r="CY75" s="62">
        <f ca="1">AVERAGE(OFFSET($CX$3,0,0,'Données projet'!$E$13+1,1))-AVERAGE(OFFSET($H$3,0,0,'Données projet'!$E$13+1,1))</f>
        <v>335.83558218229564</v>
      </c>
      <c r="CZ75" s="62">
        <f t="shared" si="96"/>
        <v>217.08423061559648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2.603809583446087</v>
      </c>
      <c r="DH75" s="23">
        <f>EXP(-LN(2)/2)*DH74+(1-EXP(-LN(2)/2))/(LN(2)/2)*DB75*DE75*VLOOKUP('Données projet'!$B$13,Paramètres!$A$1:$I$89,3,0)*0.475*44/12</f>
        <v>5.2708618370909554E-6</v>
      </c>
      <c r="DI75" s="24">
        <f t="shared" si="69"/>
        <v>2.6038148543079243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4.9658410716801891E-14</v>
      </c>
      <c r="P76" s="14">
        <f t="shared" si="87"/>
        <v>8.0934058173791862E-13</v>
      </c>
      <c r="Q76" s="22">
        <f t="shared" si="54"/>
        <v>1.4960899118586383E-12</v>
      </c>
      <c r="R76" s="62">
        <f t="shared" si="55"/>
        <v>293.33333333333479</v>
      </c>
      <c r="S76" s="62">
        <f ca="1">AVERAGE(OFFSET($R$3,0,0,'Données projet'!$E$9+1,1))-AVERAGE(OFFSET($H$3,0,0,'Données projet'!$E$9+1,1))</f>
        <v>321.62968871874483</v>
      </c>
      <c r="T76" s="62">
        <f t="shared" si="88"/>
        <v>389.91636841473559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7.7652477525434618</v>
      </c>
      <c r="AB76" s="23">
        <f>EXP(-LN(2)/2)*AB75+(1-EXP(-LN(2)/2))/(LN(2)/2)*V76*Y76*VLOOKUP('Données projet'!$B$9,Paramètres!$A$1:$I$89,3,0)*0.475*44/12</f>
        <v>6.1590059918611641E-6</v>
      </c>
      <c r="AC76" s="24">
        <f t="shared" si="57"/>
        <v>7.7652539115494532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405.09126081846171</v>
      </c>
      <c r="AO76" s="62">
        <f t="shared" si="90"/>
        <v>534.22295841722166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11.249924813945011</v>
      </c>
      <c r="AV76" s="23">
        <f>EXP(-LN(2)/25)*AV75+(1-EXP(-LN(2)/25))/(LN(2)/25)*Calculateur!AQ76*Calculateur!AS76*VLOOKUP('Données projet'!$B$10,Paramètres!$A$1:$I$89,3,0)*0.475*44/12</f>
        <v>7.2513226567678197</v>
      </c>
      <c r="AW76" s="23">
        <f>EXP(-LN(2)/2)*AW75+(1-EXP(-LN(2)/2))/(LN(2)/2)*AQ76*AT76*VLOOKUP('Données projet'!$B$10,Paramètres!$A$1:$I$89,3,0)*0.475*44/12</f>
        <v>3.9918608077472572E-6</v>
      </c>
      <c r="AX76" s="23">
        <f t="shared" si="60"/>
        <v>18.501251462573638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873.45628456578811</v>
      </c>
      <c r="BI76" s="62">
        <f ca="1">AVERAGE(OFFSET($BH$3,0,0,'Données projet'!$E$11+1,1))-AVERAGE(OFFSET($H$3,0,0,'Données projet'!$E$11+1,1))</f>
        <v>439.06700232017681</v>
      </c>
      <c r="BJ76" s="62">
        <f t="shared" si="92"/>
        <v>278.21741231699929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2.7715335822751848</v>
      </c>
      <c r="BR76" s="23">
        <f>EXP(-LN(2)/2)*BR75+(1-EXP(-LN(2)/2))/(LN(2)/2)*BL76*BO76*VLOOKUP('Données projet'!$B$11,Paramètres!$A$1:$I$89,3,0)*0.475*44/12</f>
        <v>5.027200106205924E-6</v>
      </c>
      <c r="BS76" s="24">
        <f t="shared" si="63"/>
        <v>2.7715386094752912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287.06496000000004</v>
      </c>
      <c r="CA76" s="14">
        <f t="shared" si="93"/>
        <v>68.457865822206315</v>
      </c>
      <c r="CB76" s="22">
        <f t="shared" si="64"/>
        <v>619.20225497367608</v>
      </c>
      <c r="CC76" s="62">
        <f t="shared" si="65"/>
        <v>912.53558830700945</v>
      </c>
      <c r="CD76" s="62">
        <f ca="1">AVERAGE(OFFSET($CC$3,0,0,'Données projet'!$E$12+1,1))-AVERAGE(OFFSET($H$3,0,0,'Données projet'!$E$12+1,1))</f>
        <v>466.4945858005575</v>
      </c>
      <c r="CE76" s="62">
        <f t="shared" si="94"/>
        <v>294.45557293177131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2.9626738293286472</v>
      </c>
      <c r="CM76" s="23">
        <f>EXP(-LN(2)/2)*CM75+(1-EXP(-LN(2)/2))/(LN(2)/2)*CG76*CJ76*VLOOKUP('Données projet'!$B$12,Paramètres!$A$1:$I$89,3,0)*0.475*44/12</f>
        <v>5.3739035618063423E-6</v>
      </c>
      <c r="CN76" s="24">
        <f t="shared" si="66"/>
        <v>2.9626792032322089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199.09344000000002</v>
      </c>
      <c r="CV76" s="14">
        <f t="shared" si="95"/>
        <v>49.544880627520683</v>
      </c>
      <c r="CW76" s="22">
        <f t="shared" si="67"/>
        <v>433.04507509293188</v>
      </c>
      <c r="CX76" s="62">
        <f t="shared" si="68"/>
        <v>726.3784084262652</v>
      </c>
      <c r="CY76" s="62">
        <f ca="1">AVERAGE(OFFSET($CX$3,0,0,'Données projet'!$E$13+1,1))-AVERAGE(OFFSET($H$3,0,0,'Données projet'!$E$13+1,1))</f>
        <v>335.83558218229564</v>
      </c>
      <c r="CZ76" s="62">
        <f t="shared" si="96"/>
        <v>217.08423061559648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2.5326082734583588</v>
      </c>
      <c r="DH76" s="23">
        <f>EXP(-LN(2)/2)*DH75+(1-EXP(-LN(2)/2))/(LN(2)/2)*DB76*DE76*VLOOKUP('Données projet'!$B$13,Paramètres!$A$1:$I$89,3,0)*0.475*44/12</f>
        <v>3.7270621477043984E-6</v>
      </c>
      <c r="DI76" s="24">
        <f t="shared" si="69"/>
        <v>2.5326120005205066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4.9658410716801891E-14</v>
      </c>
      <c r="P77" s="14">
        <f t="shared" si="87"/>
        <v>8.0934058173791862E-13</v>
      </c>
      <c r="Q77" s="22">
        <f t="shared" si="54"/>
        <v>1.4960899118586383E-12</v>
      </c>
      <c r="R77" s="62">
        <f t="shared" si="55"/>
        <v>293.33333333333479</v>
      </c>
      <c r="S77" s="62">
        <f ca="1">AVERAGE(OFFSET($R$3,0,0,'Données projet'!$E$9+1,1))-AVERAGE(OFFSET($H$3,0,0,'Données projet'!$E$9+1,1))</f>
        <v>321.62968871874483</v>
      </c>
      <c r="T77" s="62">
        <f t="shared" si="88"/>
        <v>389.91636841473559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7.5529066443935289</v>
      </c>
      <c r="AB77" s="23">
        <f>EXP(-LN(2)/2)*AB76+(1-EXP(-LN(2)/2))/(LN(2)/2)*V77*Y77*VLOOKUP('Données projet'!$B$9,Paramètres!$A$1:$I$89,3,0)*0.475*44/12</f>
        <v>4.3550749022136071E-6</v>
      </c>
      <c r="AC77" s="24">
        <f t="shared" si="57"/>
        <v>7.5529109994684314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405.09126081846171</v>
      </c>
      <c r="AO77" s="62">
        <f t="shared" si="90"/>
        <v>534.22295841722166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11.029320650120141</v>
      </c>
      <c r="AV77" s="23">
        <f>EXP(-LN(2)/25)*AV76+(1-EXP(-LN(2)/25))/(LN(2)/25)*Calculateur!AQ77*Calculateur!AS77*VLOOKUP('Données projet'!$B$10,Paramètres!$A$1:$I$89,3,0)*0.475*44/12</f>
        <v>7.0530348573880186</v>
      </c>
      <c r="AW77" s="23">
        <f>EXP(-LN(2)/2)*AW76+(1-EXP(-LN(2)/2))/(LN(2)/2)*AQ77*AT77*VLOOKUP('Données projet'!$B$10,Paramètres!$A$1:$I$89,3,0)*0.475*44/12</f>
        <v>2.8226718467108947E-6</v>
      </c>
      <c r="AX77" s="23">
        <f t="shared" si="60"/>
        <v>18.082358330180007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887.97238865302188</v>
      </c>
      <c r="BI77" s="62">
        <f ca="1">AVERAGE(OFFSET($BH$3,0,0,'Données projet'!$E$11+1,1))-AVERAGE(OFFSET($H$3,0,0,'Données projet'!$E$11+1,1))</f>
        <v>439.06700232017681</v>
      </c>
      <c r="BJ77" s="62">
        <f t="shared" si="92"/>
        <v>278.21741231699929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2.6957458507192533</v>
      </c>
      <c r="BR77" s="23">
        <f>EXP(-LN(2)/2)*BR76+(1-EXP(-LN(2)/2))/(LN(2)/2)*BL77*BO77*VLOOKUP('Données projet'!$B$11,Paramètres!$A$1:$I$89,3,0)*0.475*44/12</f>
        <v>3.5547672854799408E-6</v>
      </c>
      <c r="BS77" s="24">
        <f t="shared" si="63"/>
        <v>2.6957494054865387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294.41568000000001</v>
      </c>
      <c r="CA77" s="14">
        <f t="shared" si="93"/>
        <v>70.004498360393455</v>
      </c>
      <c r="CB77" s="22">
        <f t="shared" si="64"/>
        <v>634.69847731101868</v>
      </c>
      <c r="CC77" s="62">
        <f t="shared" si="65"/>
        <v>928.03181064435194</v>
      </c>
      <c r="CD77" s="62">
        <f ca="1">AVERAGE(OFFSET($CC$3,0,0,'Données projet'!$E$12+1,1))-AVERAGE(OFFSET($H$3,0,0,'Données projet'!$E$12+1,1))</f>
        <v>466.4945858005575</v>
      </c>
      <c r="CE77" s="62">
        <f t="shared" si="94"/>
        <v>294.45557293177131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2.8816593576654101</v>
      </c>
      <c r="CM77" s="23">
        <f>EXP(-LN(2)/2)*CM76+(1-EXP(-LN(2)/2))/(LN(2)/2)*CG77*CJ77*VLOOKUP('Données projet'!$B$12,Paramètres!$A$1:$I$89,3,0)*0.475*44/12</f>
        <v>3.7999236499958058E-6</v>
      </c>
      <c r="CN77" s="24">
        <f t="shared" si="66"/>
        <v>2.8816631575890601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204.19152000000005</v>
      </c>
      <c r="CV77" s="14">
        <f t="shared" si="95"/>
        <v>50.66422204371576</v>
      </c>
      <c r="CW77" s="22">
        <f t="shared" si="67"/>
        <v>443.87375072613833</v>
      </c>
      <c r="CX77" s="62">
        <f t="shared" si="68"/>
        <v>737.20708405947164</v>
      </c>
      <c r="CY77" s="62">
        <f ca="1">AVERAGE(OFFSET($CX$3,0,0,'Données projet'!$E$13+1,1))-AVERAGE(OFFSET($H$3,0,0,'Données projet'!$E$13+1,1))</f>
        <v>335.83558218229564</v>
      </c>
      <c r="CZ77" s="62">
        <f t="shared" si="96"/>
        <v>217.08423061559648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2.4633539670365594</v>
      </c>
      <c r="DH77" s="23">
        <f>EXP(-LN(2)/2)*DH76+(1-EXP(-LN(2)/2))/(LN(2)/2)*DB77*DE77*VLOOKUP('Données projet'!$B$13,Paramètres!$A$1:$I$89,3,0)*0.475*44/12</f>
        <v>2.6354309185454781E-6</v>
      </c>
      <c r="DI77" s="24">
        <f t="shared" si="69"/>
        <v>2.4633566024674778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4.9658410716801891E-14</v>
      </c>
      <c r="P78" s="14">
        <f t="shared" si="87"/>
        <v>8.0934058173791862E-13</v>
      </c>
      <c r="Q78" s="22">
        <f t="shared" si="54"/>
        <v>1.4960899118586383E-12</v>
      </c>
      <c r="R78" s="62">
        <f t="shared" si="55"/>
        <v>293.33333333333479</v>
      </c>
      <c r="S78" s="62">
        <f ca="1">AVERAGE(OFFSET($R$3,0,0,'Données projet'!$E$9+1,1))-AVERAGE(OFFSET($H$3,0,0,'Données projet'!$E$9+1,1))</f>
        <v>321.62968871874483</v>
      </c>
      <c r="T78" s="62">
        <f t="shared" si="88"/>
        <v>389.91636841473559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7.3463720150124896</v>
      </c>
      <c r="AB78" s="23">
        <f>EXP(-LN(2)/2)*AB77+(1-EXP(-LN(2)/2))/(LN(2)/2)*V78*Y78*VLOOKUP('Données projet'!$B$9,Paramètres!$A$1:$I$89,3,0)*0.475*44/12</f>
        <v>3.079502995930582E-6</v>
      </c>
      <c r="AC78" s="24">
        <f t="shared" si="57"/>
        <v>7.3463750945154853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405.09126081846171</v>
      </c>
      <c r="AO78" s="62">
        <f t="shared" si="90"/>
        <v>534.22295841722166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10.813042399392623</v>
      </c>
      <c r="AV78" s="23">
        <f>EXP(-LN(2)/25)*AV77+(1-EXP(-LN(2)/25))/(LN(2)/25)*Calculateur!AQ78*Calculateur!AS78*VLOOKUP('Données projet'!$B$10,Paramètres!$A$1:$I$89,3,0)*0.475*44/12</f>
        <v>6.8601692483097603</v>
      </c>
      <c r="AW78" s="23">
        <f>EXP(-LN(2)/2)*AW77+(1-EXP(-LN(2)/2))/(LN(2)/2)*AQ78*AT78*VLOOKUP('Données projet'!$B$10,Paramètres!$A$1:$I$89,3,0)*0.475*44/12</f>
        <v>1.9959304038736286E-6</v>
      </c>
      <c r="AX78" s="23">
        <f t="shared" si="60"/>
        <v>17.673213643632788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902.4811222129938</v>
      </c>
      <c r="BI78" s="62">
        <f ca="1">AVERAGE(OFFSET($BH$3,0,0,'Données projet'!$E$11+1,1))-AVERAGE(OFFSET($H$3,0,0,'Données projet'!$E$11+1,1))</f>
        <v>439.06700232017681</v>
      </c>
      <c r="BJ78" s="62">
        <f t="shared" si="92"/>
        <v>278.21741231699929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2.6220305386682221</v>
      </c>
      <c r="BR78" s="23">
        <f>EXP(-LN(2)/2)*BR77+(1-EXP(-LN(2)/2))/(LN(2)/2)*BL78*BO78*VLOOKUP('Données projet'!$B$11,Paramètres!$A$1:$I$89,3,0)*0.475*44/12</f>
        <v>2.513600053102962E-6</v>
      </c>
      <c r="BS78" s="24">
        <f t="shared" si="63"/>
        <v>2.6220330522682751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301.76640000000003</v>
      </c>
      <c r="CA78" s="14">
        <f t="shared" si="93"/>
        <v>71.546642144235364</v>
      </c>
      <c r="CB78" s="22">
        <f t="shared" si="64"/>
        <v>650.18688173454336</v>
      </c>
      <c r="CC78" s="62">
        <f t="shared" si="65"/>
        <v>943.52021506787673</v>
      </c>
      <c r="CD78" s="62">
        <f ca="1">AVERAGE(OFFSET($CC$3,0,0,'Données projet'!$E$12+1,1))-AVERAGE(OFFSET($H$3,0,0,'Données projet'!$E$12+1,1))</f>
        <v>466.4945858005575</v>
      </c>
      <c r="CE78" s="62">
        <f t="shared" si="94"/>
        <v>294.45557293177131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2.80286023099017</v>
      </c>
      <c r="CM78" s="23">
        <f>EXP(-LN(2)/2)*CM77+(1-EXP(-LN(2)/2))/(LN(2)/2)*CG78*CJ78*VLOOKUP('Données projet'!$B$12,Paramètres!$A$1:$I$89,3,0)*0.475*44/12</f>
        <v>2.6869517809031716E-6</v>
      </c>
      <c r="CN78" s="24">
        <f t="shared" si="66"/>
        <v>2.8028629179419511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209.28960000000004</v>
      </c>
      <c r="CV78" s="14">
        <f t="shared" si="95"/>
        <v>51.780314822292212</v>
      </c>
      <c r="CW78" s="22">
        <f t="shared" si="67"/>
        <v>454.69676831549236</v>
      </c>
      <c r="CX78" s="62">
        <f t="shared" si="68"/>
        <v>748.03010164882562</v>
      </c>
      <c r="CY78" s="62">
        <f ca="1">AVERAGE(OFFSET($CX$3,0,0,'Données projet'!$E$13+1,1))-AVERAGE(OFFSET($H$3,0,0,'Données projet'!$E$13+1,1))</f>
        <v>335.83558218229564</v>
      </c>
      <c r="CZ78" s="62">
        <f t="shared" si="96"/>
        <v>217.08423061559648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2.3959934232657898</v>
      </c>
      <c r="DH78" s="23">
        <f>EXP(-LN(2)/2)*DH77+(1-EXP(-LN(2)/2))/(LN(2)/2)*DB78*DE78*VLOOKUP('Données projet'!$B$13,Paramètres!$A$1:$I$89,3,0)*0.475*44/12</f>
        <v>1.8635310738521994E-6</v>
      </c>
      <c r="DI78" s="24">
        <f t="shared" si="69"/>
        <v>2.3959952867968637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4.9658410716801891E-14</v>
      </c>
      <c r="P79" s="14">
        <f t="shared" si="87"/>
        <v>8.0934058173791862E-13</v>
      </c>
      <c r="Q79" s="22">
        <f t="shared" si="54"/>
        <v>1.4960899118586383E-12</v>
      </c>
      <c r="R79" s="62">
        <f t="shared" si="55"/>
        <v>293.33333333333479</v>
      </c>
      <c r="S79" s="62">
        <f ca="1">AVERAGE(OFFSET($R$3,0,0,'Données projet'!$E$9+1,1))-AVERAGE(OFFSET($H$3,0,0,'Données projet'!$E$9+1,1))</f>
        <v>321.62968871874483</v>
      </c>
      <c r="T79" s="62">
        <f t="shared" si="88"/>
        <v>389.91636841473559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7.1454850859330588</v>
      </c>
      <c r="AB79" s="23">
        <f>EXP(-LN(2)/2)*AB78+(1-EXP(-LN(2)/2))/(LN(2)/2)*V79*Y79*VLOOKUP('Données projet'!$B$9,Paramètres!$A$1:$I$89,3,0)*0.475*44/12</f>
        <v>2.1775374511068036E-6</v>
      </c>
      <c r="AC79" s="24">
        <f t="shared" si="57"/>
        <v>7.1454872634705096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405.09126081846171</v>
      </c>
      <c r="AO79" s="62">
        <f t="shared" si="90"/>
        <v>534.22295841722166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10.601005233245166</v>
      </c>
      <c r="AV79" s="23">
        <f>EXP(-LN(2)/25)*AV78+(1-EXP(-LN(2)/25))/(LN(2)/25)*Calculateur!AQ79*Calculateur!AS79*VLOOKUP('Données projet'!$B$10,Paramètres!$A$1:$I$89,3,0)*0.475*44/12</f>
        <v>6.6725775594541084</v>
      </c>
      <c r="AW79" s="23">
        <f>EXP(-LN(2)/2)*AW78+(1-EXP(-LN(2)/2))/(LN(2)/2)*AQ79*AT79*VLOOKUP('Données projet'!$B$10,Paramètres!$A$1:$I$89,3,0)*0.475*44/12</f>
        <v>1.4113359233554473E-6</v>
      </c>
      <c r="AX79" s="23">
        <f t="shared" si="60"/>
        <v>17.273584204035195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862.75536878254502</v>
      </c>
      <c r="BI79" s="62">
        <f ca="1">AVERAGE(OFFSET($BH$3,0,0,'Données projet'!$E$11+1,1))-AVERAGE(OFFSET($H$3,0,0,'Données projet'!$E$11+1,1))</f>
        <v>439.06700232017681</v>
      </c>
      <c r="BJ79" s="62">
        <f t="shared" si="92"/>
        <v>278.21741231699929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2.5503309757017463</v>
      </c>
      <c r="BR79" s="23">
        <f>EXP(-LN(2)/2)*BR78+(1-EXP(-LN(2)/2))/(LN(2)/2)*BL79*BO79*VLOOKUP('Données projet'!$B$11,Paramètres!$A$1:$I$89,3,0)*0.475*44/12</f>
        <v>1.7773836427399704E-6</v>
      </c>
      <c r="BS79" s="24">
        <f t="shared" si="63"/>
        <v>2.5503327530853892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281.64864000000006</v>
      </c>
      <c r="CA79" s="14">
        <f t="shared" si="93"/>
        <v>67.315294774697747</v>
      </c>
      <c r="CB79" s="22">
        <f t="shared" si="64"/>
        <v>607.77885306593191</v>
      </c>
      <c r="CC79" s="62">
        <f t="shared" si="65"/>
        <v>901.11218639926528</v>
      </c>
      <c r="CD79" s="62">
        <f ca="1">AVERAGE(OFFSET($CC$3,0,0,'Données projet'!$E$12+1,1))-AVERAGE(OFFSET($H$3,0,0,'Données projet'!$E$12+1,1))</f>
        <v>466.4945858005575</v>
      </c>
      <c r="CE79" s="62">
        <f t="shared" si="94"/>
        <v>294.45557293177131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2.7262158705777302</v>
      </c>
      <c r="CM79" s="23">
        <f>EXP(-LN(2)/2)*CM78+(1-EXP(-LN(2)/2))/(LN(2)/2)*CG79*CJ79*VLOOKUP('Données projet'!$B$12,Paramètres!$A$1:$I$89,3,0)*0.475*44/12</f>
        <v>1.8999618249979033E-6</v>
      </c>
      <c r="CN79" s="24">
        <f t="shared" si="66"/>
        <v>2.7262177705395554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195.33696000000003</v>
      </c>
      <c r="CV79" s="14">
        <f t="shared" si="95"/>
        <v>48.717969863105488</v>
      </c>
      <c r="CW79" s="22">
        <f t="shared" si="67"/>
        <v>425.06233617824211</v>
      </c>
      <c r="CX79" s="62">
        <f t="shared" si="68"/>
        <v>718.39566951157542</v>
      </c>
      <c r="CY79" s="62">
        <f ca="1">AVERAGE(OFFSET($CX$3,0,0,'Données projet'!$E$13+1,1))-AVERAGE(OFFSET($H$3,0,0,'Données projet'!$E$13+1,1))</f>
        <v>335.83558218229564</v>
      </c>
      <c r="CZ79" s="62">
        <f t="shared" si="96"/>
        <v>217.08423061559648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2.3304748571067688</v>
      </c>
      <c r="DH79" s="23">
        <f>EXP(-LN(2)/2)*DH78+(1-EXP(-LN(2)/2))/(LN(2)/2)*DB79*DE79*VLOOKUP('Données projet'!$B$13,Paramètres!$A$1:$I$89,3,0)*0.475*44/12</f>
        <v>1.3177154592727393E-6</v>
      </c>
      <c r="DI79" s="24">
        <f t="shared" si="69"/>
        <v>2.3304761748222282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4.9658410716801891E-14</v>
      </c>
      <c r="P80" s="14">
        <f t="shared" si="87"/>
        <v>8.0934058173791862E-13</v>
      </c>
      <c r="Q80" s="22">
        <f t="shared" si="54"/>
        <v>1.4960899118586383E-12</v>
      </c>
      <c r="R80" s="62">
        <f t="shared" si="55"/>
        <v>293.33333333333479</v>
      </c>
      <c r="S80" s="62">
        <f ca="1">AVERAGE(OFFSET($R$3,0,0,'Données projet'!$E$9+1,1))-AVERAGE(OFFSET($H$3,0,0,'Données projet'!$E$9+1,1))</f>
        <v>321.62968871874483</v>
      </c>
      <c r="T80" s="62">
        <f t="shared" si="88"/>
        <v>389.91636841473559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6.9500914204934894</v>
      </c>
      <c r="AB80" s="23">
        <f>EXP(-LN(2)/2)*AB79+(1-EXP(-LN(2)/2))/(LN(2)/2)*V80*Y80*VLOOKUP('Données projet'!$B$9,Paramètres!$A$1:$I$89,3,0)*0.475*44/12</f>
        <v>1.539751497965291E-6</v>
      </c>
      <c r="AC80" s="24">
        <f t="shared" si="57"/>
        <v>6.9500929602449872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405.09126081846171</v>
      </c>
      <c r="AO80" s="62">
        <f t="shared" si="90"/>
        <v>534.22295841722166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10.393125986595958</v>
      </c>
      <c r="AV80" s="23">
        <f>EXP(-LN(2)/25)*AV79+(1-EXP(-LN(2)/25))/(LN(2)/25)*Calculateur!AQ80*Calculateur!AS80*VLOOKUP('Données projet'!$B$10,Paramètres!$A$1:$I$89,3,0)*0.475*44/12</f>
        <v>6.4901155751952322</v>
      </c>
      <c r="AW80" s="23">
        <f>EXP(-LN(2)/2)*AW79+(1-EXP(-LN(2)/2))/(LN(2)/2)*AQ80*AT80*VLOOKUP('Données projet'!$B$10,Paramètres!$A$1:$I$89,3,0)*0.475*44/12</f>
        <v>9.979652019368143E-7</v>
      </c>
      <c r="AX80" s="23">
        <f t="shared" si="60"/>
        <v>16.883242559756393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876.51292928016551</v>
      </c>
      <c r="BI80" s="62">
        <f ca="1">AVERAGE(OFFSET($BH$3,0,0,'Données projet'!$E$11+1,1))-AVERAGE(OFFSET($H$3,0,0,'Données projet'!$E$11+1,1))</f>
        <v>439.06700232017681</v>
      </c>
      <c r="BJ80" s="62">
        <f t="shared" si="92"/>
        <v>278.21741231699929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2.4805920410551048</v>
      </c>
      <c r="BR80" s="23">
        <f>EXP(-LN(2)/2)*BR79+(1-EXP(-LN(2)/2))/(LN(2)/2)*BL80*BO80*VLOOKUP('Données projet'!$B$11,Paramètres!$A$1:$I$89,3,0)*0.475*44/12</f>
        <v>1.256800026551481E-6</v>
      </c>
      <c r="BS80" s="24">
        <f t="shared" si="63"/>
        <v>2.4805932978551315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288.61248000000001</v>
      </c>
      <c r="CA80" s="14">
        <f t="shared" si="93"/>
        <v>68.783851967051476</v>
      </c>
      <c r="CB80" s="22">
        <f t="shared" si="64"/>
        <v>622.4652781759479</v>
      </c>
      <c r="CC80" s="62">
        <f t="shared" si="65"/>
        <v>915.79861150928127</v>
      </c>
      <c r="CD80" s="62">
        <f ca="1">AVERAGE(OFFSET($CC$3,0,0,'Données projet'!$E$12+1,1))-AVERAGE(OFFSET($H$3,0,0,'Données projet'!$E$12+1,1))</f>
        <v>466.4945858005575</v>
      </c>
      <c r="CE80" s="62">
        <f t="shared" si="94"/>
        <v>294.45557293177131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2.6516673542313205</v>
      </c>
      <c r="CM80" s="23">
        <f>EXP(-LN(2)/2)*CM79+(1-EXP(-LN(2)/2))/(LN(2)/2)*CG80*CJ80*VLOOKUP('Données projet'!$B$12,Paramètres!$A$1:$I$89,3,0)*0.475*44/12</f>
        <v>1.343475890451586E-6</v>
      </c>
      <c r="CN80" s="24">
        <f t="shared" si="66"/>
        <v>2.651668697707211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200.16672000000003</v>
      </c>
      <c r="CV80" s="14">
        <f t="shared" si="95"/>
        <v>49.780805958212774</v>
      </c>
      <c r="CW80" s="22">
        <f t="shared" si="67"/>
        <v>435.32527437722064</v>
      </c>
      <c r="CX80" s="62">
        <f t="shared" si="68"/>
        <v>728.65860771055395</v>
      </c>
      <c r="CY80" s="62">
        <f ca="1">AVERAGE(OFFSET($CX$3,0,0,'Données projet'!$E$13+1,1))-AVERAGE(OFFSET($H$3,0,0,'Données projet'!$E$13+1,1))</f>
        <v>335.83558218229564</v>
      </c>
      <c r="CZ80" s="62">
        <f t="shared" si="96"/>
        <v>217.08423061559648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2.2667478995848378</v>
      </c>
      <c r="DH80" s="23">
        <f>EXP(-LN(2)/2)*DH79+(1-EXP(-LN(2)/2))/(LN(2)/2)*DB80*DE80*VLOOKUP('Données projet'!$B$13,Paramètres!$A$1:$I$89,3,0)*0.475*44/12</f>
        <v>9.3176553692609992E-7</v>
      </c>
      <c r="DI80" s="24">
        <f t="shared" si="69"/>
        <v>2.2667488313503745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4.9658410716801891E-14</v>
      </c>
      <c r="P81" s="14">
        <f t="shared" si="87"/>
        <v>8.0934058173791862E-13</v>
      </c>
      <c r="Q81" s="22">
        <f t="shared" si="54"/>
        <v>1.4960899118586383E-12</v>
      </c>
      <c r="R81" s="62">
        <f t="shared" si="55"/>
        <v>293.33333333333479</v>
      </c>
      <c r="S81" s="62">
        <f ca="1">AVERAGE(OFFSET($R$3,0,0,'Données projet'!$E$9+1,1))-AVERAGE(OFFSET($H$3,0,0,'Données projet'!$E$9+1,1))</f>
        <v>321.62968871874483</v>
      </c>
      <c r="T81" s="62">
        <f t="shared" si="88"/>
        <v>389.91636841473559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6.7600408051106715</v>
      </c>
      <c r="AB81" s="23">
        <f>EXP(-LN(2)/2)*AB80+(1-EXP(-LN(2)/2))/(LN(2)/2)*V81*Y81*VLOOKUP('Données projet'!$B$9,Paramètres!$A$1:$I$89,3,0)*0.475*44/12</f>
        <v>1.0887687255534018E-6</v>
      </c>
      <c r="AC81" s="24">
        <f t="shared" si="57"/>
        <v>6.7600418938793974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405.09126081846171</v>
      </c>
      <c r="AO81" s="62">
        <f t="shared" si="90"/>
        <v>534.22295841722166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10.189323125179721</v>
      </c>
      <c r="AV81" s="23">
        <f>EXP(-LN(2)/25)*AV80+(1-EXP(-LN(2)/25))/(LN(2)/25)*Calculateur!AQ81*Calculateur!AS81*VLOOKUP('Données projet'!$B$10,Paramètres!$A$1:$I$89,3,0)*0.475*44/12</f>
        <v>6.3126430234911739</v>
      </c>
      <c r="AW81" s="23">
        <f>EXP(-LN(2)/2)*AW80+(1-EXP(-LN(2)/2))/(LN(2)/2)*AQ81*AT81*VLOOKUP('Données projet'!$B$10,Paramètres!$A$1:$I$89,3,0)*0.475*44/12</f>
        <v>7.0566796167772367E-7</v>
      </c>
      <c r="AX81" s="23">
        <f t="shared" si="60"/>
        <v>16.501966854338857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890.26372606671134</v>
      </c>
      <c r="BI81" s="62">
        <f ca="1">AVERAGE(OFFSET($BH$3,0,0,'Données projet'!$E$11+1,1))-AVERAGE(OFFSET($H$3,0,0,'Données projet'!$E$11+1,1))</f>
        <v>439.06700232017681</v>
      </c>
      <c r="BJ81" s="62">
        <f t="shared" si="92"/>
        <v>278.21741231699929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2.412760121243787</v>
      </c>
      <c r="BR81" s="23">
        <f>EXP(-LN(2)/2)*BR80+(1-EXP(-LN(2)/2))/(LN(2)/2)*BL81*BO81*VLOOKUP('Données projet'!$B$11,Paramètres!$A$1:$I$89,3,0)*0.475*44/12</f>
        <v>8.886918213699852E-7</v>
      </c>
      <c r="BS81" s="24">
        <f t="shared" si="63"/>
        <v>2.4127610099356085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295.57632000000001</v>
      </c>
      <c r="CA81" s="14">
        <f t="shared" si="93"/>
        <v>70.24828996461811</v>
      </c>
      <c r="CB81" s="22">
        <f t="shared" si="64"/>
        <v>637.1445290217099</v>
      </c>
      <c r="CC81" s="62">
        <f t="shared" si="65"/>
        <v>930.47786235504327</v>
      </c>
      <c r="CD81" s="62">
        <f ca="1">AVERAGE(OFFSET($CC$3,0,0,'Données projet'!$E$12+1,1))-AVERAGE(OFFSET($H$3,0,0,'Données projet'!$E$12+1,1))</f>
        <v>466.4945858005575</v>
      </c>
      <c r="CE81" s="62">
        <f t="shared" si="94"/>
        <v>294.45557293177131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2.5791573709847393</v>
      </c>
      <c r="CM81" s="23">
        <f>EXP(-LN(2)/2)*CM80+(1-EXP(-LN(2)/2))/(LN(2)/2)*CG81*CJ81*VLOOKUP('Données projet'!$B$12,Paramètres!$A$1:$I$89,3,0)*0.475*44/12</f>
        <v>9.4998091249895176E-7</v>
      </c>
      <c r="CN81" s="24">
        <f t="shared" si="66"/>
        <v>2.5791583209656519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204.99648000000002</v>
      </c>
      <c r="CV81" s="14">
        <f t="shared" si="95"/>
        <v>50.840660876335356</v>
      </c>
      <c r="CW81" s="22">
        <f t="shared" si="67"/>
        <v>445.58302035961742</v>
      </c>
      <c r="CX81" s="62">
        <f t="shared" si="68"/>
        <v>738.91635369295068</v>
      </c>
      <c r="CY81" s="62">
        <f ca="1">AVERAGE(OFFSET($CX$3,0,0,'Données projet'!$E$13+1,1))-AVERAGE(OFFSET($H$3,0,0,'Données projet'!$E$13+1,1))</f>
        <v>335.83558218229564</v>
      </c>
      <c r="CZ81" s="62">
        <f t="shared" si="96"/>
        <v>217.08423061559648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2.2047635590675991</v>
      </c>
      <c r="DH81" s="23">
        <f>EXP(-LN(2)/2)*DH80+(1-EXP(-LN(2)/2))/(LN(2)/2)*DB81*DE81*VLOOKUP('Données projet'!$B$13,Paramètres!$A$1:$I$89,3,0)*0.475*44/12</f>
        <v>6.5885772963636974E-7</v>
      </c>
      <c r="DI81" s="24">
        <f t="shared" si="69"/>
        <v>2.2047642179253288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4.9658410716801891E-14</v>
      </c>
      <c r="P82" s="14">
        <f t="shared" si="87"/>
        <v>8.0934058173791862E-13</v>
      </c>
      <c r="Q82" s="22">
        <f t="shared" si="54"/>
        <v>1.4960899118586383E-12</v>
      </c>
      <c r="R82" s="62">
        <f t="shared" si="55"/>
        <v>293.33333333333479</v>
      </c>
      <c r="S82" s="62">
        <f ca="1">AVERAGE(OFFSET($R$3,0,0,'Données projet'!$E$9+1,1))-AVERAGE(OFFSET($H$3,0,0,'Données projet'!$E$9+1,1))</f>
        <v>321.62968871874483</v>
      </c>
      <c r="T82" s="62">
        <f t="shared" si="88"/>
        <v>389.91636841473559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6.5751871337998242</v>
      </c>
      <c r="AB82" s="23">
        <f>EXP(-LN(2)/2)*AB81+(1-EXP(-LN(2)/2))/(LN(2)/2)*V82*Y82*VLOOKUP('Données projet'!$B$9,Paramètres!$A$1:$I$89,3,0)*0.475*44/12</f>
        <v>7.6987574898264551E-7</v>
      </c>
      <c r="AC82" s="24">
        <f t="shared" si="57"/>
        <v>6.5751879036755732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405.09126081846171</v>
      </c>
      <c r="AO82" s="62">
        <f t="shared" si="90"/>
        <v>534.22295841722166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9.9895167135683849</v>
      </c>
      <c r="AV82" s="23">
        <f>EXP(-LN(2)/25)*AV81+(1-EXP(-LN(2)/25))/(LN(2)/25)*Calculateur!AQ82*Calculateur!AS82*VLOOKUP('Données projet'!$B$10,Paramètres!$A$1:$I$89,3,0)*0.475*44/12</f>
        <v>6.1400234680463388</v>
      </c>
      <c r="AW82" s="23">
        <f>EXP(-LN(2)/2)*AW81+(1-EXP(-LN(2)/2))/(LN(2)/2)*AQ82*AT82*VLOOKUP('Données projet'!$B$10,Paramètres!$A$1:$I$89,3,0)*0.475*44/12</f>
        <v>4.9898260096840715E-7</v>
      </c>
      <c r="AX82" s="23">
        <f t="shared" si="60"/>
        <v>16.129540680597323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904.00793683500501</v>
      </c>
      <c r="BI82" s="62">
        <f ca="1">AVERAGE(OFFSET($BH$3,0,0,'Données projet'!$E$11+1,1))-AVERAGE(OFFSET($H$3,0,0,'Données projet'!$E$11+1,1))</f>
        <v>439.06700232017681</v>
      </c>
      <c r="BJ82" s="62">
        <f t="shared" si="92"/>
        <v>278.21741231699929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2.3467830688468352</v>
      </c>
      <c r="BR82" s="23">
        <f>EXP(-LN(2)/2)*BR81+(1-EXP(-LN(2)/2))/(LN(2)/2)*BL82*BO82*VLOOKUP('Données projet'!$B$11,Paramètres!$A$1:$I$89,3,0)*0.475*44/12</f>
        <v>6.2840001327574049E-7</v>
      </c>
      <c r="BS82" s="24">
        <f t="shared" si="63"/>
        <v>2.3467836972468485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302.54016000000001</v>
      </c>
      <c r="CA82" s="14">
        <f t="shared" si="93"/>
        <v>71.708716984815311</v>
      </c>
      <c r="CB82" s="22">
        <f t="shared" si="64"/>
        <v>651.81679408188654</v>
      </c>
      <c r="CC82" s="62">
        <f t="shared" si="65"/>
        <v>945.15012741521991</v>
      </c>
      <c r="CD82" s="62">
        <f ca="1">AVERAGE(OFFSET($CC$3,0,0,'Données projet'!$E$12+1,1))-AVERAGE(OFFSET($H$3,0,0,'Données projet'!$E$12+1,1))</f>
        <v>466.4945858005575</v>
      </c>
      <c r="CE82" s="62">
        <f t="shared" si="94"/>
        <v>294.45557293177131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2.50863017704317</v>
      </c>
      <c r="CM82" s="23">
        <f>EXP(-LN(2)/2)*CM81+(1-EXP(-LN(2)/2))/(LN(2)/2)*CG82*CJ82*VLOOKUP('Données projet'!$B$12,Paramètres!$A$1:$I$89,3,0)*0.475*44/12</f>
        <v>6.7173794522579311E-7</v>
      </c>
      <c r="CN82" s="24">
        <f t="shared" si="66"/>
        <v>2.5086308487811153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209.82623999999998</v>
      </c>
      <c r="CV82" s="14">
        <f t="shared" si="95"/>
        <v>51.897612937458547</v>
      </c>
      <c r="CW82" s="22">
        <f t="shared" si="67"/>
        <v>455.83571053274028</v>
      </c>
      <c r="CX82" s="62">
        <f t="shared" si="68"/>
        <v>749.16904386607359</v>
      </c>
      <c r="CY82" s="62">
        <f ca="1">AVERAGE(OFFSET($CX$3,0,0,'Données projet'!$E$13+1,1))-AVERAGE(OFFSET($H$3,0,0,'Données projet'!$E$13+1,1))</f>
        <v>335.83558218229564</v>
      </c>
      <c r="CZ82" s="62">
        <f t="shared" si="96"/>
        <v>217.08423061559648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2.1444741836014192</v>
      </c>
      <c r="DH82" s="23">
        <f>EXP(-LN(2)/2)*DH81+(1-EXP(-LN(2)/2))/(LN(2)/2)*DB82*DE82*VLOOKUP('Données projet'!$B$13,Paramètres!$A$1:$I$89,3,0)*0.475*44/12</f>
        <v>4.6588276846305001E-7</v>
      </c>
      <c r="DI82" s="24">
        <f t="shared" si="69"/>
        <v>2.1444746494841875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4.9658410716801891E-14</v>
      </c>
      <c r="P83" s="14">
        <f t="shared" si="87"/>
        <v>8.0934058173791862E-13</v>
      </c>
      <c r="Q83" s="22">
        <f t="shared" si="54"/>
        <v>1.4960899118586383E-12</v>
      </c>
      <c r="R83" s="62">
        <f t="shared" si="55"/>
        <v>293.33333333333479</v>
      </c>
      <c r="S83" s="62">
        <f ca="1">AVERAGE(OFFSET($R$3,0,0,'Données projet'!$E$9+1,1))-AVERAGE(OFFSET($H$3,0,0,'Données projet'!$E$9+1,1))</f>
        <v>321.62968871874483</v>
      </c>
      <c r="T83" s="62">
        <f t="shared" si="88"/>
        <v>389.91636841473559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6.3953882958520047</v>
      </c>
      <c r="AB83" s="23">
        <f>EXP(-LN(2)/2)*AB82+(1-EXP(-LN(2)/2))/(LN(2)/2)*V83*Y83*VLOOKUP('Données projet'!$B$9,Paramètres!$A$1:$I$89,3,0)*0.475*44/12</f>
        <v>5.4438436277670089E-7</v>
      </c>
      <c r="AC83" s="24">
        <f t="shared" si="57"/>
        <v>6.3953888402363672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405.09126081846171</v>
      </c>
      <c r="AO83" s="62">
        <f t="shared" si="90"/>
        <v>534.22295841722166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9.79362838381887</v>
      </c>
      <c r="AV83" s="23">
        <f>EXP(-LN(2)/25)*AV82+(1-EXP(-LN(2)/25))/(LN(2)/25)*Calculateur!AQ83*Calculateur!AS83*VLOOKUP('Données projet'!$B$10,Paramètres!$A$1:$I$89,3,0)*0.475*44/12</f>
        <v>5.972124203422811</v>
      </c>
      <c r="AW83" s="23">
        <f>EXP(-LN(2)/2)*AW82+(1-EXP(-LN(2)/2))/(LN(2)/2)*AQ83*AT83*VLOOKUP('Données projet'!$B$10,Paramètres!$A$1:$I$89,3,0)*0.475*44/12</f>
        <v>3.5283398083886183E-7</v>
      </c>
      <c r="AX83" s="23">
        <f t="shared" si="60"/>
        <v>15.765752940075663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917.74573063083562</v>
      </c>
      <c r="BI83" s="62">
        <f ca="1">AVERAGE(OFFSET($BH$3,0,0,'Données projet'!$E$11+1,1))-AVERAGE(OFFSET($H$3,0,0,'Données projet'!$E$11+1,1))</f>
        <v>439.06700232017681</v>
      </c>
      <c r="BJ83" s="62">
        <f t="shared" si="92"/>
        <v>278.21741231699929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2.2826101624172606</v>
      </c>
      <c r="BR83" s="23">
        <f>EXP(-LN(2)/2)*BR82+(1-EXP(-LN(2)/2))/(LN(2)/2)*BL83*BO83*VLOOKUP('Données projet'!$B$11,Paramètres!$A$1:$I$89,3,0)*0.475*44/12</f>
        <v>4.443459106849926E-7</v>
      </c>
      <c r="BS83" s="24">
        <f t="shared" si="63"/>
        <v>2.2826106067631713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309.50400000000002</v>
      </c>
      <c r="CA83" s="14">
        <f t="shared" si="93"/>
        <v>73.165235978896504</v>
      </c>
      <c r="CB83" s="22">
        <f t="shared" si="64"/>
        <v>666.48225266324471</v>
      </c>
      <c r="CC83" s="62">
        <f t="shared" si="65"/>
        <v>959.81558599657797</v>
      </c>
      <c r="CD83" s="62">
        <f ca="1">AVERAGE(OFFSET($CC$3,0,0,'Données projet'!$E$12+1,1))-AVERAGE(OFFSET($H$3,0,0,'Données projet'!$E$12+1,1))</f>
        <v>466.4945858005575</v>
      </c>
      <c r="CE83" s="62">
        <f t="shared" si="94"/>
        <v>294.45557293177131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2.4400315529287973</v>
      </c>
      <c r="CM83" s="23">
        <f>EXP(-LN(2)/2)*CM82+(1-EXP(-LN(2)/2))/(LN(2)/2)*CG83*CJ83*VLOOKUP('Données projet'!$B$12,Paramètres!$A$1:$I$89,3,0)*0.475*44/12</f>
        <v>4.7499045624947599E-7</v>
      </c>
      <c r="CN83" s="24">
        <f t="shared" si="66"/>
        <v>2.4400320279192536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214.65600000000001</v>
      </c>
      <c r="CV83" s="14">
        <f t="shared" si="95"/>
        <v>52.951736650296596</v>
      </c>
      <c r="CW83" s="22">
        <f t="shared" si="67"/>
        <v>466.08347466593324</v>
      </c>
      <c r="CX83" s="62">
        <f t="shared" si="68"/>
        <v>759.41680799926655</v>
      </c>
      <c r="CY83" s="62">
        <f ca="1">AVERAGE(OFFSET($CX$3,0,0,'Données projet'!$E$13+1,1))-AVERAGE(OFFSET($H$3,0,0,'Données projet'!$E$13+1,1))</f>
        <v>335.83558218229564</v>
      </c>
      <c r="CZ83" s="62">
        <f t="shared" si="96"/>
        <v>217.08423061559648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2.0858334242778422</v>
      </c>
      <c r="DH83" s="23">
        <f>EXP(-LN(2)/2)*DH82+(1-EXP(-LN(2)/2))/(LN(2)/2)*DB83*DE83*VLOOKUP('Données projet'!$B$13,Paramètres!$A$1:$I$89,3,0)*0.475*44/12</f>
        <v>3.2942886481818493E-7</v>
      </c>
      <c r="DI83" s="24">
        <f t="shared" si="69"/>
        <v>2.0858337537067069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4.9658410716801891E-14</v>
      </c>
      <c r="P84" s="14">
        <f t="shared" si="87"/>
        <v>8.0934058173791862E-13</v>
      </c>
      <c r="Q84" s="22">
        <f t="shared" si="54"/>
        <v>1.4960899118586383E-12</v>
      </c>
      <c r="R84" s="62">
        <f t="shared" si="55"/>
        <v>293.33333333333479</v>
      </c>
      <c r="S84" s="62">
        <f ca="1">AVERAGE(OFFSET($R$3,0,0,'Données projet'!$E$9+1,1))-AVERAGE(OFFSET($H$3,0,0,'Données projet'!$E$9+1,1))</f>
        <v>321.62968871874483</v>
      </c>
      <c r="T84" s="62">
        <f t="shared" si="88"/>
        <v>389.91636841473559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6.220506066583078</v>
      </c>
      <c r="AB84" s="23">
        <f>EXP(-LN(2)/2)*AB83+(1-EXP(-LN(2)/2))/(LN(2)/2)*V84*Y84*VLOOKUP('Données projet'!$B$9,Paramètres!$A$1:$I$89,3,0)*0.475*44/12</f>
        <v>3.8493787449132275E-7</v>
      </c>
      <c r="AC84" s="24">
        <f t="shared" si="57"/>
        <v>6.2205064515209525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405.09126081846171</v>
      </c>
      <c r="AO84" s="62">
        <f t="shared" si="90"/>
        <v>534.22295841722166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9.6015813047356602</v>
      </c>
      <c r="AV84" s="23">
        <f>EXP(-LN(2)/25)*AV83+(1-EXP(-LN(2)/25))/(LN(2)/25)*Calculateur!AQ84*Calculateur!AS84*VLOOKUP('Données projet'!$B$10,Paramètres!$A$1:$I$89,3,0)*0.475*44/12</f>
        <v>5.8088161530198521</v>
      </c>
      <c r="AW84" s="23">
        <f>EXP(-LN(2)/2)*AW83+(1-EXP(-LN(2)/2))/(LN(2)/2)*AQ84*AT84*VLOOKUP('Données projet'!$B$10,Paramètres!$A$1:$I$89,3,0)*0.475*44/12</f>
        <v>2.4949130048420358E-7</v>
      </c>
      <c r="AX84" s="23">
        <f t="shared" si="60"/>
        <v>15.410397707246812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877.27703819728072</v>
      </c>
      <c r="BI84" s="62">
        <f ca="1">AVERAGE(OFFSET($BH$3,0,0,'Données projet'!$E$11+1,1))-AVERAGE(OFFSET($H$3,0,0,'Données projet'!$E$11+1,1))</f>
        <v>439.06700232017681</v>
      </c>
      <c r="BJ84" s="62">
        <f t="shared" si="92"/>
        <v>278.21741231699929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2.2201920674887092</v>
      </c>
      <c r="BR84" s="23">
        <f>EXP(-LN(2)/2)*BR83+(1-EXP(-LN(2)/2))/(LN(2)/2)*BL84*BO84*VLOOKUP('Données projet'!$B$11,Paramètres!$A$1:$I$89,3,0)*0.475*44/12</f>
        <v>3.1420000663787025E-7</v>
      </c>
      <c r="BS84" s="24">
        <f t="shared" si="63"/>
        <v>2.2201923816887157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288.99936000000002</v>
      </c>
      <c r="CA84" s="14">
        <f t="shared" si="93"/>
        <v>68.86531667529006</v>
      </c>
      <c r="CB84" s="22">
        <f t="shared" si="64"/>
        <v>623.2809785427969</v>
      </c>
      <c r="CC84" s="62">
        <f t="shared" si="65"/>
        <v>916.61431187613016</v>
      </c>
      <c r="CD84" s="62">
        <f ca="1">AVERAGE(OFFSET($CC$3,0,0,'Données projet'!$E$12+1,1))-AVERAGE(OFFSET($H$3,0,0,'Données projet'!$E$12+1,1))</f>
        <v>466.4945858005575</v>
      </c>
      <c r="CE84" s="62">
        <f t="shared" si="94"/>
        <v>294.45557293177131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2.3733087617982767</v>
      </c>
      <c r="CM84" s="23">
        <f>EXP(-LN(2)/2)*CM83+(1-EXP(-LN(2)/2))/(LN(2)/2)*CG84*CJ84*VLOOKUP('Données projet'!$B$12,Paramètres!$A$1:$I$89,3,0)*0.475*44/12</f>
        <v>3.3586897261289661E-7</v>
      </c>
      <c r="CN84" s="24">
        <f t="shared" si="66"/>
        <v>2.3733090976672493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200.43504000000001</v>
      </c>
      <c r="CV84" s="14">
        <f t="shared" si="95"/>
        <v>49.83976425608784</v>
      </c>
      <c r="CW84" s="22">
        <f t="shared" si="67"/>
        <v>435.89528407935296</v>
      </c>
      <c r="CX84" s="62">
        <f t="shared" si="68"/>
        <v>729.22861741268628</v>
      </c>
      <c r="CY84" s="62">
        <f ca="1">AVERAGE(OFFSET($CX$3,0,0,'Données projet'!$E$13+1,1))-AVERAGE(OFFSET($H$3,0,0,'Données projet'!$E$13+1,1))</f>
        <v>335.83558218229564</v>
      </c>
      <c r="CZ84" s="62">
        <f t="shared" si="96"/>
        <v>217.08423061559648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2.0287961996017523</v>
      </c>
      <c r="DH84" s="23">
        <f>EXP(-LN(2)/2)*DH83+(1-EXP(-LN(2)/2))/(LN(2)/2)*DB84*DE84*VLOOKUP('Données projet'!$B$13,Paramètres!$A$1:$I$89,3,0)*0.475*44/12</f>
        <v>2.3294138423152506E-7</v>
      </c>
      <c r="DI84" s="24">
        <f t="shared" si="69"/>
        <v>2.0287964325431367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4.9658410716801891E-14</v>
      </c>
      <c r="P85" s="14">
        <f t="shared" si="87"/>
        <v>8.0934058173791862E-13</v>
      </c>
      <c r="Q85" s="22">
        <f t="shared" si="54"/>
        <v>1.4960899118586383E-12</v>
      </c>
      <c r="R85" s="62">
        <f t="shared" si="55"/>
        <v>293.33333333333479</v>
      </c>
      <c r="S85" s="62">
        <f ca="1">AVERAGE(OFFSET($R$3,0,0,'Données projet'!$E$9+1,1))-AVERAGE(OFFSET($H$3,0,0,'Données projet'!$E$9+1,1))</f>
        <v>321.62968871874483</v>
      </c>
      <c r="T85" s="62">
        <f t="shared" si="88"/>
        <v>389.91636841473559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6.0504060010701668</v>
      </c>
      <c r="AB85" s="23">
        <f>EXP(-LN(2)/2)*AB84+(1-EXP(-LN(2)/2))/(LN(2)/2)*V85*Y85*VLOOKUP('Données projet'!$B$9,Paramètres!$A$1:$I$89,3,0)*0.475*44/12</f>
        <v>2.7219218138835045E-7</v>
      </c>
      <c r="AC85" s="24">
        <f t="shared" si="57"/>
        <v>6.0504062732623485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405.09126081846171</v>
      </c>
      <c r="AO85" s="62">
        <f t="shared" si="90"/>
        <v>534.22295841722166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9.4133001517361201</v>
      </c>
      <c r="AV85" s="23">
        <f>EXP(-LN(2)/25)*AV84+(1-EXP(-LN(2)/25))/(LN(2)/25)*Calculateur!AQ85*Calculateur!AS85*VLOOKUP('Données projet'!$B$10,Paramètres!$A$1:$I$89,3,0)*0.475*44/12</f>
        <v>5.6499737698431591</v>
      </c>
      <c r="AW85" s="23">
        <f>EXP(-LN(2)/2)*AW84+(1-EXP(-LN(2)/2))/(LN(2)/2)*AQ85*AT85*VLOOKUP('Données projet'!$B$10,Paramètres!$A$1:$I$89,3,0)*0.475*44/12</f>
        <v>1.7641699041943092E-7</v>
      </c>
      <c r="AX85" s="23">
        <f t="shared" si="60"/>
        <v>15.06327409799627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890.26372606671134</v>
      </c>
      <c r="BI85" s="62">
        <f ca="1">AVERAGE(OFFSET($BH$3,0,0,'Données projet'!$E$11+1,1))-AVERAGE(OFFSET($H$3,0,0,'Données projet'!$E$11+1,1))</f>
        <v>439.06700232017681</v>
      </c>
      <c r="BJ85" s="62">
        <f t="shared" si="92"/>
        <v>278.21741231699929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2.1594807986484041</v>
      </c>
      <c r="BR85" s="23">
        <f>EXP(-LN(2)/2)*BR84+(1-EXP(-LN(2)/2))/(LN(2)/2)*BL85*BO85*VLOOKUP('Données projet'!$B$11,Paramètres!$A$1:$I$89,3,0)*0.475*44/12</f>
        <v>2.221729553424963E-7</v>
      </c>
      <c r="BS85" s="24">
        <f t="shared" si="63"/>
        <v>2.1594810208213593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295.57632000000001</v>
      </c>
      <c r="CA85" s="14">
        <f t="shared" si="93"/>
        <v>70.24828996461811</v>
      </c>
      <c r="CB85" s="22">
        <f t="shared" si="64"/>
        <v>637.1445290217099</v>
      </c>
      <c r="CC85" s="62">
        <f t="shared" si="65"/>
        <v>930.47786235504327</v>
      </c>
      <c r="CD85" s="62">
        <f ca="1">AVERAGE(OFFSET($CC$3,0,0,'Données projet'!$E$12+1,1))-AVERAGE(OFFSET($H$3,0,0,'Données projet'!$E$12+1,1))</f>
        <v>466.4945858005575</v>
      </c>
      <c r="CE85" s="62">
        <f t="shared" si="94"/>
        <v>294.45557293177131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2.3084105089000193</v>
      </c>
      <c r="CM85" s="23">
        <f>EXP(-LN(2)/2)*CM84+(1-EXP(-LN(2)/2))/(LN(2)/2)*CG85*CJ85*VLOOKUP('Données projet'!$B$12,Paramètres!$A$1:$I$89,3,0)*0.475*44/12</f>
        <v>2.3749522812473802E-7</v>
      </c>
      <c r="CN85" s="24">
        <f t="shared" si="66"/>
        <v>2.3084107463952472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204.99648000000002</v>
      </c>
      <c r="CV85" s="14">
        <f t="shared" si="95"/>
        <v>50.840660876335356</v>
      </c>
      <c r="CW85" s="22">
        <f t="shared" si="67"/>
        <v>445.58302035961742</v>
      </c>
      <c r="CX85" s="62">
        <f t="shared" si="68"/>
        <v>738.91635369295068</v>
      </c>
      <c r="CY85" s="62">
        <f ca="1">AVERAGE(OFFSET($CX$3,0,0,'Données projet'!$E$13+1,1))-AVERAGE(OFFSET($H$3,0,0,'Données projet'!$E$13+1,1))</f>
        <v>335.83558218229564</v>
      </c>
      <c r="CZ85" s="62">
        <f t="shared" si="96"/>
        <v>217.08423061559648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1.9733186608338871</v>
      </c>
      <c r="DH85" s="23">
        <f>EXP(-LN(2)/2)*DH84+(1-EXP(-LN(2)/2))/(LN(2)/2)*DB85*DE85*VLOOKUP('Données projet'!$B$13,Paramètres!$A$1:$I$89,3,0)*0.475*44/12</f>
        <v>1.6471443240909249E-7</v>
      </c>
      <c r="DI85" s="24">
        <f t="shared" si="69"/>
        <v>1.9733188255483194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4.9658410716801891E-14</v>
      </c>
      <c r="P86" s="14">
        <f t="shared" si="87"/>
        <v>8.0934058173791862E-13</v>
      </c>
      <c r="Q86" s="22">
        <f t="shared" si="54"/>
        <v>1.4960899118586383E-12</v>
      </c>
      <c r="R86" s="62">
        <f t="shared" si="55"/>
        <v>293.33333333333479</v>
      </c>
      <c r="S86" s="62">
        <f ca="1">AVERAGE(OFFSET($R$3,0,0,'Données projet'!$E$9+1,1))-AVERAGE(OFFSET($H$3,0,0,'Données projet'!$E$9+1,1))</f>
        <v>321.62968871874483</v>
      </c>
      <c r="T86" s="62">
        <f t="shared" si="88"/>
        <v>389.91636841473559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5.8849573307938803</v>
      </c>
      <c r="AB86" s="23">
        <f>EXP(-LN(2)/2)*AB85+(1-EXP(-LN(2)/2))/(LN(2)/2)*V86*Y86*VLOOKUP('Données projet'!$B$9,Paramètres!$A$1:$I$89,3,0)*0.475*44/12</f>
        <v>1.9246893724566138E-7</v>
      </c>
      <c r="AC86" s="24">
        <f t="shared" si="57"/>
        <v>5.884957523262818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405.09126081846171</v>
      </c>
      <c r="AO86" s="62">
        <f t="shared" si="90"/>
        <v>534.22295841722166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9.2287110773067376</v>
      </c>
      <c r="AV86" s="23">
        <f>EXP(-LN(2)/25)*AV85+(1-EXP(-LN(2)/25))/(LN(2)/25)*Calculateur!AQ86*Calculateur!AS86*VLOOKUP('Données projet'!$B$10,Paramètres!$A$1:$I$89,3,0)*0.475*44/12</f>
        <v>5.4954749399875906</v>
      </c>
      <c r="AW86" s="23">
        <f>EXP(-LN(2)/2)*AW85+(1-EXP(-LN(2)/2))/(LN(2)/2)*AQ86*AT86*VLOOKUP('Données projet'!$B$10,Paramètres!$A$1:$I$89,3,0)*0.475*44/12</f>
        <v>1.2474565024210179E-7</v>
      </c>
      <c r="AX86" s="23">
        <f t="shared" si="60"/>
        <v>14.724186142039979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903.24453943985986</v>
      </c>
      <c r="BI86" s="62">
        <f ca="1">AVERAGE(OFFSET($BH$3,0,0,'Données projet'!$E$11+1,1))-AVERAGE(OFFSET($H$3,0,0,'Données projet'!$E$11+1,1))</f>
        <v>439.06700232017681</v>
      </c>
      <c r="BJ86" s="62">
        <f t="shared" si="92"/>
        <v>278.21741231699929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2.1004296826472038</v>
      </c>
      <c r="BR86" s="23">
        <f>EXP(-LN(2)/2)*BR85+(1-EXP(-LN(2)/2))/(LN(2)/2)*BL86*BO86*VLOOKUP('Données projet'!$B$11,Paramètres!$A$1:$I$89,3,0)*0.475*44/12</f>
        <v>1.5710000331893512E-7</v>
      </c>
      <c r="BS86" s="24">
        <f t="shared" si="63"/>
        <v>2.100429839747207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302.15328000000005</v>
      </c>
      <c r="CA86" s="14">
        <f t="shared" si="93"/>
        <v>71.627685603423203</v>
      </c>
      <c r="CB86" s="22">
        <f t="shared" si="64"/>
        <v>651.00184842596218</v>
      </c>
      <c r="CC86" s="62">
        <f t="shared" si="65"/>
        <v>944.33518175929544</v>
      </c>
      <c r="CD86" s="62">
        <f ca="1">AVERAGE(OFFSET($CC$3,0,0,'Données projet'!$E$12+1,1))-AVERAGE(OFFSET($H$3,0,0,'Données projet'!$E$12+1,1))</f>
        <v>466.4945858005575</v>
      </c>
      <c r="CE86" s="62">
        <f t="shared" si="94"/>
        <v>294.45557293177131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2.2452869021401156</v>
      </c>
      <c r="CM86" s="23">
        <f>EXP(-LN(2)/2)*CM85+(1-EXP(-LN(2)/2))/(LN(2)/2)*CG86*CJ86*VLOOKUP('Données projet'!$B$12,Paramètres!$A$1:$I$89,3,0)*0.475*44/12</f>
        <v>1.6793448630644833E-7</v>
      </c>
      <c r="CN86" s="24">
        <f t="shared" si="66"/>
        <v>2.2452870700746019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209.55792000000005</v>
      </c>
      <c r="CV86" s="14">
        <f t="shared" si="95"/>
        <v>51.838968250395396</v>
      </c>
      <c r="CW86" s="22">
        <f t="shared" si="67"/>
        <v>455.26624703610543</v>
      </c>
      <c r="CX86" s="62">
        <f t="shared" si="68"/>
        <v>748.59958036943874</v>
      </c>
      <c r="CY86" s="62">
        <f ca="1">AVERAGE(OFFSET($CX$3,0,0,'Données projet'!$E$13+1,1))-AVERAGE(OFFSET($H$3,0,0,'Données projet'!$E$13+1,1))</f>
        <v>335.83558218229564</v>
      </c>
      <c r="CZ86" s="62">
        <f t="shared" si="96"/>
        <v>217.08423061559648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1.9193581582810662</v>
      </c>
      <c r="DH86" s="23">
        <f>EXP(-LN(2)/2)*DH85+(1-EXP(-LN(2)/2))/(LN(2)/2)*DB86*DE86*VLOOKUP('Données projet'!$B$13,Paramètres!$A$1:$I$89,3,0)*0.475*44/12</f>
        <v>1.1647069211576254E-7</v>
      </c>
      <c r="DI86" s="24">
        <f t="shared" si="69"/>
        <v>1.9193582747517584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4.9658410716801891E-14</v>
      </c>
      <c r="P87" s="14">
        <f t="shared" si="87"/>
        <v>8.0934058173791862E-13</v>
      </c>
      <c r="Q87" s="22">
        <f t="shared" si="54"/>
        <v>1.4960899118586383E-12</v>
      </c>
      <c r="R87" s="62">
        <f t="shared" si="55"/>
        <v>293.33333333333479</v>
      </c>
      <c r="S87" s="62">
        <f ca="1">AVERAGE(OFFSET($R$3,0,0,'Données projet'!$E$9+1,1))-AVERAGE(OFFSET($H$3,0,0,'Données projet'!$E$9+1,1))</f>
        <v>321.62968871874483</v>
      </c>
      <c r="T87" s="62">
        <f t="shared" si="88"/>
        <v>389.91636841473559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5.7240328631068662</v>
      </c>
      <c r="AB87" s="23">
        <f>EXP(-LN(2)/2)*AB86+(1-EXP(-LN(2)/2))/(LN(2)/2)*V87*Y87*VLOOKUP('Données projet'!$B$9,Paramètres!$A$1:$I$89,3,0)*0.475*44/12</f>
        <v>1.3609609069417522E-7</v>
      </c>
      <c r="AC87" s="24">
        <f t="shared" si="57"/>
        <v>5.7240329992029571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405.09126081846171</v>
      </c>
      <c r="AO87" s="62">
        <f t="shared" si="90"/>
        <v>534.22295841722166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9.047741682038696</v>
      </c>
      <c r="AV87" s="23">
        <f>EXP(-LN(2)/25)*AV86+(1-EXP(-LN(2)/25))/(LN(2)/25)*Calculateur!AQ87*Calculateur!AS87*VLOOKUP('Données projet'!$B$10,Paramètres!$A$1:$I$89,3,0)*0.475*44/12</f>
        <v>5.3452008887591633</v>
      </c>
      <c r="AW87" s="23">
        <f>EXP(-LN(2)/2)*AW86+(1-EXP(-LN(2)/2))/(LN(2)/2)*AQ87*AT87*VLOOKUP('Données projet'!$B$10,Paramètres!$A$1:$I$89,3,0)*0.475*44/12</f>
        <v>8.8208495209715458E-8</v>
      </c>
      <c r="AX87" s="23">
        <f t="shared" si="60"/>
        <v>14.392942659006355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916.21962091279829</v>
      </c>
      <c r="BI87" s="62">
        <f ca="1">AVERAGE(OFFSET($BH$3,0,0,'Données projet'!$E$11+1,1))-AVERAGE(OFFSET($H$3,0,0,'Données projet'!$E$11+1,1))</f>
        <v>439.06700232017681</v>
      </c>
      <c r="BJ87" s="62">
        <f t="shared" si="92"/>
        <v>278.21741231699929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2.0429933225184196</v>
      </c>
      <c r="BR87" s="23">
        <f>EXP(-LN(2)/2)*BR86+(1-EXP(-LN(2)/2))/(LN(2)/2)*BL87*BO87*VLOOKUP('Données projet'!$B$11,Paramètres!$A$1:$I$89,3,0)*0.475*44/12</f>
        <v>1.1108647767124815E-7</v>
      </c>
      <c r="BS87" s="24">
        <f t="shared" si="63"/>
        <v>2.0429934336048974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308.73024000000004</v>
      </c>
      <c r="CA87" s="14">
        <f t="shared" si="93"/>
        <v>73.003590434710574</v>
      </c>
      <c r="CB87" s="22">
        <f t="shared" si="64"/>
        <v>664.85308800712107</v>
      </c>
      <c r="CC87" s="62">
        <f t="shared" si="65"/>
        <v>958.18642134045444</v>
      </c>
      <c r="CD87" s="62">
        <f ca="1">AVERAGE(OFFSET($CC$3,0,0,'Données projet'!$E$12+1,1))-AVERAGE(OFFSET($H$3,0,0,'Données projet'!$E$12+1,1))</f>
        <v>466.4945858005575</v>
      </c>
      <c r="CE87" s="62">
        <f t="shared" si="94"/>
        <v>294.45557293177131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2.1838894137265878</v>
      </c>
      <c r="CM87" s="23">
        <f>EXP(-LN(2)/2)*CM86+(1-EXP(-LN(2)/2))/(LN(2)/2)*CG87*CJ87*VLOOKUP('Données projet'!$B$12,Paramètres!$A$1:$I$89,3,0)*0.475*44/12</f>
        <v>1.1874761406236904E-7</v>
      </c>
      <c r="CN87" s="24">
        <f t="shared" si="66"/>
        <v>2.1838895324742018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214.11936000000006</v>
      </c>
      <c r="CV87" s="14">
        <f t="shared" si="95"/>
        <v>52.834749228990397</v>
      </c>
      <c r="CW87" s="22">
        <f t="shared" si="67"/>
        <v>464.94507357382503</v>
      </c>
      <c r="CX87" s="62">
        <f t="shared" si="68"/>
        <v>758.27840690715834</v>
      </c>
      <c r="CY87" s="62">
        <f ca="1">AVERAGE(OFFSET($CX$3,0,0,'Données projet'!$E$13+1,1))-AVERAGE(OFFSET($H$3,0,0,'Données projet'!$E$13+1,1))</f>
        <v>335.83558218229564</v>
      </c>
      <c r="CZ87" s="62">
        <f t="shared" si="96"/>
        <v>217.08423061559648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1.8668732085082116</v>
      </c>
      <c r="DH87" s="23">
        <f>EXP(-LN(2)/2)*DH86+(1-EXP(-LN(2)/2))/(LN(2)/2)*DB87*DE87*VLOOKUP('Données projet'!$B$13,Paramètres!$A$1:$I$89,3,0)*0.475*44/12</f>
        <v>8.2357216204546258E-8</v>
      </c>
      <c r="DI87" s="24">
        <f t="shared" si="69"/>
        <v>1.8668732908654277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4.9658410716801891E-14</v>
      </c>
      <c r="P88" s="14">
        <f t="shared" si="87"/>
        <v>8.0934058173791862E-13</v>
      </c>
      <c r="Q88" s="22">
        <f t="shared" si="54"/>
        <v>1.4960899118586383E-12</v>
      </c>
      <c r="R88" s="62">
        <f t="shared" si="55"/>
        <v>293.33333333333479</v>
      </c>
      <c r="S88" s="62">
        <f ca="1">AVERAGE(OFFSET($R$3,0,0,'Données projet'!$E$9+1,1))-AVERAGE(OFFSET($H$3,0,0,'Données projet'!$E$9+1,1))</f>
        <v>321.62968871874483</v>
      </c>
      <c r="T88" s="62">
        <f t="shared" si="88"/>
        <v>389.91636841473559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5.5675088834514028</v>
      </c>
      <c r="AB88" s="23">
        <f>EXP(-LN(2)/2)*AB87+(1-EXP(-LN(2)/2))/(LN(2)/2)*V88*Y88*VLOOKUP('Données projet'!$B$9,Paramètres!$A$1:$I$89,3,0)*0.475*44/12</f>
        <v>9.6234468622830688E-8</v>
      </c>
      <c r="AC88" s="24">
        <f t="shared" si="57"/>
        <v>5.5675089796858712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405.09126081846171</v>
      </c>
      <c r="AO88" s="62">
        <f t="shared" si="90"/>
        <v>534.22295841722166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8.8703209862314285</v>
      </c>
      <c r="AV88" s="23">
        <f>EXP(-LN(2)/25)*AV87+(1-EXP(-LN(2)/25))/(LN(2)/25)*Calculateur!AQ88*Calculateur!AS88*VLOOKUP('Données projet'!$B$10,Paramètres!$A$1:$I$89,3,0)*0.475*44/12</f>
        <v>5.1990360893641459</v>
      </c>
      <c r="AW88" s="23">
        <f>EXP(-LN(2)/2)*AW87+(1-EXP(-LN(2)/2))/(LN(2)/2)*AQ88*AT88*VLOOKUP('Données projet'!$B$10,Paramètres!$A$1:$I$89,3,0)*0.475*44/12</f>
        <v>6.2372825121050894E-8</v>
      </c>
      <c r="AX88" s="23">
        <f t="shared" si="60"/>
        <v>14.069357137968399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929.1891066589867</v>
      </c>
      <c r="BI88" s="62">
        <f ca="1">AVERAGE(OFFSET($BH$3,0,0,'Données projet'!$E$11+1,1))-AVERAGE(OFFSET($H$3,0,0,'Données projet'!$E$11+1,1))</f>
        <v>439.06700232017681</v>
      </c>
      <c r="BJ88" s="62">
        <f t="shared" si="92"/>
        <v>278.21741231699929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1.987127562677804</v>
      </c>
      <c r="BR88" s="23">
        <f>EXP(-LN(2)/2)*BR87+(1-EXP(-LN(2)/2))/(LN(2)/2)*BL88*BO88*VLOOKUP('Données projet'!$B$11,Paramètres!$A$1:$I$89,3,0)*0.475*44/12</f>
        <v>7.8550001659467562E-8</v>
      </c>
      <c r="BS88" s="24">
        <f t="shared" si="63"/>
        <v>1.9871276412278056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315.30720000000008</v>
      </c>
      <c r="CA88" s="14">
        <f t="shared" si="93"/>
        <v>74.376087390025049</v>
      </c>
      <c r="CB88" s="22">
        <f t="shared" si="64"/>
        <v>678.69839220429378</v>
      </c>
      <c r="CC88" s="62">
        <f t="shared" si="65"/>
        <v>972.03172553762715</v>
      </c>
      <c r="CD88" s="62">
        <f ca="1">AVERAGE(OFFSET($CC$3,0,0,'Données projet'!$E$12+1,1))-AVERAGE(OFFSET($H$3,0,0,'Données projet'!$E$12+1,1))</f>
        <v>466.4945858005575</v>
      </c>
      <c r="CE88" s="62">
        <f t="shared" si="94"/>
        <v>294.45557293177131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2.1241708428624815</v>
      </c>
      <c r="CM88" s="23">
        <f>EXP(-LN(2)/2)*CM87+(1-EXP(-LN(2)/2))/(LN(2)/2)*CG88*CJ88*VLOOKUP('Données projet'!$B$12,Paramètres!$A$1:$I$89,3,0)*0.475*44/12</f>
        <v>8.3967243153224179E-8</v>
      </c>
      <c r="CN88" s="24">
        <f t="shared" si="66"/>
        <v>2.1241709268297244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218.68080000000006</v>
      </c>
      <c r="CV88" s="14">
        <f t="shared" si="95"/>
        <v>53.828063832009121</v>
      </c>
      <c r="CW88" s="22">
        <f t="shared" si="67"/>
        <v>474.61960450741594</v>
      </c>
      <c r="CX88" s="62">
        <f t="shared" si="68"/>
        <v>767.9529378407492</v>
      </c>
      <c r="CY88" s="62">
        <f ca="1">AVERAGE(OFFSET($CX$3,0,0,'Données projet'!$E$13+1,1))-AVERAGE(OFFSET($H$3,0,0,'Données projet'!$E$13+1,1))</f>
        <v>335.83558218229564</v>
      </c>
      <c r="CZ88" s="62">
        <f t="shared" si="96"/>
        <v>217.08423061559648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1.8158234624469594</v>
      </c>
      <c r="DH88" s="23">
        <f>EXP(-LN(2)/2)*DH87+(1-EXP(-LN(2)/2))/(LN(2)/2)*DB88*DE88*VLOOKUP('Données projet'!$B$13,Paramètres!$A$1:$I$89,3,0)*0.475*44/12</f>
        <v>5.8235346057881278E-8</v>
      </c>
      <c r="DI88" s="24">
        <f t="shared" si="69"/>
        <v>1.8158235206823055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4.9658410716801891E-14</v>
      </c>
      <c r="P89" s="14">
        <f t="shared" si="87"/>
        <v>8.0934058173791862E-13</v>
      </c>
      <c r="Q89" s="22">
        <f t="shared" si="54"/>
        <v>1.4960899118586383E-12</v>
      </c>
      <c r="R89" s="62">
        <f t="shared" si="55"/>
        <v>293.33333333333479</v>
      </c>
      <c r="S89" s="62">
        <f ca="1">AVERAGE(OFFSET($R$3,0,0,'Données projet'!$E$9+1,1))-AVERAGE(OFFSET($H$3,0,0,'Données projet'!$E$9+1,1))</f>
        <v>321.62968871874483</v>
      </c>
      <c r="T89" s="62">
        <f t="shared" si="88"/>
        <v>389.91636841473559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5.4152650602508565</v>
      </c>
      <c r="AB89" s="23">
        <f>EXP(-LN(2)/2)*AB88+(1-EXP(-LN(2)/2))/(LN(2)/2)*V89*Y89*VLOOKUP('Données projet'!$B$9,Paramètres!$A$1:$I$89,3,0)*0.475*44/12</f>
        <v>6.8048045347087612E-8</v>
      </c>
      <c r="AC89" s="24">
        <f t="shared" si="57"/>
        <v>5.4152651282989019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405.09126081846171</v>
      </c>
      <c r="AO89" s="62">
        <f t="shared" si="90"/>
        <v>534.22295841722166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8.6963794020530027</v>
      </c>
      <c r="AV89" s="23">
        <f>EXP(-LN(2)/25)*AV88+(1-EXP(-LN(2)/25))/(LN(2)/25)*Calculateur!AQ89*Calculateur!AS89*VLOOKUP('Données projet'!$B$10,Paramètres!$A$1:$I$89,3,0)*0.475*44/12</f>
        <v>5.0568681740950581</v>
      </c>
      <c r="AW89" s="23">
        <f>EXP(-LN(2)/2)*AW88+(1-EXP(-LN(2)/2))/(LN(2)/2)*AQ89*AT89*VLOOKUP('Données projet'!$B$10,Paramètres!$A$1:$I$89,3,0)*0.475*44/12</f>
        <v>4.4104247604857729E-8</v>
      </c>
      <c r="AX89" s="23">
        <f t="shared" si="60"/>
        <v>13.753247620252308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887.97238865302188</v>
      </c>
      <c r="BI89" s="62">
        <f ca="1">AVERAGE(OFFSET($BH$3,0,0,'Données projet'!$E$11+1,1))-AVERAGE(OFFSET($H$3,0,0,'Données projet'!$E$11+1,1))</f>
        <v>439.06700232017681</v>
      </c>
      <c r="BJ89" s="62">
        <f t="shared" si="92"/>
        <v>278.21741231699929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1.9327894549778826</v>
      </c>
      <c r="BR89" s="23">
        <f>EXP(-LN(2)/2)*BR88+(1-EXP(-LN(2)/2))/(LN(2)/2)*BL89*BO89*VLOOKUP('Données projet'!$B$11,Paramètres!$A$1:$I$89,3,0)*0.475*44/12</f>
        <v>5.5543238835624075E-8</v>
      </c>
      <c r="BS89" s="24">
        <f t="shared" si="63"/>
        <v>1.9327895105211215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294.41568000000001</v>
      </c>
      <c r="CA89" s="14">
        <f t="shared" si="93"/>
        <v>70.004498360393455</v>
      </c>
      <c r="CB89" s="22">
        <f t="shared" si="64"/>
        <v>634.69847731101868</v>
      </c>
      <c r="CC89" s="62">
        <f t="shared" si="65"/>
        <v>928.03181064435194</v>
      </c>
      <c r="CD89" s="62">
        <f ca="1">AVERAGE(OFFSET($CC$3,0,0,'Données projet'!$E$12+1,1))-AVERAGE(OFFSET($H$3,0,0,'Données projet'!$E$12+1,1))</f>
        <v>466.4945858005575</v>
      </c>
      <c r="CE89" s="62">
        <f t="shared" si="94"/>
        <v>294.45557293177131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2.0660852794591174</v>
      </c>
      <c r="CM89" s="23">
        <f>EXP(-LN(2)/2)*CM88+(1-EXP(-LN(2)/2))/(LN(2)/2)*CG89*CJ89*VLOOKUP('Données projet'!$B$12,Paramètres!$A$1:$I$89,3,0)*0.475*44/12</f>
        <v>5.9373807031184525E-8</v>
      </c>
      <c r="CN89" s="24">
        <f t="shared" si="66"/>
        <v>2.0660853388329246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204.19152000000005</v>
      </c>
      <c r="CV89" s="14">
        <f t="shared" si="95"/>
        <v>50.66422204371576</v>
      </c>
      <c r="CW89" s="22">
        <f t="shared" si="67"/>
        <v>443.87375072613833</v>
      </c>
      <c r="CX89" s="62">
        <f t="shared" si="68"/>
        <v>737.20708405947164</v>
      </c>
      <c r="CY89" s="62">
        <f ca="1">AVERAGE(OFFSET($CX$3,0,0,'Données projet'!$E$13+1,1))-AVERAGE(OFFSET($H$3,0,0,'Données projet'!$E$13+1,1))</f>
        <v>335.83558218229564</v>
      </c>
      <c r="CZ89" s="62">
        <f t="shared" si="96"/>
        <v>217.08423061559648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1.7661696743763415</v>
      </c>
      <c r="DH89" s="23">
        <f>EXP(-LN(2)/2)*DH88+(1-EXP(-LN(2)/2))/(LN(2)/2)*DB89*DE89*VLOOKUP('Données projet'!$B$13,Paramètres!$A$1:$I$89,3,0)*0.475*44/12</f>
        <v>4.1178608102273135E-8</v>
      </c>
      <c r="DI89" s="24">
        <f t="shared" si="69"/>
        <v>1.7661697155549496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4.9658410716801891E-14</v>
      </c>
      <c r="P90" s="14">
        <f t="shared" si="87"/>
        <v>8.0934058173791862E-13</v>
      </c>
      <c r="Q90" s="22">
        <f t="shared" si="54"/>
        <v>1.4960899118586383E-12</v>
      </c>
      <c r="R90" s="62">
        <f t="shared" si="55"/>
        <v>293.33333333333479</v>
      </c>
      <c r="S90" s="62">
        <f ca="1">AVERAGE(OFFSET($R$3,0,0,'Données projet'!$E$9+1,1))-AVERAGE(OFFSET($H$3,0,0,'Données projet'!$E$9+1,1))</f>
        <v>321.62968871874483</v>
      </c>
      <c r="T90" s="62">
        <f t="shared" si="88"/>
        <v>389.91636841473559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5.267184352401884</v>
      </c>
      <c r="AB90" s="23">
        <f>EXP(-LN(2)/2)*AB89+(1-EXP(-LN(2)/2))/(LN(2)/2)*V90*Y90*VLOOKUP('Données projet'!$B$9,Paramètres!$A$1:$I$89,3,0)*0.475*44/12</f>
        <v>4.8117234311415344E-8</v>
      </c>
      <c r="AC90" s="24">
        <f t="shared" si="57"/>
        <v>5.2671844005191186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405.09126081846171</v>
      </c>
      <c r="AO90" s="62">
        <f t="shared" si="90"/>
        <v>534.22295841722166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8.5258487062464265</v>
      </c>
      <c r="AV90" s="23">
        <f>EXP(-LN(2)/25)*AV89+(1-EXP(-LN(2)/25))/(LN(2)/25)*Calculateur!AQ90*Calculateur!AS90*VLOOKUP('Données projet'!$B$10,Paramètres!$A$1:$I$89,3,0)*0.475*44/12</f>
        <v>4.9185878479452887</v>
      </c>
      <c r="AW90" s="23">
        <f>EXP(-LN(2)/2)*AW89+(1-EXP(-LN(2)/2))/(LN(2)/2)*AQ90*AT90*VLOOKUP('Données projet'!$B$10,Paramètres!$A$1:$I$89,3,0)*0.475*44/12</f>
        <v>3.1186412560525447E-8</v>
      </c>
      <c r="AX90" s="23">
        <f t="shared" si="60"/>
        <v>13.444436585378126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900.19075125781683</v>
      </c>
      <c r="BI90" s="62">
        <f ca="1">AVERAGE(OFFSET($BH$3,0,0,'Données projet'!$E$11+1,1))-AVERAGE(OFFSET($H$3,0,0,'Données projet'!$E$11+1,1))</f>
        <v>439.06700232017681</v>
      </c>
      <c r="BJ90" s="62">
        <f t="shared" si="92"/>
        <v>278.21741231699929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1.8799372256905325</v>
      </c>
      <c r="BR90" s="23">
        <f>EXP(-LN(2)/2)*BR89+(1-EXP(-LN(2)/2))/(LN(2)/2)*BL90*BO90*VLOOKUP('Données projet'!$B$11,Paramètres!$A$1:$I$89,3,0)*0.475*44/12</f>
        <v>3.9275000829733781E-8</v>
      </c>
      <c r="BS90" s="24">
        <f t="shared" si="63"/>
        <v>1.8799372649655333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300.60576000000003</v>
      </c>
      <c r="CA90" s="14">
        <f t="shared" si="93"/>
        <v>71.303439126782422</v>
      </c>
      <c r="CB90" s="22">
        <f t="shared" si="64"/>
        <v>647.74185514581279</v>
      </c>
      <c r="CC90" s="62">
        <f t="shared" si="65"/>
        <v>941.07518847914616</v>
      </c>
      <c r="CD90" s="62">
        <f ca="1">AVERAGE(OFFSET($CC$3,0,0,'Données projet'!$E$12+1,1))-AVERAGE(OFFSET($H$3,0,0,'Données projet'!$E$12+1,1))</f>
        <v>466.4945858005575</v>
      </c>
      <c r="CE90" s="62">
        <f t="shared" si="94"/>
        <v>294.45557293177131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2.0095880688416052</v>
      </c>
      <c r="CM90" s="23">
        <f>EXP(-LN(2)/2)*CM89+(1-EXP(-LN(2)/2))/(LN(2)/2)*CG90*CJ90*VLOOKUP('Données projet'!$B$12,Paramètres!$A$1:$I$89,3,0)*0.475*44/12</f>
        <v>4.1983621576612096E-8</v>
      </c>
      <c r="CN90" s="24">
        <f t="shared" si="66"/>
        <v>2.0095881108252267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208.48464000000001</v>
      </c>
      <c r="CV90" s="14">
        <f t="shared" si="95"/>
        <v>51.60430196645396</v>
      </c>
      <c r="CW90" s="22">
        <f t="shared" si="67"/>
        <v>452.98824059157391</v>
      </c>
      <c r="CX90" s="62">
        <f t="shared" si="68"/>
        <v>746.32157392490717</v>
      </c>
      <c r="CY90" s="62">
        <f ca="1">AVERAGE(OFFSET($CX$3,0,0,'Données projet'!$E$13+1,1))-AVERAGE(OFFSET($H$3,0,0,'Données projet'!$E$13+1,1))</f>
        <v>335.83558218229564</v>
      </c>
      <c r="CZ90" s="62">
        <f t="shared" si="96"/>
        <v>217.08423061559648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1.717873671751694</v>
      </c>
      <c r="DH90" s="23">
        <f>EXP(-LN(2)/2)*DH89+(1-EXP(-LN(2)/2))/(LN(2)/2)*DB90*DE90*VLOOKUP('Données projet'!$B$13,Paramètres!$A$1:$I$89,3,0)*0.475*44/12</f>
        <v>2.9117673028940646E-8</v>
      </c>
      <c r="DI90" s="24">
        <f t="shared" si="69"/>
        <v>1.717873700869367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4.9658410716801891E-14</v>
      </c>
      <c r="P91" s="14">
        <f t="shared" si="87"/>
        <v>8.0934058173791862E-13</v>
      </c>
      <c r="Q91" s="22">
        <f t="shared" si="54"/>
        <v>1.4960899118586383E-12</v>
      </c>
      <c r="R91" s="62">
        <f t="shared" si="55"/>
        <v>293.33333333333479</v>
      </c>
      <c r="S91" s="62">
        <f ca="1">AVERAGE(OFFSET($R$3,0,0,'Données projet'!$E$9+1,1))-AVERAGE(OFFSET($H$3,0,0,'Données projet'!$E$9+1,1))</f>
        <v>321.62968871874483</v>
      </c>
      <c r="T91" s="62">
        <f t="shared" si="88"/>
        <v>389.91636841473559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5.1231529192962677</v>
      </c>
      <c r="AB91" s="23">
        <f>EXP(-LN(2)/2)*AB90+(1-EXP(-LN(2)/2))/(LN(2)/2)*V91*Y91*VLOOKUP('Données projet'!$B$9,Paramètres!$A$1:$I$89,3,0)*0.475*44/12</f>
        <v>3.4024022673543806E-8</v>
      </c>
      <c r="AC91" s="24">
        <f t="shared" si="57"/>
        <v>5.1231529533202904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405.09126081846171</v>
      </c>
      <c r="AO91" s="62">
        <f t="shared" si="90"/>
        <v>534.22295841722166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8.3586620133711627</v>
      </c>
      <c r="AV91" s="23">
        <f>EXP(-LN(2)/25)*AV90+(1-EXP(-LN(2)/25))/(LN(2)/25)*Calculateur!AQ91*Calculateur!AS91*VLOOKUP('Données projet'!$B$10,Paramètres!$A$1:$I$89,3,0)*0.475*44/12</f>
        <v>4.7840888045859318</v>
      </c>
      <c r="AW91" s="23">
        <f>EXP(-LN(2)/2)*AW90+(1-EXP(-LN(2)/2))/(LN(2)/2)*AQ91*AT91*VLOOKUP('Données projet'!$B$10,Paramètres!$A$1:$I$89,3,0)*0.475*44/12</f>
        <v>2.2052123802428865E-8</v>
      </c>
      <c r="AX91" s="23">
        <f t="shared" si="60"/>
        <v>13.142750840009217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912.40400733040633</v>
      </c>
      <c r="BI91" s="62">
        <f ca="1">AVERAGE(OFFSET($BH$3,0,0,'Données projet'!$E$11+1,1))-AVERAGE(OFFSET($H$3,0,0,'Données projet'!$E$11+1,1))</f>
        <v>439.06700232017681</v>
      </c>
      <c r="BJ91" s="62">
        <f t="shared" si="92"/>
        <v>278.21741231699929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1.8285302433924229</v>
      </c>
      <c r="BR91" s="23">
        <f>EXP(-LN(2)/2)*BR90+(1-EXP(-LN(2)/2))/(LN(2)/2)*BL91*BO91*VLOOKUP('Données projet'!$B$11,Paramètres!$A$1:$I$89,3,0)*0.475*44/12</f>
        <v>2.7771619417812037E-8</v>
      </c>
      <c r="BS91" s="24">
        <f t="shared" si="63"/>
        <v>1.8285302711640423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306.79584</v>
      </c>
      <c r="CA91" s="14">
        <f t="shared" si="93"/>
        <v>72.599269943528554</v>
      </c>
      <c r="CB91" s="22">
        <f t="shared" si="64"/>
        <v>660.77981648497882</v>
      </c>
      <c r="CC91" s="62">
        <f t="shared" si="65"/>
        <v>954.11314981831219</v>
      </c>
      <c r="CD91" s="62">
        <f ca="1">AVERAGE(OFFSET($CC$3,0,0,'Données projet'!$E$12+1,1))-AVERAGE(OFFSET($H$3,0,0,'Données projet'!$E$12+1,1))</f>
        <v>466.4945858005575</v>
      </c>
      <c r="CE91" s="62">
        <f t="shared" si="94"/>
        <v>294.45557293177131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1.954635777419488</v>
      </c>
      <c r="CM91" s="23">
        <f>EXP(-LN(2)/2)*CM90+(1-EXP(-LN(2)/2))/(LN(2)/2)*CG91*CJ91*VLOOKUP('Données projet'!$B$12,Paramètres!$A$1:$I$89,3,0)*0.475*44/12</f>
        <v>2.9686903515592266E-8</v>
      </c>
      <c r="CN91" s="24">
        <f t="shared" si="66"/>
        <v>1.9546358071063916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212.77775999999997</v>
      </c>
      <c r="CV91" s="14">
        <f t="shared" si="95"/>
        <v>52.542131131270303</v>
      </c>
      <c r="CW91" s="22">
        <f t="shared" si="67"/>
        <v>462.09881038696238</v>
      </c>
      <c r="CX91" s="62">
        <f t="shared" si="68"/>
        <v>755.4321437202957</v>
      </c>
      <c r="CY91" s="62">
        <f ca="1">AVERAGE(OFFSET($CX$3,0,0,'Données projet'!$E$13+1,1))-AVERAGE(OFFSET($H$3,0,0,'Données projet'!$E$13+1,1))</f>
        <v>335.83558218229564</v>
      </c>
      <c r="CZ91" s="62">
        <f t="shared" si="96"/>
        <v>217.08423061559648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1.6708983258585939</v>
      </c>
      <c r="DH91" s="23">
        <f>EXP(-LN(2)/2)*DH90+(1-EXP(-LN(2)/2))/(LN(2)/2)*DB91*DE91*VLOOKUP('Données projet'!$B$13,Paramètres!$A$1:$I$89,3,0)*0.475*44/12</f>
        <v>2.0589304051136571E-8</v>
      </c>
      <c r="DI91" s="24">
        <f t="shared" si="69"/>
        <v>1.6708983464478979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4.9658410716801891E-14</v>
      </c>
      <c r="P92" s="14">
        <f t="shared" si="87"/>
        <v>8.0934058173791862E-13</v>
      </c>
      <c r="Q92" s="22">
        <f t="shared" si="54"/>
        <v>1.4960899118586383E-12</v>
      </c>
      <c r="R92" s="62">
        <f t="shared" si="55"/>
        <v>293.33333333333479</v>
      </c>
      <c r="S92" s="62">
        <f ca="1">AVERAGE(OFFSET($R$3,0,0,'Données projet'!$E$9+1,1))-AVERAGE(OFFSET($H$3,0,0,'Données projet'!$E$9+1,1))</f>
        <v>321.62968871874483</v>
      </c>
      <c r="T92" s="62">
        <f t="shared" si="88"/>
        <v>389.91636841473559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4.9830600333032082</v>
      </c>
      <c r="AB92" s="23">
        <f>EXP(-LN(2)/2)*AB91+(1-EXP(-LN(2)/2))/(LN(2)/2)*V92*Y92*VLOOKUP('Données projet'!$B$9,Paramètres!$A$1:$I$89,3,0)*0.475*44/12</f>
        <v>2.4058617155707672E-8</v>
      </c>
      <c r="AC92" s="24">
        <f t="shared" si="57"/>
        <v>4.9830600573618256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405.09126081846171</v>
      </c>
      <c r="AO92" s="62">
        <f t="shared" si="90"/>
        <v>534.22295841722166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8.1947537495693688</v>
      </c>
      <c r="AV92" s="23">
        <f>EXP(-LN(2)/25)*AV91+(1-EXP(-LN(2)/25))/(LN(2)/25)*Calculateur!AQ92*Calculateur!AS92*VLOOKUP('Données projet'!$B$10,Paramètres!$A$1:$I$89,3,0)*0.475*44/12</f>
        <v>4.6532676446402332</v>
      </c>
      <c r="AW92" s="23">
        <f>EXP(-LN(2)/2)*AW91+(1-EXP(-LN(2)/2))/(LN(2)/2)*AQ92*AT92*VLOOKUP('Données projet'!$B$10,Paramètres!$A$1:$I$89,3,0)*0.475*44/12</f>
        <v>1.5593206280262723E-8</v>
      </c>
      <c r="AX92" s="23">
        <f t="shared" si="60"/>
        <v>12.84802140980281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924.61227177668206</v>
      </c>
      <c r="BI92" s="62">
        <f ca="1">AVERAGE(OFFSET($BH$3,0,0,'Données projet'!$E$11+1,1))-AVERAGE(OFFSET($H$3,0,0,'Données projet'!$E$11+1,1))</f>
        <v>439.06700232017681</v>
      </c>
      <c r="BJ92" s="62">
        <f t="shared" si="92"/>
        <v>278.21741231699929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1.7785289877286308</v>
      </c>
      <c r="BR92" s="23">
        <f>EXP(-LN(2)/2)*BR91+(1-EXP(-LN(2)/2))/(LN(2)/2)*BL92*BO92*VLOOKUP('Données projet'!$B$11,Paramètres!$A$1:$I$89,3,0)*0.475*44/12</f>
        <v>1.963750041486689E-8</v>
      </c>
      <c r="BS92" s="24">
        <f t="shared" si="63"/>
        <v>1.7785290073661313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312.98591999999996</v>
      </c>
      <c r="CA92" s="14">
        <f t="shared" si="93"/>
        <v>73.892060789929147</v>
      </c>
      <c r="CB92" s="22">
        <f t="shared" si="64"/>
        <v>673.81248320912653</v>
      </c>
      <c r="CC92" s="62">
        <f t="shared" si="65"/>
        <v>967.1458165424599</v>
      </c>
      <c r="CD92" s="62">
        <f ca="1">AVERAGE(OFFSET($CC$3,0,0,'Données projet'!$E$12+1,1))-AVERAGE(OFFSET($H$3,0,0,'Données projet'!$E$12+1,1))</f>
        <v>466.4945858005575</v>
      </c>
      <c r="CE92" s="62">
        <f t="shared" si="94"/>
        <v>294.45557293177131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1.9011861592961239</v>
      </c>
      <c r="CM92" s="23">
        <f>EXP(-LN(2)/2)*CM91+(1-EXP(-LN(2)/2))/(LN(2)/2)*CG92*CJ92*VLOOKUP('Données projet'!$B$12,Paramètres!$A$1:$I$89,3,0)*0.475*44/12</f>
        <v>2.0991810788306051E-8</v>
      </c>
      <c r="CN92" s="24">
        <f t="shared" si="66"/>
        <v>1.9011861802879346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217.07087999999999</v>
      </c>
      <c r="CV92" s="14">
        <f t="shared" si="95"/>
        <v>53.477760184148146</v>
      </c>
      <c r="CW92" s="22">
        <f t="shared" si="67"/>
        <v>471.20554832072474</v>
      </c>
      <c r="CX92" s="62">
        <f t="shared" si="68"/>
        <v>764.53888165405806</v>
      </c>
      <c r="CY92" s="62">
        <f ca="1">AVERAGE(OFFSET($CX$3,0,0,'Données projet'!$E$13+1,1))-AVERAGE(OFFSET($H$3,0,0,'Données projet'!$E$13+1,1))</f>
        <v>335.83558218229564</v>
      </c>
      <c r="CZ92" s="62">
        <f t="shared" si="96"/>
        <v>217.08423061559648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1.6252075232692667</v>
      </c>
      <c r="DH92" s="23">
        <f>EXP(-LN(2)/2)*DH91+(1-EXP(-LN(2)/2))/(LN(2)/2)*DB92*DE92*VLOOKUP('Données projet'!$B$13,Paramètres!$A$1:$I$89,3,0)*0.475*44/12</f>
        <v>1.4558836514470324E-8</v>
      </c>
      <c r="DI92" s="24">
        <f t="shared" si="69"/>
        <v>1.6252075378281032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4.9658410716801891E-14</v>
      </c>
      <c r="P93" s="14">
        <f t="shared" si="87"/>
        <v>8.0934058173791862E-13</v>
      </c>
      <c r="Q93" s="22">
        <f t="shared" si="54"/>
        <v>1.4960899118586383E-12</v>
      </c>
      <c r="R93" s="62">
        <f t="shared" si="55"/>
        <v>293.33333333333479</v>
      </c>
      <c r="S93" s="62">
        <f ca="1">AVERAGE(OFFSET($R$3,0,0,'Données projet'!$E$9+1,1))-AVERAGE(OFFSET($H$3,0,0,'Données projet'!$E$9+1,1))</f>
        <v>321.62968871874483</v>
      </c>
      <c r="T93" s="62">
        <f t="shared" si="88"/>
        <v>389.91636841473559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4.8467979946447937</v>
      </c>
      <c r="AB93" s="23">
        <f>EXP(-LN(2)/2)*AB92+(1-EXP(-LN(2)/2))/(LN(2)/2)*V93*Y93*VLOOKUP('Données projet'!$B$9,Paramètres!$A$1:$I$89,3,0)*0.475*44/12</f>
        <v>1.7012011336771903E-8</v>
      </c>
      <c r="AC93" s="24">
        <f t="shared" si="57"/>
        <v>4.846798011656805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405.09126081846171</v>
      </c>
      <c r="AO93" s="62">
        <f t="shared" si="90"/>
        <v>534.22295841722166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8.0340596268465596</v>
      </c>
      <c r="AV93" s="23">
        <f>EXP(-LN(2)/25)*AV92+(1-EXP(-LN(2)/25))/(LN(2)/25)*Calculateur!AQ93*Calculateur!AS93*VLOOKUP('Données projet'!$B$10,Paramètres!$A$1:$I$89,3,0)*0.475*44/12</f>
        <v>4.5260237961928356</v>
      </c>
      <c r="AW93" s="23">
        <f>EXP(-LN(2)/2)*AW92+(1-EXP(-LN(2)/2))/(LN(2)/2)*AQ93*AT93*VLOOKUP('Données projet'!$B$10,Paramètres!$A$1:$I$89,3,0)*0.475*44/12</f>
        <v>1.1026061901214432E-8</v>
      </c>
      <c r="AX93" s="23">
        <f t="shared" si="60"/>
        <v>12.560083434065456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936.81565469749989</v>
      </c>
      <c r="BI93" s="62">
        <f ca="1">AVERAGE(OFFSET($BH$3,0,0,'Données projet'!$E$11+1,1))-AVERAGE(OFFSET($H$3,0,0,'Données projet'!$E$11+1,1))</f>
        <v>439.06700232017681</v>
      </c>
      <c r="BJ93" s="62">
        <f t="shared" si="92"/>
        <v>278.21741231699929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1.7298950190304168</v>
      </c>
      <c r="BR93" s="23">
        <f>EXP(-LN(2)/2)*BR92+(1-EXP(-LN(2)/2))/(LN(2)/2)*BL93*BO93*VLOOKUP('Données projet'!$B$11,Paramètres!$A$1:$I$89,3,0)*0.475*44/12</f>
        <v>1.3885809708906019E-8</v>
      </c>
      <c r="BS93" s="24">
        <f t="shared" si="63"/>
        <v>1.7298950329162264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319.17599999999993</v>
      </c>
      <c r="CA93" s="14">
        <f t="shared" si="93"/>
        <v>75.181878718947672</v>
      </c>
      <c r="CB93" s="22">
        <f t="shared" si="64"/>
        <v>686.83997210216705</v>
      </c>
      <c r="CC93" s="62">
        <f t="shared" si="65"/>
        <v>980.17330543550042</v>
      </c>
      <c r="CD93" s="62">
        <f ca="1">AVERAGE(OFFSET($CC$3,0,0,'Données projet'!$E$12+1,1))-AVERAGE(OFFSET($H$3,0,0,'Données projet'!$E$12+1,1))</f>
        <v>466.4945858005575</v>
      </c>
      <c r="CE93" s="62">
        <f t="shared" si="94"/>
        <v>294.45557293177131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1.8491981237911366</v>
      </c>
      <c r="CM93" s="23">
        <f>EXP(-LN(2)/2)*CM92+(1-EXP(-LN(2)/2))/(LN(2)/2)*CG93*CJ93*VLOOKUP('Données projet'!$B$12,Paramètres!$A$1:$I$89,3,0)*0.475*44/12</f>
        <v>1.4843451757796136E-8</v>
      </c>
      <c r="CN93" s="24">
        <f t="shared" si="66"/>
        <v>1.8491981386345884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221.36399999999998</v>
      </c>
      <c r="CV93" s="14">
        <f t="shared" si="95"/>
        <v>54.411237653200793</v>
      </c>
      <c r="CW93" s="22">
        <f t="shared" si="67"/>
        <v>480.30853891265798</v>
      </c>
      <c r="CX93" s="62">
        <f t="shared" si="68"/>
        <v>773.64187224599129</v>
      </c>
      <c r="CY93" s="62">
        <f ca="1">AVERAGE(OFFSET($CX$3,0,0,'Données projet'!$E$13+1,1))-AVERAGE(OFFSET($H$3,0,0,'Données projet'!$E$13+1,1))</f>
        <v>335.83558218229564</v>
      </c>
      <c r="CZ93" s="62">
        <f t="shared" si="96"/>
        <v>217.08423061559648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1.5807661380795193</v>
      </c>
      <c r="DH93" s="23">
        <f>EXP(-LN(2)/2)*DH92+(1-EXP(-LN(2)/2))/(LN(2)/2)*DB93*DE93*VLOOKUP('Données projet'!$B$13,Paramètres!$A$1:$I$89,3,0)*0.475*44/12</f>
        <v>1.0294652025568287E-8</v>
      </c>
      <c r="DI93" s="24">
        <f t="shared" si="69"/>
        <v>1.5807661483741713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4.9658410716801891E-14</v>
      </c>
      <c r="P94" s="14">
        <f t="shared" si="87"/>
        <v>8.0934058173791862E-13</v>
      </c>
      <c r="Q94" s="22">
        <f t="shared" si="54"/>
        <v>1.4960899118586383E-12</v>
      </c>
      <c r="R94" s="62">
        <f t="shared" si="55"/>
        <v>293.33333333333479</v>
      </c>
      <c r="S94" s="62">
        <f ca="1">AVERAGE(OFFSET($R$3,0,0,'Données projet'!$E$9+1,1))-AVERAGE(OFFSET($H$3,0,0,'Données projet'!$E$9+1,1))</f>
        <v>321.62968871874483</v>
      </c>
      <c r="T94" s="62">
        <f t="shared" si="88"/>
        <v>389.91636841473559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4.7142620485992026</v>
      </c>
      <c r="AB94" s="23">
        <f>EXP(-LN(2)/2)*AB93+(1-EXP(-LN(2)/2))/(LN(2)/2)*V94*Y94*VLOOKUP('Données projet'!$B$9,Paramètres!$A$1:$I$89,3,0)*0.475*44/12</f>
        <v>1.2029308577853836E-8</v>
      </c>
      <c r="AC94" s="24">
        <f t="shared" si="57"/>
        <v>4.7142620606285108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405.09126081846171</v>
      </c>
      <c r="AO94" s="62">
        <f t="shared" si="90"/>
        <v>534.22295841722166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7.8765166178566073</v>
      </c>
      <c r="AV94" s="23">
        <f>EXP(-LN(2)/25)*AV93+(1-EXP(-LN(2)/25))/(LN(2)/25)*Calculateur!AQ94*Calculateur!AS94*VLOOKUP('Données projet'!$B$10,Paramètres!$A$1:$I$89,3,0)*0.475*44/12</f>
        <v>4.4022594374726953</v>
      </c>
      <c r="AW94" s="23">
        <f>EXP(-LN(2)/2)*AW93+(1-EXP(-LN(2)/2))/(LN(2)/2)*AQ94*AT94*VLOOKUP('Données projet'!$B$10,Paramètres!$A$1:$I$89,3,0)*0.475*44/12</f>
        <v>7.7966031401313617E-9</v>
      </c>
      <c r="AX94" s="23">
        <f t="shared" si="60"/>
        <v>12.278776063125905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278.67839999999995</v>
      </c>
      <c r="BF94" s="14">
        <f t="shared" si="91"/>
        <v>66.687639951856809</v>
      </c>
      <c r="BG94" s="22">
        <f t="shared" si="61"/>
        <v>601.51251958281716</v>
      </c>
      <c r="BH94" s="62">
        <f t="shared" si="62"/>
        <v>894.84585291615053</v>
      </c>
      <c r="BI94" s="62">
        <f ca="1">AVERAGE(OFFSET($BH$3,0,0,'Données projet'!$E$11+1,1))-AVERAGE(OFFSET($H$3,0,0,'Données projet'!$E$11+1,1))</f>
        <v>439.06700232017681</v>
      </c>
      <c r="BJ94" s="62">
        <f t="shared" si="92"/>
        <v>278.21741231699929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1.6825909487638047</v>
      </c>
      <c r="BR94" s="23">
        <f>EXP(-LN(2)/2)*BR93+(1-EXP(-LN(2)/2))/(LN(2)/2)*BL94*BO94*VLOOKUP('Données projet'!$B$11,Paramètres!$A$1:$I$89,3,0)*0.475*44/12</f>
        <v>9.8187502074334452E-9</v>
      </c>
      <c r="BS94" s="24">
        <f t="shared" si="63"/>
        <v>1.6825909585825549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297.89759999999995</v>
      </c>
      <c r="CA94" s="14">
        <f t="shared" si="93"/>
        <v>70.735539446826479</v>
      </c>
      <c r="CB94" s="22">
        <f t="shared" si="64"/>
        <v>642.03605120322266</v>
      </c>
      <c r="CC94" s="62">
        <f t="shared" si="65"/>
        <v>935.36938453655603</v>
      </c>
      <c r="CD94" s="62">
        <f ca="1">AVERAGE(OFFSET($CC$3,0,0,'Données projet'!$E$12+1,1))-AVERAGE(OFFSET($H$3,0,0,'Données projet'!$E$12+1,1))</f>
        <v>466.4945858005575</v>
      </c>
      <c r="CE94" s="62">
        <f t="shared" si="94"/>
        <v>294.45557293177131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1.7986317038509649</v>
      </c>
      <c r="CM94" s="23">
        <f>EXP(-LN(2)/2)*CM93+(1-EXP(-LN(2)/2))/(LN(2)/2)*CG94*CJ94*VLOOKUP('Données projet'!$B$12,Paramètres!$A$1:$I$89,3,0)*0.475*44/12</f>
        <v>1.0495905394153027E-8</v>
      </c>
      <c r="CN94" s="24">
        <f t="shared" si="66"/>
        <v>1.7986317143468704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206.60639999999995</v>
      </c>
      <c r="CV94" s="14">
        <f t="shared" si="95"/>
        <v>51.193297014519018</v>
      </c>
      <c r="CW94" s="22">
        <f t="shared" si="67"/>
        <v>449.00113896695387</v>
      </c>
      <c r="CX94" s="62">
        <f t="shared" si="68"/>
        <v>742.33447230028719</v>
      </c>
      <c r="CY94" s="62">
        <f ca="1">AVERAGE(OFFSET($CX$3,0,0,'Données projet'!$E$13+1,1))-AVERAGE(OFFSET($H$3,0,0,'Données projet'!$E$13+1,1))</f>
        <v>335.83558218229564</v>
      </c>
      <c r="CZ94" s="62">
        <f t="shared" si="96"/>
        <v>217.08423061559648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1.5375400049048564</v>
      </c>
      <c r="DH94" s="23">
        <f>EXP(-LN(2)/2)*DH93+(1-EXP(-LN(2)/2))/(LN(2)/2)*DB94*DE94*VLOOKUP('Données projet'!$B$13,Paramètres!$A$1:$I$89,3,0)*0.475*44/12</f>
        <v>7.2794182572351639E-9</v>
      </c>
      <c r="DI94" s="24">
        <f t="shared" si="69"/>
        <v>1.5375400121842746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4.9658410716801891E-14</v>
      </c>
      <c r="P95" s="14">
        <f t="shared" si="87"/>
        <v>8.0934058173791862E-13</v>
      </c>
      <c r="Q95" s="22">
        <f t="shared" si="54"/>
        <v>1.4960899118586383E-12</v>
      </c>
      <c r="R95" s="62">
        <f t="shared" si="55"/>
        <v>293.33333333333479</v>
      </c>
      <c r="S95" s="62">
        <f ca="1">AVERAGE(OFFSET($R$3,0,0,'Données projet'!$E$9+1,1))-AVERAGE(OFFSET($H$3,0,0,'Données projet'!$E$9+1,1))</f>
        <v>321.62968871874483</v>
      </c>
      <c r="T95" s="62">
        <f t="shared" si="88"/>
        <v>389.91636841473559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4.5853503049679905</v>
      </c>
      <c r="AB95" s="23">
        <f>EXP(-LN(2)/2)*AB94+(1-EXP(-LN(2)/2))/(LN(2)/2)*V95*Y95*VLOOKUP('Données projet'!$B$9,Paramètres!$A$1:$I$89,3,0)*0.475*44/12</f>
        <v>8.5060056683859514E-9</v>
      </c>
      <c r="AC95" s="24">
        <f t="shared" si="57"/>
        <v>4.5853503134739961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405.09126081846171</v>
      </c>
      <c r="AO95" s="62">
        <f t="shared" si="90"/>
        <v>534.22295841722166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7.7220629311812008</v>
      </c>
      <c r="AV95" s="23">
        <f>EXP(-LN(2)/25)*AV94+(1-EXP(-LN(2)/25))/(LN(2)/25)*Calculateur!AQ95*Calculateur!AS95*VLOOKUP('Données projet'!$B$10,Paramètres!$A$1:$I$89,3,0)*0.475*44/12</f>
        <v>4.2818794216502418</v>
      </c>
      <c r="AW95" s="23">
        <f>EXP(-LN(2)/2)*AW94+(1-EXP(-LN(2)/2))/(LN(2)/2)*AQ95*AT95*VLOOKUP('Données projet'!$B$10,Paramètres!$A$1:$I$89,3,0)*0.475*44/12</f>
        <v>5.5130309506072162E-9</v>
      </c>
      <c r="AX95" s="23">
        <f t="shared" si="60"/>
        <v>12.003942358344474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284.10719999999992</v>
      </c>
      <c r="BF95" s="14">
        <f t="shared" si="91"/>
        <v>67.834241327943715</v>
      </c>
      <c r="BG95" s="22">
        <f t="shared" si="61"/>
        <v>612.96467697950186</v>
      </c>
      <c r="BH95" s="62">
        <f t="shared" si="62"/>
        <v>906.29801031283523</v>
      </c>
      <c r="BI95" s="62">
        <f ca="1">AVERAGE(OFFSET($BH$3,0,0,'Données projet'!$E$11+1,1))-AVERAGE(OFFSET($H$3,0,0,'Données projet'!$E$11+1,1))</f>
        <v>439.06700232017681</v>
      </c>
      <c r="BJ95" s="62">
        <f t="shared" si="92"/>
        <v>278.21741231699929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1.6365804107862461</v>
      </c>
      <c r="BR95" s="23">
        <f>EXP(-LN(2)/2)*BR94+(1-EXP(-LN(2)/2))/(LN(2)/2)*BL95*BO95*VLOOKUP('Données projet'!$B$11,Paramètres!$A$1:$I$89,3,0)*0.475*44/12</f>
        <v>6.9429048544530093E-9</v>
      </c>
      <c r="BS95" s="24">
        <f t="shared" si="63"/>
        <v>1.636580417729151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303.70079999999996</v>
      </c>
      <c r="CA95" s="14">
        <f t="shared" si="93"/>
        <v>71.951738834397148</v>
      </c>
      <c r="CB95" s="22">
        <f t="shared" si="64"/>
        <v>654.26150513657501</v>
      </c>
      <c r="CC95" s="62">
        <f t="shared" si="65"/>
        <v>947.59483846990838</v>
      </c>
      <c r="CD95" s="62">
        <f ca="1">AVERAGE(OFFSET($CC$3,0,0,'Données projet'!$E$12+1,1))-AVERAGE(OFFSET($H$3,0,0,'Données projet'!$E$12+1,1))</f>
        <v>466.4945858005575</v>
      </c>
      <c r="CE95" s="62">
        <f t="shared" si="94"/>
        <v>294.45557293177131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1.7494480253232298</v>
      </c>
      <c r="CM95" s="23">
        <f>EXP(-LN(2)/2)*CM94+(1-EXP(-LN(2)/2))/(LN(2)/2)*CG95*CJ95*VLOOKUP('Données projet'!$B$12,Paramètres!$A$1:$I$89,3,0)*0.475*44/12</f>
        <v>7.4217258788980689E-9</v>
      </c>
      <c r="CN95" s="24">
        <f t="shared" si="66"/>
        <v>1.7494480327449557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210.63119999999998</v>
      </c>
      <c r="CV95" s="14">
        <f t="shared" si="95"/>
        <v>52.073494677019134</v>
      </c>
      <c r="CW95" s="22">
        <f t="shared" si="67"/>
        <v>457.5440098958083</v>
      </c>
      <c r="CX95" s="62">
        <f t="shared" si="68"/>
        <v>750.87734322914162</v>
      </c>
      <c r="CY95" s="62">
        <f ca="1">AVERAGE(OFFSET($CX$3,0,0,'Données projet'!$E$13+1,1))-AVERAGE(OFFSET($H$3,0,0,'Données projet'!$E$13+1,1))</f>
        <v>335.83558218229564</v>
      </c>
      <c r="CZ95" s="62">
        <f t="shared" si="96"/>
        <v>217.08423061559648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1.4954958926150184</v>
      </c>
      <c r="DH95" s="23">
        <f>EXP(-LN(2)/2)*DH94+(1-EXP(-LN(2)/2))/(LN(2)/2)*DB95*DE95*VLOOKUP('Données projet'!$B$13,Paramètres!$A$1:$I$89,3,0)*0.475*44/12</f>
        <v>5.1473260127841444E-9</v>
      </c>
      <c r="DI95" s="24">
        <f t="shared" si="69"/>
        <v>1.4954958977623445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4.9658410716801891E-14</v>
      </c>
      <c r="P96" s="14">
        <f t="shared" si="87"/>
        <v>8.0934058173791862E-13</v>
      </c>
      <c r="Q96" s="22">
        <f t="shared" si="54"/>
        <v>1.4960899118586383E-12</v>
      </c>
      <c r="R96" s="62">
        <f t="shared" si="55"/>
        <v>293.33333333333479</v>
      </c>
      <c r="S96" s="62">
        <f ca="1">AVERAGE(OFFSET($R$3,0,0,'Données projet'!$E$9+1,1))-AVERAGE(OFFSET($H$3,0,0,'Données projet'!$E$9+1,1))</f>
        <v>321.62968871874483</v>
      </c>
      <c r="T96" s="62">
        <f t="shared" si="88"/>
        <v>389.91636841473559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4.4599636597455481</v>
      </c>
      <c r="AB96" s="23">
        <f>EXP(-LN(2)/2)*AB95+(1-EXP(-LN(2)/2))/(LN(2)/2)*V96*Y96*VLOOKUP('Données projet'!$B$9,Paramètres!$A$1:$I$89,3,0)*0.475*44/12</f>
        <v>6.014654288926918E-9</v>
      </c>
      <c r="AC96" s="24">
        <f t="shared" si="57"/>
        <v>4.4599636657602026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405.09126081846171</v>
      </c>
      <c r="AO96" s="62">
        <f t="shared" si="90"/>
        <v>534.22295841722166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7.5706379870940523</v>
      </c>
      <c r="AV96" s="23">
        <f>EXP(-LN(2)/25)*AV95+(1-EXP(-LN(2)/25))/(LN(2)/25)*Calculateur!AQ96*Calculateur!AS96*VLOOKUP('Données projet'!$B$10,Paramètres!$A$1:$I$89,3,0)*0.475*44/12</f>
        <v>4.1647912036909638</v>
      </c>
      <c r="AW96" s="23">
        <f>EXP(-LN(2)/2)*AW95+(1-EXP(-LN(2)/2))/(LN(2)/2)*AQ96*AT96*VLOOKUP('Données projet'!$B$10,Paramètres!$A$1:$I$89,3,0)*0.475*44/12</f>
        <v>3.8983015700656809E-9</v>
      </c>
      <c r="AX96" s="23">
        <f t="shared" si="60"/>
        <v>11.735429194683318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289.53599999999994</v>
      </c>
      <c r="BF96" s="14">
        <f t="shared" si="91"/>
        <v>68.97829509904436</v>
      </c>
      <c r="BG96" s="22">
        <f t="shared" si="61"/>
        <v>624.41239729750214</v>
      </c>
      <c r="BH96" s="62">
        <f t="shared" si="62"/>
        <v>917.7457306308354</v>
      </c>
      <c r="BI96" s="62">
        <f ca="1">AVERAGE(OFFSET($BH$3,0,0,'Données projet'!$E$11+1,1))-AVERAGE(OFFSET($H$3,0,0,'Données projet'!$E$11+1,1))</f>
        <v>439.06700232017681</v>
      </c>
      <c r="BJ96" s="62">
        <f t="shared" si="92"/>
        <v>278.21741231699929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1.5918280333892727</v>
      </c>
      <c r="BR96" s="23">
        <f>EXP(-LN(2)/2)*BR95+(1-EXP(-LN(2)/2))/(LN(2)/2)*BL96*BO96*VLOOKUP('Données projet'!$B$11,Paramètres!$A$1:$I$89,3,0)*0.475*44/12</f>
        <v>4.9093751037167226E-9</v>
      </c>
      <c r="BS96" s="24">
        <f t="shared" si="63"/>
        <v>1.5918280382986478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309.50399999999996</v>
      </c>
      <c r="CA96" s="14">
        <f t="shared" si="93"/>
        <v>73.165235978896504</v>
      </c>
      <c r="CB96" s="22">
        <f t="shared" si="64"/>
        <v>666.48225266324471</v>
      </c>
      <c r="CC96" s="62">
        <f t="shared" si="65"/>
        <v>959.81558599657797</v>
      </c>
      <c r="CD96" s="62">
        <f ca="1">AVERAGE(OFFSET($CC$3,0,0,'Données projet'!$E$12+1,1))-AVERAGE(OFFSET($H$3,0,0,'Données projet'!$E$12+1,1))</f>
        <v>466.4945858005575</v>
      </c>
      <c r="CE96" s="62">
        <f t="shared" si="94"/>
        <v>294.45557293177131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1.7016092770712929</v>
      </c>
      <c r="CM96" s="23">
        <f>EXP(-LN(2)/2)*CM95+(1-EXP(-LN(2)/2))/(LN(2)/2)*CG96*CJ96*VLOOKUP('Données projet'!$B$12,Paramètres!$A$1:$I$89,3,0)*0.475*44/12</f>
        <v>5.2479526970765145E-9</v>
      </c>
      <c r="CN96" s="24">
        <f t="shared" si="66"/>
        <v>1.7016092823192457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214.65599999999995</v>
      </c>
      <c r="CV96" s="14">
        <f t="shared" si="95"/>
        <v>52.951736650296546</v>
      </c>
      <c r="CW96" s="22">
        <f t="shared" si="67"/>
        <v>466.08347466593301</v>
      </c>
      <c r="CX96" s="62">
        <f t="shared" si="68"/>
        <v>759.41680799926633</v>
      </c>
      <c r="CY96" s="62">
        <f ca="1">AVERAGE(OFFSET($CX$3,0,0,'Données projet'!$E$13+1,1))-AVERAGE(OFFSET($H$3,0,0,'Données projet'!$E$13+1,1))</f>
        <v>335.83558218229564</v>
      </c>
      <c r="CZ96" s="62">
        <f t="shared" si="96"/>
        <v>217.08423061559648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1.4546014787867496</v>
      </c>
      <c r="DH96" s="23">
        <f>EXP(-LN(2)/2)*DH95+(1-EXP(-LN(2)/2))/(LN(2)/2)*DB96*DE96*VLOOKUP('Données projet'!$B$13,Paramètres!$A$1:$I$89,3,0)*0.475*44/12</f>
        <v>3.6397091286175824E-9</v>
      </c>
      <c r="DI96" s="24">
        <f t="shared" si="69"/>
        <v>1.4546014824264588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4.9658410716801891E-14</v>
      </c>
      <c r="P97" s="14">
        <f t="shared" si="87"/>
        <v>8.0934058173791862E-13</v>
      </c>
      <c r="Q97" s="22">
        <f t="shared" si="54"/>
        <v>1.4960899118586383E-12</v>
      </c>
      <c r="R97" s="62">
        <f t="shared" si="55"/>
        <v>293.33333333333479</v>
      </c>
      <c r="S97" s="62">
        <f ca="1">AVERAGE(OFFSET($R$3,0,0,'Données projet'!$E$9+1,1))-AVERAGE(OFFSET($H$3,0,0,'Données projet'!$E$9+1,1))</f>
        <v>321.62968871874483</v>
      </c>
      <c r="T97" s="62">
        <f t="shared" si="88"/>
        <v>389.91636841473559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4.3380057189305106</v>
      </c>
      <c r="AB97" s="23">
        <f>EXP(-LN(2)/2)*AB96+(1-EXP(-LN(2)/2))/(LN(2)/2)*V97*Y97*VLOOKUP('Données projet'!$B$9,Paramètres!$A$1:$I$89,3,0)*0.475*44/12</f>
        <v>4.2530028341929757E-9</v>
      </c>
      <c r="AC97" s="24">
        <f t="shared" si="57"/>
        <v>4.338005723183513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405.09126081846171</v>
      </c>
      <c r="AO97" s="62">
        <f t="shared" si="90"/>
        <v>534.22295841722166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7.422182393800357</v>
      </c>
      <c r="AV97" s="23">
        <f>EXP(-LN(2)/25)*AV96+(1-EXP(-LN(2)/25))/(LN(2)/25)*Calculateur!AQ97*Calculateur!AS97*VLOOKUP('Données projet'!$B$10,Paramètres!$A$1:$I$89,3,0)*0.475*44/12</f>
        <v>4.0509047692091835</v>
      </c>
      <c r="AW97" s="23">
        <f>EXP(-LN(2)/2)*AW96+(1-EXP(-LN(2)/2))/(LN(2)/2)*AQ97*AT97*VLOOKUP('Données projet'!$B$10,Paramètres!$A$1:$I$89,3,0)*0.475*44/12</f>
        <v>2.7565154753036081E-9</v>
      </c>
      <c r="AX97" s="23">
        <f t="shared" si="60"/>
        <v>11.473087165766056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294.96479999999997</v>
      </c>
      <c r="BF97" s="14">
        <f t="shared" si="91"/>
        <v>70.119854541045001</v>
      </c>
      <c r="BG97" s="22">
        <f t="shared" si="61"/>
        <v>635.85577332565333</v>
      </c>
      <c r="BH97" s="62">
        <f t="shared" si="62"/>
        <v>929.1891066589867</v>
      </c>
      <c r="BI97" s="62">
        <f ca="1">AVERAGE(OFFSET($BH$3,0,0,'Données projet'!$E$11+1,1))-AVERAGE(OFFSET($H$3,0,0,'Données projet'!$E$11+1,1))</f>
        <v>439.06700232017681</v>
      </c>
      <c r="BJ97" s="62">
        <f t="shared" si="92"/>
        <v>278.21741231699929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1.548299412105645</v>
      </c>
      <c r="BR97" s="23">
        <f>EXP(-LN(2)/2)*BR96+(1-EXP(-LN(2)/2))/(LN(2)/2)*BL97*BO97*VLOOKUP('Données projet'!$B$11,Paramètres!$A$1:$I$89,3,0)*0.475*44/12</f>
        <v>3.4714524272265047E-9</v>
      </c>
      <c r="BS97" s="24">
        <f t="shared" si="63"/>
        <v>1.5482994155770975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315.30719999999997</v>
      </c>
      <c r="CA97" s="14">
        <f t="shared" si="93"/>
        <v>74.376087390025049</v>
      </c>
      <c r="CB97" s="22">
        <f t="shared" si="64"/>
        <v>678.69839220429355</v>
      </c>
      <c r="CC97" s="62">
        <f t="shared" si="65"/>
        <v>972.03172553762693</v>
      </c>
      <c r="CD97" s="62">
        <f ca="1">AVERAGE(OFFSET($CC$3,0,0,'Données projet'!$E$12+1,1))-AVERAGE(OFFSET($H$3,0,0,'Données projet'!$E$12+1,1))</f>
        <v>466.4945858005575</v>
      </c>
      <c r="CE97" s="62">
        <f t="shared" si="94"/>
        <v>294.45557293177131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1.6550786819060357</v>
      </c>
      <c r="CM97" s="23">
        <f>EXP(-LN(2)/2)*CM96+(1-EXP(-LN(2)/2))/(LN(2)/2)*CG97*CJ97*VLOOKUP('Données projet'!$B$12,Paramètres!$A$1:$I$89,3,0)*0.475*44/12</f>
        <v>3.7108629394490353E-9</v>
      </c>
      <c r="CN97" s="24">
        <f t="shared" si="66"/>
        <v>1.6550786856168986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218.68079999999998</v>
      </c>
      <c r="CV97" s="14">
        <f t="shared" si="95"/>
        <v>53.828063832009079</v>
      </c>
      <c r="CW97" s="22">
        <f t="shared" si="67"/>
        <v>474.61960450741572</v>
      </c>
      <c r="CX97" s="62">
        <f t="shared" si="68"/>
        <v>767.95293784074897</v>
      </c>
      <c r="CY97" s="62">
        <f ca="1">AVERAGE(OFFSET($CX$3,0,0,'Données projet'!$E$13+1,1))-AVERAGE(OFFSET($H$3,0,0,'Données projet'!$E$13+1,1))</f>
        <v>335.83558218229564</v>
      </c>
      <c r="CZ97" s="62">
        <f t="shared" si="96"/>
        <v>217.08423061559648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1.4148253248551588</v>
      </c>
      <c r="DH97" s="23">
        <f>EXP(-LN(2)/2)*DH96+(1-EXP(-LN(2)/2))/(LN(2)/2)*DB97*DE97*VLOOKUP('Données projet'!$B$13,Paramètres!$A$1:$I$89,3,0)*0.475*44/12</f>
        <v>2.5736630063920726E-9</v>
      </c>
      <c r="DI97" s="24">
        <f t="shared" si="69"/>
        <v>1.4148253274288218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4.9658410716801891E-14</v>
      </c>
      <c r="P98" s="14">
        <f t="shared" si="87"/>
        <v>8.0934058173791862E-13</v>
      </c>
      <c r="Q98" s="22">
        <f t="shared" si="54"/>
        <v>1.4960899118586383E-12</v>
      </c>
      <c r="R98" s="62">
        <f t="shared" si="55"/>
        <v>293.33333333333479</v>
      </c>
      <c r="S98" s="62">
        <f ca="1">AVERAGE(OFFSET($R$3,0,0,'Données projet'!$E$9+1,1))-AVERAGE(OFFSET($H$3,0,0,'Données projet'!$E$9+1,1))</f>
        <v>321.62968871874483</v>
      </c>
      <c r="T98" s="62">
        <f t="shared" si="88"/>
        <v>389.91636841473559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4.2193827244205497</v>
      </c>
      <c r="AB98" s="23">
        <f>EXP(-LN(2)/2)*AB97+(1-EXP(-LN(2)/2))/(LN(2)/2)*V98*Y98*VLOOKUP('Données projet'!$B$9,Paramètres!$A$1:$I$89,3,0)*0.475*44/12</f>
        <v>3.007327144463459E-9</v>
      </c>
      <c r="AC98" s="24">
        <f t="shared" si="57"/>
        <v>4.2193827274278766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405.09126081846171</v>
      </c>
      <c r="AO98" s="62">
        <f t="shared" si="90"/>
        <v>534.22295841722166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7.2766379241421797</v>
      </c>
      <c r="AV98" s="23">
        <f>EXP(-LN(2)/25)*AV97+(1-EXP(-LN(2)/25))/(LN(2)/25)*Calculateur!AQ98*Calculateur!AS98*VLOOKUP('Données projet'!$B$10,Paramètres!$A$1:$I$89,3,0)*0.475*44/12</f>
        <v>3.9401325652673349</v>
      </c>
      <c r="AW98" s="23">
        <f>EXP(-LN(2)/2)*AW97+(1-EXP(-LN(2)/2))/(LN(2)/2)*AQ98*AT98*VLOOKUP('Données projet'!$B$10,Paramètres!$A$1:$I$89,3,0)*0.475*44/12</f>
        <v>1.9491507850328404E-9</v>
      </c>
      <c r="AX98" s="23">
        <f t="shared" si="60"/>
        <v>11.216770491358664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300.39359999999994</v>
      </c>
      <c r="BF98" s="14">
        <f t="shared" si="91"/>
        <v>71.258970856492667</v>
      </c>
      <c r="BG98" s="22">
        <f t="shared" si="61"/>
        <v>647.29489424172459</v>
      </c>
      <c r="BH98" s="62">
        <f t="shared" si="62"/>
        <v>940.62822757505796</v>
      </c>
      <c r="BI98" s="62">
        <f ca="1">AVERAGE(OFFSET($BH$3,0,0,'Données projet'!$E$11+1,1))-AVERAGE(OFFSET($H$3,0,0,'Données projet'!$E$11+1,1))</f>
        <v>439.06700232017681</v>
      </c>
      <c r="BJ98" s="62">
        <f t="shared" si="92"/>
        <v>278.21741231699929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1.5059610832600887</v>
      </c>
      <c r="BR98" s="23">
        <f>EXP(-LN(2)/2)*BR97+(1-EXP(-LN(2)/2))/(LN(2)/2)*BL98*BO98*VLOOKUP('Données projet'!$B$11,Paramètres!$A$1:$I$89,3,0)*0.475*44/12</f>
        <v>2.4546875518583613E-9</v>
      </c>
      <c r="BS98" s="24">
        <f t="shared" si="63"/>
        <v>1.5059610857147763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321.11039999999997</v>
      </c>
      <c r="CA98" s="14">
        <f t="shared" si="93"/>
        <v>75.584347378293316</v>
      </c>
      <c r="CB98" s="22">
        <f t="shared" si="64"/>
        <v>690.91001835052748</v>
      </c>
      <c r="CC98" s="62">
        <f t="shared" si="65"/>
        <v>984.24335168386074</v>
      </c>
      <c r="CD98" s="62">
        <f ca="1">AVERAGE(OFFSET($CC$3,0,0,'Données projet'!$E$12+1,1))-AVERAGE(OFFSET($H$3,0,0,'Données projet'!$E$12+1,1))</f>
        <v>466.4945858005575</v>
      </c>
      <c r="CE98" s="62">
        <f t="shared" si="94"/>
        <v>294.45557293177131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1.6098204683125099</v>
      </c>
      <c r="CM98" s="23">
        <f>EXP(-LN(2)/2)*CM97+(1-EXP(-LN(2)/2))/(LN(2)/2)*CG98*CJ98*VLOOKUP('Données projet'!$B$12,Paramètres!$A$1:$I$89,3,0)*0.475*44/12</f>
        <v>2.6239763485382577E-9</v>
      </c>
      <c r="CN98" s="24">
        <f t="shared" si="66"/>
        <v>1.6098204709364863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222.70559999999995</v>
      </c>
      <c r="CV98" s="14">
        <f t="shared" si="95"/>
        <v>54.702515528198902</v>
      </c>
      <c r="CW98" s="22">
        <f t="shared" si="67"/>
        <v>483.15246787827965</v>
      </c>
      <c r="CX98" s="62">
        <f t="shared" si="68"/>
        <v>776.48580121161297</v>
      </c>
      <c r="CY98" s="62">
        <f ca="1">AVERAGE(OFFSET($CX$3,0,0,'Données projet'!$E$13+1,1))-AVERAGE(OFFSET($H$3,0,0,'Données projet'!$E$13+1,1))</f>
        <v>335.83558218229564</v>
      </c>
      <c r="CZ98" s="62">
        <f t="shared" si="96"/>
        <v>217.08423061559648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1.3761368519445643</v>
      </c>
      <c r="DH98" s="23">
        <f>EXP(-LN(2)/2)*DH97+(1-EXP(-LN(2)/2))/(LN(2)/2)*DB98*DE98*VLOOKUP('Données projet'!$B$13,Paramètres!$A$1:$I$89,3,0)*0.475*44/12</f>
        <v>1.8198545643087914E-9</v>
      </c>
      <c r="DI98" s="24">
        <f t="shared" si="69"/>
        <v>1.3761368537644187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4.9658410716801891E-14</v>
      </c>
      <c r="P99" s="14">
        <f t="shared" si="87"/>
        <v>8.0934058173791862E-13</v>
      </c>
      <c r="Q99" s="22">
        <f t="shared" ref="Q99:Q130" si="107">(O99+P99)*0.475*44/12</f>
        <v>1.4960899118586383E-12</v>
      </c>
      <c r="R99" s="62">
        <f t="shared" si="55"/>
        <v>293.33333333333479</v>
      </c>
      <c r="S99" s="62">
        <f ca="1">AVERAGE(OFFSET($R$3,0,0,'Données projet'!$E$9+1,1))-AVERAGE(OFFSET($H$3,0,0,'Données projet'!$E$9+1,1))</f>
        <v>321.62968871874483</v>
      </c>
      <c r="T99" s="62">
        <f t="shared" si="88"/>
        <v>389.91636841473559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4.1040034819335762</v>
      </c>
      <c r="AB99" s="23">
        <f>EXP(-LN(2)/2)*AB98+(1-EXP(-LN(2)/2))/(LN(2)/2)*V99*Y99*VLOOKUP('Données projet'!$B$9,Paramètres!$A$1:$I$89,3,0)*0.475*44/12</f>
        <v>2.1265014170964879E-9</v>
      </c>
      <c r="AC99" s="24">
        <f t="shared" si="57"/>
        <v>4.1040034840600779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405.09126081846171</v>
      </c>
      <c r="AO99" s="62">
        <f t="shared" si="90"/>
        <v>534.22295841722166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7.1339474927606386</v>
      </c>
      <c r="AV99" s="23">
        <f>EXP(-LN(2)/25)*AV98+(1-EXP(-LN(2)/25))/(LN(2)/25)*Calculateur!AQ99*Calculateur!AS99*VLOOKUP('Données projet'!$B$10,Paramètres!$A$1:$I$89,3,0)*0.475*44/12</f>
        <v>3.8323894330675334</v>
      </c>
      <c r="AW99" s="23">
        <f>EXP(-LN(2)/2)*AW98+(1-EXP(-LN(2)/2))/(LN(2)/2)*AQ99*AT99*VLOOKUP('Données projet'!$B$10,Paramètres!$A$1:$I$89,3,0)*0.475*44/12</f>
        <v>1.378257737651804E-9</v>
      </c>
      <c r="AX99" s="23">
        <f t="shared" si="60"/>
        <v>10.966336927206429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280.30703999999997</v>
      </c>
      <c r="BF99" s="14">
        <f t="shared" si="91"/>
        <v>67.03189112007388</v>
      </c>
      <c r="BG99" s="22">
        <f t="shared" si="61"/>
        <v>604.94863836746197</v>
      </c>
      <c r="BH99" s="62">
        <f t="shared" si="62"/>
        <v>898.28197170079534</v>
      </c>
      <c r="BI99" s="62">
        <f ca="1">AVERAGE(OFFSET($BH$3,0,0,'Données projet'!$E$11+1,1))-AVERAGE(OFFSET($H$3,0,0,'Données projet'!$E$11+1,1))</f>
        <v>439.06700232017681</v>
      </c>
      <c r="BJ99" s="62">
        <f t="shared" si="92"/>
        <v>278.21741231699929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1.4647804982432902</v>
      </c>
      <c r="BR99" s="23">
        <f>EXP(-LN(2)/2)*BR98+(1-EXP(-LN(2)/2))/(LN(2)/2)*BL99*BO99*VLOOKUP('Données projet'!$B$11,Paramètres!$A$1:$I$89,3,0)*0.475*44/12</f>
        <v>1.7357262136132523E-9</v>
      </c>
      <c r="BS99" s="24">
        <f t="shared" si="63"/>
        <v>1.4647804999790164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299.63855999999998</v>
      </c>
      <c r="CA99" s="14">
        <f t="shared" si="93"/>
        <v>71.100686453177502</v>
      </c>
      <c r="CB99" s="22">
        <f t="shared" si="64"/>
        <v>645.70418757261734</v>
      </c>
      <c r="CC99" s="62">
        <f t="shared" si="65"/>
        <v>939.03752090595071</v>
      </c>
      <c r="CD99" s="62">
        <f ca="1">AVERAGE(OFFSET($CC$3,0,0,'Données projet'!$E$12+1,1))-AVERAGE(OFFSET($H$3,0,0,'Données projet'!$E$12+1,1))</f>
        <v>466.4945858005575</v>
      </c>
      <c r="CE99" s="62">
        <f t="shared" si="94"/>
        <v>294.45557293177131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1.5657998429497253</v>
      </c>
      <c r="CM99" s="23">
        <f>EXP(-LN(2)/2)*CM98+(1-EXP(-LN(2)/2))/(LN(2)/2)*CG99*CJ99*VLOOKUP('Données projet'!$B$12,Paramètres!$A$1:$I$89,3,0)*0.475*44/12</f>
        <v>1.8554314697245178E-9</v>
      </c>
      <c r="CN99" s="24">
        <f t="shared" si="66"/>
        <v>1.5657998448051567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207.81383999999997</v>
      </c>
      <c r="CV99" s="14">
        <f t="shared" si="95"/>
        <v>51.457564160797617</v>
      </c>
      <c r="CW99" s="22">
        <f t="shared" si="67"/>
        <v>451.56436224672251</v>
      </c>
      <c r="CX99" s="62">
        <f t="shared" si="68"/>
        <v>744.89769558005582</v>
      </c>
      <c r="CY99" s="62">
        <f ca="1">AVERAGE(OFFSET($CX$3,0,0,'Données projet'!$E$13+1,1))-AVERAGE(OFFSET($H$3,0,0,'Données projet'!$E$13+1,1))</f>
        <v>335.83558218229564</v>
      </c>
      <c r="CZ99" s="62">
        <f t="shared" si="96"/>
        <v>217.08423061559648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1.3385063173602483</v>
      </c>
      <c r="DH99" s="23">
        <f>EXP(-LN(2)/2)*DH98+(1-EXP(-LN(2)/2))/(LN(2)/2)*DB99*DE99*VLOOKUP('Données projet'!$B$13,Paramètres!$A$1:$I$89,3,0)*0.475*44/12</f>
        <v>1.2868315031960365E-9</v>
      </c>
      <c r="DI99" s="24">
        <f t="shared" si="69"/>
        <v>1.3385063186470798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4.9658410716801891E-14</v>
      </c>
      <c r="P100" s="14">
        <f t="shared" si="87"/>
        <v>8.0934058173791862E-13</v>
      </c>
      <c r="Q100" s="22">
        <f t="shared" si="107"/>
        <v>1.4960899118586383E-12</v>
      </c>
      <c r="R100" s="62">
        <f t="shared" si="55"/>
        <v>293.33333333333479</v>
      </c>
      <c r="S100" s="62">
        <f ca="1">AVERAGE(OFFSET($R$3,0,0,'Données projet'!$E$9+1,1))-AVERAGE(OFFSET($H$3,0,0,'Données projet'!$E$9+1,1))</f>
        <v>321.62968871874483</v>
      </c>
      <c r="T100" s="62">
        <f t="shared" si="88"/>
        <v>389.91636841473559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3.9917792908999394</v>
      </c>
      <c r="AB100" s="23">
        <f>EXP(-LN(2)/2)*AB99+(1-EXP(-LN(2)/2))/(LN(2)/2)*V100*Y100*VLOOKUP('Données projet'!$B$9,Paramètres!$A$1:$I$89,3,0)*0.475*44/12</f>
        <v>1.5036635722317295E-9</v>
      </c>
      <c r="AC100" s="24">
        <f t="shared" si="57"/>
        <v>3.9917792924036029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405.09126081846171</v>
      </c>
      <c r="AO100" s="62">
        <f t="shared" si="90"/>
        <v>534.22295841722166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6.9940551337059196</v>
      </c>
      <c r="AV100" s="23">
        <f>EXP(-LN(2)/25)*AV99+(1-EXP(-LN(2)/25))/(LN(2)/25)*Calculateur!AQ100*Calculateur!AS100*VLOOKUP('Données projet'!$B$10,Paramètres!$A$1:$I$89,3,0)*0.475*44/12</f>
        <v>3.7275925424837006</v>
      </c>
      <c r="AW100" s="23">
        <f>EXP(-LN(2)/2)*AW99+(1-EXP(-LN(2)/2))/(LN(2)/2)*AQ100*AT100*VLOOKUP('Données projet'!$B$10,Paramètres!$A$1:$I$89,3,0)*0.475*44/12</f>
        <v>9.7457539251642022E-10</v>
      </c>
      <c r="AX100" s="23">
        <f t="shared" si="60"/>
        <v>10.721647677164196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285.55487999999997</v>
      </c>
      <c r="BF100" s="14">
        <f t="shared" si="91"/>
        <v>68.139569194998018</v>
      </c>
      <c r="BG100" s="22">
        <f t="shared" si="61"/>
        <v>616.01783234795482</v>
      </c>
      <c r="BH100" s="62">
        <f t="shared" si="62"/>
        <v>909.35116568128819</v>
      </c>
      <c r="BI100" s="62">
        <f ca="1">AVERAGE(OFFSET($BH$3,0,0,'Données projet'!$E$11+1,1))-AVERAGE(OFFSET($H$3,0,0,'Données projet'!$E$11+1,1))</f>
        <v>439.06700232017681</v>
      </c>
      <c r="BJ100" s="62">
        <f t="shared" si="92"/>
        <v>278.21741231699929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1.4247259984893688</v>
      </c>
      <c r="BR100" s="23">
        <f>EXP(-LN(2)/2)*BR99+(1-EXP(-LN(2)/2))/(LN(2)/2)*BL100*BO100*VLOOKUP('Données projet'!$B$11,Paramètres!$A$1:$I$89,3,0)*0.475*44/12</f>
        <v>1.2273437759291807E-9</v>
      </c>
      <c r="BS100" s="24">
        <f t="shared" si="63"/>
        <v>1.4247259997167125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305.24831999999998</v>
      </c>
      <c r="CA100" s="14">
        <f t="shared" si="93"/>
        <v>72.275599918697424</v>
      </c>
      <c r="CB100" s="22">
        <f t="shared" si="64"/>
        <v>657.5208271917312</v>
      </c>
      <c r="CC100" s="62">
        <f t="shared" si="65"/>
        <v>950.85416052506457</v>
      </c>
      <c r="CD100" s="62">
        <f ca="1">AVERAGE(OFFSET($CC$3,0,0,'Données projet'!$E$12+1,1))-AVERAGE(OFFSET($H$3,0,0,'Données projet'!$E$12+1,1))</f>
        <v>466.4945858005575</v>
      </c>
      <c r="CE100" s="62">
        <f t="shared" si="94"/>
        <v>294.45557293177131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1.5229829639024299</v>
      </c>
      <c r="CM100" s="23">
        <f>EXP(-LN(2)/2)*CM99+(1-EXP(-LN(2)/2))/(LN(2)/2)*CG100*CJ100*VLOOKUP('Données projet'!$B$12,Paramètres!$A$1:$I$89,3,0)*0.475*44/12</f>
        <v>1.311988174269129E-9</v>
      </c>
      <c r="CN100" s="24">
        <f t="shared" si="66"/>
        <v>1.522982965214418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211.70447999999996</v>
      </c>
      <c r="CV100" s="14">
        <f t="shared" si="95"/>
        <v>52.307882041697276</v>
      </c>
      <c r="CW100" s="22">
        <f t="shared" si="67"/>
        <v>459.82153055595603</v>
      </c>
      <c r="CX100" s="62">
        <f t="shared" si="68"/>
        <v>753.15486388928935</v>
      </c>
      <c r="CY100" s="62">
        <f ca="1">AVERAGE(OFFSET($CX$3,0,0,'Données projet'!$E$13+1,1))-AVERAGE(OFFSET($H$3,0,0,'Données projet'!$E$13+1,1))</f>
        <v>335.83558218229564</v>
      </c>
      <c r="CZ100" s="62">
        <f t="shared" si="96"/>
        <v>217.08423061559648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1.3019047917230442</v>
      </c>
      <c r="DH100" s="23">
        <f>EXP(-LN(2)/2)*DH99+(1-EXP(-LN(2)/2))/(LN(2)/2)*DB100*DE100*VLOOKUP('Données projet'!$B$13,Paramètres!$A$1:$I$89,3,0)*0.475*44/12</f>
        <v>9.099272821543959E-10</v>
      </c>
      <c r="DI100" s="24">
        <f t="shared" si="69"/>
        <v>1.3019047926329714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4.9658410716801891E-14</v>
      </c>
      <c r="P101" s="14">
        <f t="shared" si="87"/>
        <v>8.0934058173791862E-13</v>
      </c>
      <c r="Q101" s="22">
        <f t="shared" si="107"/>
        <v>1.4960899118586383E-12</v>
      </c>
      <c r="R101" s="62">
        <f t="shared" si="55"/>
        <v>293.33333333333479</v>
      </c>
      <c r="S101" s="62">
        <f ca="1">AVERAGE(OFFSET($R$3,0,0,'Données projet'!$E$9+1,1))-AVERAGE(OFFSET($H$3,0,0,'Données projet'!$E$9+1,1))</f>
        <v>321.62968871874483</v>
      </c>
      <c r="T101" s="62">
        <f t="shared" si="88"/>
        <v>389.91636841473559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3.8826238762717309</v>
      </c>
      <c r="AB101" s="23">
        <f>EXP(-LN(2)/2)*AB100+(1-EXP(-LN(2)/2))/(LN(2)/2)*V101*Y101*VLOOKUP('Données projet'!$B$9,Paramètres!$A$1:$I$89,3,0)*0.475*44/12</f>
        <v>1.0632507085482439E-9</v>
      </c>
      <c r="AC101" s="24">
        <f t="shared" si="57"/>
        <v>3.8826238773349817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405.09126081846171</v>
      </c>
      <c r="AO101" s="62">
        <f t="shared" si="90"/>
        <v>534.22295841722166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6.85690597848635</v>
      </c>
      <c r="AV101" s="23">
        <f>EXP(-LN(2)/25)*AV100+(1-EXP(-LN(2)/25))/(LN(2)/25)*Calculateur!AQ101*Calculateur!AS101*VLOOKUP('Données projet'!$B$10,Paramètres!$A$1:$I$89,3,0)*0.475*44/12</f>
        <v>3.6256613283839116</v>
      </c>
      <c r="AW101" s="23">
        <f>EXP(-LN(2)/2)*AW100+(1-EXP(-LN(2)/2))/(LN(2)/2)*AQ101*AT101*VLOOKUP('Données projet'!$B$10,Paramètres!$A$1:$I$89,3,0)*0.475*44/12</f>
        <v>6.8912886882590202E-10</v>
      </c>
      <c r="AX101" s="23">
        <f t="shared" si="60"/>
        <v>10.482567307559391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290.80271999999997</v>
      </c>
      <c r="BF101" s="14">
        <f t="shared" si="91"/>
        <v>69.244880157128961</v>
      </c>
      <c r="BG101" s="22">
        <f t="shared" si="61"/>
        <v>627.08290360699959</v>
      </c>
      <c r="BH101" s="62">
        <f t="shared" si="62"/>
        <v>920.41623694033296</v>
      </c>
      <c r="BI101" s="62">
        <f ca="1">AVERAGE(OFFSET($BH$3,0,0,'Données projet'!$E$11+1,1))-AVERAGE(OFFSET($H$3,0,0,'Données projet'!$E$11+1,1))</f>
        <v>439.06700232017681</v>
      </c>
      <c r="BJ101" s="62">
        <f t="shared" si="92"/>
        <v>278.21741231699929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1.385766791137593</v>
      </c>
      <c r="BR101" s="23">
        <f>EXP(-LN(2)/2)*BR100+(1-EXP(-LN(2)/2))/(LN(2)/2)*BL101*BO101*VLOOKUP('Données projet'!$B$11,Paramètres!$A$1:$I$89,3,0)*0.475*44/12</f>
        <v>8.6786310680662617E-10</v>
      </c>
      <c r="BS101" s="24">
        <f t="shared" si="63"/>
        <v>1.3857667920054562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310.85807999999997</v>
      </c>
      <c r="CA101" s="14">
        <f t="shared" si="93"/>
        <v>73.448002589106309</v>
      </c>
      <c r="CB101" s="22">
        <f t="shared" si="64"/>
        <v>669.33309384269342</v>
      </c>
      <c r="CC101" s="62">
        <f t="shared" si="65"/>
        <v>962.66642717602667</v>
      </c>
      <c r="CD101" s="62">
        <f ca="1">AVERAGE(OFFSET($CC$3,0,0,'Données projet'!$E$12+1,1))-AVERAGE(OFFSET($H$3,0,0,'Données projet'!$E$12+1,1))</f>
        <v>466.4945858005575</v>
      </c>
      <c r="CE101" s="62">
        <f t="shared" si="94"/>
        <v>294.45557293177131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1.4813369146643247</v>
      </c>
      <c r="CM101" s="23">
        <f>EXP(-LN(2)/2)*CM100+(1-EXP(-LN(2)/2))/(LN(2)/2)*CG101*CJ101*VLOOKUP('Données projet'!$B$12,Paramètres!$A$1:$I$89,3,0)*0.475*44/12</f>
        <v>9.2771573486225902E-10</v>
      </c>
      <c r="CN101" s="24">
        <f t="shared" si="66"/>
        <v>1.4813369155920404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215.59512000000001</v>
      </c>
      <c r="CV101" s="14">
        <f t="shared" si="95"/>
        <v>53.156382789641306</v>
      </c>
      <c r="CW101" s="22">
        <f t="shared" si="67"/>
        <v>468.07553402529197</v>
      </c>
      <c r="CX101" s="62">
        <f t="shared" si="68"/>
        <v>761.40886735862523</v>
      </c>
      <c r="CY101" s="62">
        <f ca="1">AVERAGE(OFFSET($CX$3,0,0,'Données projet'!$E$13+1,1))-AVERAGE(OFFSET($H$3,0,0,'Données projet'!$E$13+1,1))</f>
        <v>335.83558218229564</v>
      </c>
      <c r="CZ101" s="62">
        <f t="shared" si="96"/>
        <v>217.08423061559648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1.2663041367291801</v>
      </c>
      <c r="DH101" s="23">
        <f>EXP(-LN(2)/2)*DH100+(1-EXP(-LN(2)/2))/(LN(2)/2)*DB101*DE101*VLOOKUP('Données projet'!$B$13,Paramètres!$A$1:$I$89,3,0)*0.475*44/12</f>
        <v>6.4341575159801836E-10</v>
      </c>
      <c r="DI101" s="24">
        <f t="shared" si="69"/>
        <v>1.2663041373725958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4.9658410716801891E-14</v>
      </c>
      <c r="P102" s="14">
        <f t="shared" si="87"/>
        <v>8.0934058173791862E-13</v>
      </c>
      <c r="Q102" s="22">
        <f t="shared" si="107"/>
        <v>1.4960899118586383E-12</v>
      </c>
      <c r="R102" s="62">
        <f t="shared" si="55"/>
        <v>293.33333333333479</v>
      </c>
      <c r="S102" s="62">
        <f ca="1">AVERAGE(OFFSET($R$3,0,0,'Données projet'!$E$9+1,1))-AVERAGE(OFFSET($H$3,0,0,'Données projet'!$E$9+1,1))</f>
        <v>321.62968871874483</v>
      </c>
      <c r="T102" s="62">
        <f t="shared" si="88"/>
        <v>389.91636841473559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3.7764533221967644</v>
      </c>
      <c r="AB102" s="23">
        <f>EXP(-LN(2)/2)*AB101+(1-EXP(-LN(2)/2))/(LN(2)/2)*V102*Y102*VLOOKUP('Données projet'!$B$9,Paramètres!$A$1:$I$89,3,0)*0.475*44/12</f>
        <v>7.5183178611586475E-10</v>
      </c>
      <c r="AC102" s="24">
        <f t="shared" si="57"/>
        <v>3.7764533229485964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405.09126081846171</v>
      </c>
      <c r="AO102" s="62">
        <f t="shared" si="90"/>
        <v>534.22295841722166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6.7224462345479115</v>
      </c>
      <c r="AV102" s="23">
        <f>EXP(-LN(2)/25)*AV101+(1-EXP(-LN(2)/25))/(LN(2)/25)*Calculateur!AQ102*Calculateur!AS102*VLOOKUP('Données projet'!$B$10,Paramètres!$A$1:$I$89,3,0)*0.475*44/12</f>
        <v>3.5265174286940111</v>
      </c>
      <c r="AW102" s="23">
        <f>EXP(-LN(2)/2)*AW101+(1-EXP(-LN(2)/2))/(LN(2)/2)*AQ102*AT102*VLOOKUP('Données projet'!$B$10,Paramètres!$A$1:$I$89,3,0)*0.475*44/12</f>
        <v>4.8728769625821011E-10</v>
      </c>
      <c r="AX102" s="23">
        <f t="shared" si="60"/>
        <v>10.248963663729212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296.05055999999996</v>
      </c>
      <c r="BF102" s="14">
        <f t="shared" si="91"/>
        <v>70.34787165092402</v>
      </c>
      <c r="BG102" s="22">
        <f t="shared" si="61"/>
        <v>638.14393512535923</v>
      </c>
      <c r="BH102" s="62">
        <f t="shared" si="62"/>
        <v>931.47726845869261</v>
      </c>
      <c r="BI102" s="62">
        <f ca="1">AVERAGE(OFFSET($BH$3,0,0,'Données projet'!$E$11+1,1))-AVERAGE(OFFSET($H$3,0,0,'Données projet'!$E$11+1,1))</f>
        <v>439.06700232017681</v>
      </c>
      <c r="BJ102" s="62">
        <f t="shared" si="92"/>
        <v>278.21741231699929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1.3478729253596273</v>
      </c>
      <c r="BR102" s="23">
        <f>EXP(-LN(2)/2)*BR101+(1-EXP(-LN(2)/2))/(LN(2)/2)*BL102*BO102*VLOOKUP('Données projet'!$B$11,Paramètres!$A$1:$I$89,3,0)*0.475*44/12</f>
        <v>6.1367188796459033E-10</v>
      </c>
      <c r="BS102" s="24">
        <f t="shared" si="63"/>
        <v>1.3478729259732991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316.46784000000002</v>
      </c>
      <c r="CA102" s="14">
        <f t="shared" si="93"/>
        <v>74.617945000851194</v>
      </c>
      <c r="CB102" s="22">
        <f t="shared" si="64"/>
        <v>681.14107554314921</v>
      </c>
      <c r="CC102" s="62">
        <f t="shared" si="65"/>
        <v>974.47440887648258</v>
      </c>
      <c r="CD102" s="62">
        <f ca="1">AVERAGE(OFFSET($CC$3,0,0,'Données projet'!$E$12+1,1))-AVERAGE(OFFSET($H$3,0,0,'Données projet'!$E$12+1,1))</f>
        <v>466.4945858005575</v>
      </c>
      <c r="CE102" s="62">
        <f t="shared" si="94"/>
        <v>294.45557293177131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1.440829678832706</v>
      </c>
      <c r="CM102" s="23">
        <f>EXP(-LN(2)/2)*CM101+(1-EXP(-LN(2)/2))/(LN(2)/2)*CG102*CJ102*VLOOKUP('Données projet'!$B$12,Paramètres!$A$1:$I$89,3,0)*0.475*44/12</f>
        <v>6.5599408713456462E-10</v>
      </c>
      <c r="CN102" s="24">
        <f t="shared" si="66"/>
        <v>1.4408296794887001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219.48576</v>
      </c>
      <c r="CV102" s="14">
        <f t="shared" si="95"/>
        <v>54.003102979276136</v>
      </c>
      <c r="CW102" s="22">
        <f t="shared" si="67"/>
        <v>476.32643635557253</v>
      </c>
      <c r="CX102" s="62">
        <f t="shared" si="68"/>
        <v>769.65976968890584</v>
      </c>
      <c r="CY102" s="62">
        <f ca="1">AVERAGE(OFFSET($CX$3,0,0,'Données projet'!$E$13+1,1))-AVERAGE(OFFSET($H$3,0,0,'Données projet'!$E$13+1,1))</f>
        <v>335.83558218229564</v>
      </c>
      <c r="CZ102" s="62">
        <f t="shared" si="96"/>
        <v>217.08423061559648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1.2316769835182804</v>
      </c>
      <c r="DH102" s="23">
        <f>EXP(-LN(2)/2)*DH101+(1-EXP(-LN(2)/2))/(LN(2)/2)*DB102*DE102*VLOOKUP('Données projet'!$B$13,Paramètres!$A$1:$I$89,3,0)*0.475*44/12</f>
        <v>4.54963641077198E-10</v>
      </c>
      <c r="DI102" s="24">
        <f t="shared" si="69"/>
        <v>1.231676983973244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4.9658410716801891E-14</v>
      </c>
      <c r="P103" s="14">
        <f t="shared" si="87"/>
        <v>8.0934058173791862E-13</v>
      </c>
      <c r="Q103" s="22">
        <f t="shared" si="107"/>
        <v>1.4960899118586383E-12</v>
      </c>
      <c r="R103" s="62">
        <f t="shared" si="55"/>
        <v>293.33333333333479</v>
      </c>
      <c r="S103" s="62">
        <f ca="1">AVERAGE(OFFSET($R$3,0,0,'Données projet'!$E$9+1,1))-AVERAGE(OFFSET($H$3,0,0,'Données projet'!$E$9+1,1))</f>
        <v>321.62968871874483</v>
      </c>
      <c r="T103" s="62">
        <f t="shared" si="88"/>
        <v>389.91636841473559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3.6731860075062448</v>
      </c>
      <c r="AB103" s="23">
        <f>EXP(-LN(2)/2)*AB102+(1-EXP(-LN(2)/2))/(LN(2)/2)*V103*Y103*VLOOKUP('Données projet'!$B$9,Paramètres!$A$1:$I$89,3,0)*0.475*44/12</f>
        <v>5.3162535427412197E-10</v>
      </c>
      <c r="AC103" s="24">
        <f t="shared" si="57"/>
        <v>3.6731860080378702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405.09126081846171</v>
      </c>
      <c r="AO103" s="62">
        <f t="shared" si="90"/>
        <v>534.22295841722166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6.59062316417576</v>
      </c>
      <c r="AV103" s="23">
        <f>EXP(-LN(2)/25)*AV102+(1-EXP(-LN(2)/25))/(LN(2)/25)*Calculateur!AQ103*Calculateur!AS103*VLOOKUP('Données projet'!$B$10,Paramètres!$A$1:$I$89,3,0)*0.475*44/12</f>
        <v>3.4300846241548819</v>
      </c>
      <c r="AW103" s="23">
        <f>EXP(-LN(2)/2)*AW102+(1-EXP(-LN(2)/2))/(LN(2)/2)*AQ103*AT103*VLOOKUP('Données projet'!$B$10,Paramètres!$A$1:$I$89,3,0)*0.475*44/12</f>
        <v>3.4456443441295101E-10</v>
      </c>
      <c r="AX103" s="23">
        <f t="shared" si="60"/>
        <v>10.020707788675207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942.53434010677506</v>
      </c>
      <c r="BI103" s="62">
        <f ca="1">AVERAGE(OFFSET($BH$3,0,0,'Données projet'!$E$11+1,1))-AVERAGE(OFFSET($H$3,0,0,'Données projet'!$E$11+1,1))</f>
        <v>439.06700232017681</v>
      </c>
      <c r="BJ103" s="62">
        <f t="shared" si="92"/>
        <v>278.21741231699929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1.3110152693341117</v>
      </c>
      <c r="BR103" s="23">
        <f>EXP(-LN(2)/2)*BR102+(1-EXP(-LN(2)/2))/(LN(2)/2)*BL103*BO103*VLOOKUP('Données projet'!$B$11,Paramètres!$A$1:$I$89,3,0)*0.475*44/12</f>
        <v>4.3393155340331308E-10</v>
      </c>
      <c r="BS103" s="24">
        <f t="shared" si="63"/>
        <v>1.3110152697680433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322.07760000000002</v>
      </c>
      <c r="CA103" s="14">
        <f t="shared" si="93"/>
        <v>75.785475796129461</v>
      </c>
      <c r="CB103" s="22">
        <f t="shared" si="64"/>
        <v>692.94485701159203</v>
      </c>
      <c r="CC103" s="62">
        <f t="shared" si="65"/>
        <v>986.27819034492541</v>
      </c>
      <c r="CD103" s="62">
        <f ca="1">AVERAGE(OFFSET($CC$3,0,0,'Données projet'!$E$12+1,1))-AVERAGE(OFFSET($H$3,0,0,'Données projet'!$E$12+1,1))</f>
        <v>466.4945858005575</v>
      </c>
      <c r="CE103" s="62">
        <f t="shared" si="94"/>
        <v>294.45557293177131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1.4014301154950859</v>
      </c>
      <c r="CM103" s="23">
        <f>EXP(-LN(2)/2)*CM102+(1-EXP(-LN(2)/2))/(LN(2)/2)*CG103*CJ103*VLOOKUP('Données projet'!$B$12,Paramètres!$A$1:$I$89,3,0)*0.475*44/12</f>
        <v>4.6385786743112962E-10</v>
      </c>
      <c r="CN103" s="24">
        <f t="shared" si="66"/>
        <v>1.4014301159589437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223.37640000000002</v>
      </c>
      <c r="CV103" s="14">
        <f t="shared" si="95"/>
        <v>54.848077814326416</v>
      </c>
      <c r="CW103" s="22">
        <f t="shared" si="67"/>
        <v>484.5742988599518</v>
      </c>
      <c r="CX103" s="62">
        <f t="shared" si="68"/>
        <v>777.90763219328505</v>
      </c>
      <c r="CY103" s="62">
        <f ca="1">AVERAGE(OFFSET($CX$3,0,0,'Données projet'!$E$13+1,1))-AVERAGE(OFFSET($H$3,0,0,'Données projet'!$E$13+1,1))</f>
        <v>335.83558218229564</v>
      </c>
      <c r="CZ103" s="62">
        <f t="shared" si="96"/>
        <v>217.08423061559648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1.1979967116328956</v>
      </c>
      <c r="DH103" s="23">
        <f>EXP(-LN(2)/2)*DH102+(1-EXP(-LN(2)/2))/(LN(2)/2)*DB103*DE103*VLOOKUP('Données projet'!$B$13,Paramètres!$A$1:$I$89,3,0)*0.475*44/12</f>
        <v>3.2170787579900923E-10</v>
      </c>
      <c r="DI103" s="24">
        <f t="shared" si="69"/>
        <v>1.1979967119546033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4.9658410716801891E-14</v>
      </c>
      <c r="P104" s="14">
        <f t="shared" si="87"/>
        <v>8.0934058173791862E-13</v>
      </c>
      <c r="Q104" s="22">
        <f t="shared" si="107"/>
        <v>1.4960899118586383E-12</v>
      </c>
      <c r="R104" s="62">
        <f t="shared" si="55"/>
        <v>293.33333333333479</v>
      </c>
      <c r="S104" s="62">
        <f ca="1">AVERAGE(OFFSET($R$3,0,0,'Données projet'!$E$9+1,1))-AVERAGE(OFFSET($H$3,0,0,'Données projet'!$E$9+1,1))</f>
        <v>321.62968871874483</v>
      </c>
      <c r="T104" s="62">
        <f t="shared" si="88"/>
        <v>389.91636841473559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3.5727425429665294</v>
      </c>
      <c r="AB104" s="23">
        <f>EXP(-LN(2)/2)*AB103+(1-EXP(-LN(2)/2))/(LN(2)/2)*V104*Y104*VLOOKUP('Données projet'!$B$9,Paramètres!$A$1:$I$89,3,0)*0.475*44/12</f>
        <v>3.7591589305793238E-10</v>
      </c>
      <c r="AC104" s="24">
        <f t="shared" si="57"/>
        <v>3.5727425433424451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405.09126081846171</v>
      </c>
      <c r="AO104" s="62">
        <f t="shared" si="90"/>
        <v>534.22295841722166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6.4613850638094732</v>
      </c>
      <c r="AV104" s="23">
        <f>EXP(-LN(2)/25)*AV103+(1-EXP(-LN(2)/25))/(LN(2)/25)*Calculateur!AQ104*Calculateur!AS104*VLOOKUP('Données projet'!$B$10,Paramètres!$A$1:$I$89,3,0)*0.475*44/12</f>
        <v>3.336288779727056</v>
      </c>
      <c r="AW104" s="23">
        <f>EXP(-LN(2)/2)*AW103+(1-EXP(-LN(2)/2))/(LN(2)/2)*AQ104*AT104*VLOOKUP('Données projet'!$B$10,Paramètres!$A$1:$I$89,3,0)*0.475*44/12</f>
        <v>2.4364384812910505E-10</v>
      </c>
      <c r="AX104" s="23">
        <f t="shared" si="60"/>
        <v>9.7976738437801725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901.33595912610099</v>
      </c>
      <c r="BI104" s="62">
        <f ca="1">AVERAGE(OFFSET($BH$3,0,0,'Données projet'!$E$11+1,1))-AVERAGE(OFFSET($H$3,0,0,'Données projet'!$E$11+1,1))</f>
        <v>439.06700232017681</v>
      </c>
      <c r="BJ104" s="62">
        <f t="shared" si="92"/>
        <v>278.21741231699929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1.2751654878508738</v>
      </c>
      <c r="BR104" s="23">
        <f>EXP(-LN(2)/2)*BR103+(1-EXP(-LN(2)/2))/(LN(2)/2)*BL104*BO104*VLOOKUP('Données projet'!$B$11,Paramètres!$A$1:$I$89,3,0)*0.475*44/12</f>
        <v>3.0683594398229516E-10</v>
      </c>
      <c r="BS104" s="24">
        <f t="shared" si="63"/>
        <v>1.2751654881577097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301.18608</v>
      </c>
      <c r="CA104" s="14">
        <f t="shared" si="93"/>
        <v>71.425054271756295</v>
      </c>
      <c r="CB104" s="22">
        <f t="shared" si="64"/>
        <v>648.96439218997557</v>
      </c>
      <c r="CC104" s="62">
        <f t="shared" si="65"/>
        <v>942.29772552330883</v>
      </c>
      <c r="CD104" s="62">
        <f ca="1">AVERAGE(OFFSET($CC$3,0,0,'Données projet'!$E$12+1,1))-AVERAGE(OFFSET($H$3,0,0,'Données projet'!$E$12+1,1))</f>
        <v>466.4945858005575</v>
      </c>
      <c r="CE104" s="62">
        <f t="shared" si="94"/>
        <v>294.45557293177131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1.363107935288866</v>
      </c>
      <c r="CM104" s="23">
        <f>EXP(-LN(2)/2)*CM103+(1-EXP(-LN(2)/2))/(LN(2)/2)*CG104*CJ104*VLOOKUP('Données projet'!$B$12,Paramètres!$A$1:$I$89,3,0)*0.475*44/12</f>
        <v>3.2799704356728236E-10</v>
      </c>
      <c r="CN104" s="24">
        <f t="shared" si="66"/>
        <v>1.3631079356168629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208.88711999999998</v>
      </c>
      <c r="CV104" s="14">
        <f t="shared" si="95"/>
        <v>51.692318263308358</v>
      </c>
      <c r="CW104" s="22">
        <f t="shared" si="67"/>
        <v>453.84252164192867</v>
      </c>
      <c r="CX104" s="62">
        <f t="shared" si="68"/>
        <v>747.17585497526193</v>
      </c>
      <c r="CY104" s="62">
        <f ca="1">AVERAGE(OFFSET($CX$3,0,0,'Données projet'!$E$13+1,1))-AVERAGE(OFFSET($H$3,0,0,'Données projet'!$E$13+1,1))</f>
        <v>335.83558218229564</v>
      </c>
      <c r="CZ104" s="62">
        <f t="shared" si="96"/>
        <v>217.08423061559648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1.1652374285533851</v>
      </c>
      <c r="DH104" s="23">
        <f>EXP(-LN(2)/2)*DH103+(1-EXP(-LN(2)/2))/(LN(2)/2)*DB104*DE104*VLOOKUP('Données projet'!$B$13,Paramètres!$A$1:$I$89,3,0)*0.475*44/12</f>
        <v>2.2748182053859905E-10</v>
      </c>
      <c r="DI104" s="24">
        <f t="shared" si="69"/>
        <v>1.1652374287808669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4.9658410716801891E-14</v>
      </c>
      <c r="P105" s="14">
        <f t="shared" si="87"/>
        <v>8.0934058173791862E-13</v>
      </c>
      <c r="Q105" s="22">
        <f t="shared" si="107"/>
        <v>1.4960899118586383E-12</v>
      </c>
      <c r="R105" s="62">
        <f t="shared" si="55"/>
        <v>293.33333333333479</v>
      </c>
      <c r="S105" s="62">
        <f ca="1">AVERAGE(OFFSET($R$3,0,0,'Données projet'!$E$9+1,1))-AVERAGE(OFFSET($H$3,0,0,'Données projet'!$E$9+1,1))</f>
        <v>321.62968871874483</v>
      </c>
      <c r="T105" s="62">
        <f t="shared" si="88"/>
        <v>389.91636841473559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3.4750457102467447</v>
      </c>
      <c r="AB105" s="23">
        <f>EXP(-LN(2)/2)*AB104+(1-EXP(-LN(2)/2))/(LN(2)/2)*V105*Y105*VLOOKUP('Données projet'!$B$9,Paramètres!$A$1:$I$89,3,0)*0.475*44/12</f>
        <v>2.6581267713706098E-10</v>
      </c>
      <c r="AC105" s="24">
        <f t="shared" si="57"/>
        <v>3.4750457105125574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405.09126081846171</v>
      </c>
      <c r="AO105" s="62">
        <f t="shared" si="90"/>
        <v>534.22295841722166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6.3346812437639111</v>
      </c>
      <c r="AV105" s="23">
        <f>EXP(-LN(2)/25)*AV104+(1-EXP(-LN(2)/25))/(LN(2)/25)*Calculateur!AQ105*Calculateur!AS105*VLOOKUP('Données projet'!$B$10,Paramètres!$A$1:$I$89,3,0)*0.475*44/12</f>
        <v>3.2450577875976179</v>
      </c>
      <c r="AW105" s="23">
        <f>EXP(-LN(2)/2)*AW104+(1-EXP(-LN(2)/2))/(LN(2)/2)*AQ105*AT105*VLOOKUP('Données projet'!$B$10,Paramètres!$A$1:$I$89,3,0)*0.475*44/12</f>
        <v>1.722822172064755E-10</v>
      </c>
      <c r="AX105" s="23">
        <f t="shared" si="60"/>
        <v>9.5797390315338102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911.6408262324062</v>
      </c>
      <c r="BI105" s="62">
        <f ca="1">AVERAGE(OFFSET($BH$3,0,0,'Données projet'!$E$11+1,1))-AVERAGE(OFFSET($H$3,0,0,'Données projet'!$E$11+1,1))</f>
        <v>439.06700232017681</v>
      </c>
      <c r="BJ105" s="62">
        <f t="shared" si="92"/>
        <v>278.21741231699929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1.2402960205275531</v>
      </c>
      <c r="BR105" s="23">
        <f>EXP(-LN(2)/2)*BR104+(1-EXP(-LN(2)/2))/(LN(2)/2)*BL105*BO105*VLOOKUP('Données projet'!$B$11,Paramètres!$A$1:$I$89,3,0)*0.475*44/12</f>
        <v>2.1696577670165654E-10</v>
      </c>
      <c r="BS105" s="24">
        <f t="shared" si="63"/>
        <v>1.2402960207445188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306.40895999999998</v>
      </c>
      <c r="CA105" s="14">
        <f t="shared" si="93"/>
        <v>72.518370290127464</v>
      </c>
      <c r="CB105" s="22">
        <f t="shared" si="64"/>
        <v>659.96510025530517</v>
      </c>
      <c r="CC105" s="62">
        <f t="shared" si="65"/>
        <v>953.29843358863855</v>
      </c>
      <c r="CD105" s="62">
        <f ca="1">AVERAGE(OFFSET($CC$3,0,0,'Données projet'!$E$12+1,1))-AVERAGE(OFFSET($H$3,0,0,'Données projet'!$E$12+1,1))</f>
        <v>466.4945858005575</v>
      </c>
      <c r="CE105" s="62">
        <f t="shared" si="94"/>
        <v>294.45557293177131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1.3258336771156611</v>
      </c>
      <c r="CM105" s="23">
        <f>EXP(-LN(2)/2)*CM104+(1-EXP(-LN(2)/2))/(LN(2)/2)*CG105*CJ105*VLOOKUP('Données projet'!$B$12,Paramètres!$A$1:$I$89,3,0)*0.475*44/12</f>
        <v>2.3192893371556483E-10</v>
      </c>
      <c r="CN105" s="24">
        <f t="shared" si="66"/>
        <v>1.3258336773475901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212.50943999999998</v>
      </c>
      <c r="CV105" s="14">
        <f t="shared" si="95"/>
        <v>52.483581779454731</v>
      </c>
      <c r="CW105" s="22">
        <f t="shared" si="67"/>
        <v>461.52951293255023</v>
      </c>
      <c r="CX105" s="62">
        <f t="shared" si="68"/>
        <v>754.86284626588349</v>
      </c>
      <c r="CY105" s="62">
        <f ca="1">AVERAGE(OFFSET($CX$3,0,0,'Données projet'!$E$13+1,1))-AVERAGE(OFFSET($H$3,0,0,'Données projet'!$E$13+1,1))</f>
        <v>335.83558218229564</v>
      </c>
      <c r="CZ105" s="62">
        <f t="shared" si="96"/>
        <v>217.08423061559648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1.1333739497924196</v>
      </c>
      <c r="DH105" s="23">
        <f>EXP(-LN(2)/2)*DH104+(1-EXP(-LN(2)/2))/(LN(2)/2)*DB105*DE105*VLOOKUP('Données projet'!$B$13,Paramètres!$A$1:$I$89,3,0)*0.475*44/12</f>
        <v>1.6085393789950464E-10</v>
      </c>
      <c r="DI105" s="24">
        <f t="shared" si="69"/>
        <v>1.1333739499532736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4.9658410716801891E-14</v>
      </c>
      <c r="P106" s="14">
        <f t="shared" si="87"/>
        <v>8.0934058173791862E-13</v>
      </c>
      <c r="Q106" s="22">
        <f t="shared" si="107"/>
        <v>1.4960899118586383E-12</v>
      </c>
      <c r="R106" s="62">
        <f t="shared" si="55"/>
        <v>293.33333333333479</v>
      </c>
      <c r="S106" s="62">
        <f ca="1">AVERAGE(OFFSET($R$3,0,0,'Données projet'!$E$9+1,1))-AVERAGE(OFFSET($H$3,0,0,'Données projet'!$E$9+1,1))</f>
        <v>321.62968871874483</v>
      </c>
      <c r="T106" s="62">
        <f t="shared" si="88"/>
        <v>389.91636841473559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3.3800204025553358</v>
      </c>
      <c r="AB106" s="23">
        <f>EXP(-LN(2)/2)*AB105+(1-EXP(-LN(2)/2))/(LN(2)/2)*V106*Y106*VLOOKUP('Données projet'!$B$9,Paramètres!$A$1:$I$89,3,0)*0.475*44/12</f>
        <v>1.8795794652896619E-10</v>
      </c>
      <c r="AC106" s="24">
        <f t="shared" si="57"/>
        <v>3.3800204027432939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405.09126081846171</v>
      </c>
      <c r="AO106" s="62">
        <f t="shared" si="90"/>
        <v>534.22295841722166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6.2104620083477435</v>
      </c>
      <c r="AV106" s="23">
        <f>EXP(-LN(2)/25)*AV105+(1-EXP(-LN(2)/25))/(LN(2)/25)*Calculateur!AQ106*Calculateur!AS106*VLOOKUP('Données projet'!$B$10,Paramètres!$A$1:$I$89,3,0)*0.475*44/12</f>
        <v>3.1563215117455887</v>
      </c>
      <c r="AW106" s="23">
        <f>EXP(-LN(2)/2)*AW105+(1-EXP(-LN(2)/2))/(LN(2)/2)*AQ106*AT106*VLOOKUP('Données projet'!$B$10,Paramètres!$A$1:$I$89,3,0)*0.475*44/12</f>
        <v>1.2182192406455253E-10</v>
      </c>
      <c r="AX106" s="23">
        <f t="shared" si="60"/>
        <v>9.3667835202151544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921.94213480190115</v>
      </c>
      <c r="BI106" s="62">
        <f ca="1">AVERAGE(OFFSET($BH$3,0,0,'Données projet'!$E$11+1,1))-AVERAGE(OFFSET($H$3,0,0,'Données projet'!$E$11+1,1))</f>
        <v>439.06700232017681</v>
      </c>
      <c r="BJ106" s="62">
        <f t="shared" si="92"/>
        <v>278.21741231699929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1.2063800606218942</v>
      </c>
      <c r="BR106" s="23">
        <f>EXP(-LN(2)/2)*BR105+(1-EXP(-LN(2)/2))/(LN(2)/2)*BL106*BO106*VLOOKUP('Données projet'!$B$11,Paramètres!$A$1:$I$89,3,0)*0.475*44/12</f>
        <v>1.5341797199114758E-10</v>
      </c>
      <c r="BS106" s="24">
        <f t="shared" si="63"/>
        <v>1.2063800607753121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311.63183999999995</v>
      </c>
      <c r="CA106" s="14">
        <f t="shared" si="93"/>
        <v>73.609519109735089</v>
      </c>
      <c r="CB106" s="22">
        <f t="shared" si="64"/>
        <v>670.96203378278858</v>
      </c>
      <c r="CC106" s="62">
        <f t="shared" si="65"/>
        <v>964.29536711612195</v>
      </c>
      <c r="CD106" s="62">
        <f ca="1">AVERAGE(OFFSET($CC$3,0,0,'Données projet'!$E$12+1,1))-AVERAGE(OFFSET($H$3,0,0,'Données projet'!$E$12+1,1))</f>
        <v>466.4945858005575</v>
      </c>
      <c r="CE106" s="62">
        <f t="shared" si="94"/>
        <v>294.45557293177131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1.2895786854923705</v>
      </c>
      <c r="CM106" s="23">
        <f>EXP(-LN(2)/2)*CM105+(1-EXP(-LN(2)/2))/(LN(2)/2)*CG106*CJ106*VLOOKUP('Données projet'!$B$12,Paramètres!$A$1:$I$89,3,0)*0.475*44/12</f>
        <v>1.6399852178364121E-10</v>
      </c>
      <c r="CN106" s="24">
        <f t="shared" si="66"/>
        <v>1.2895786856563691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216.13175999999996</v>
      </c>
      <c r="CV106" s="14">
        <f t="shared" si="95"/>
        <v>53.273276832974595</v>
      </c>
      <c r="CW106" s="22">
        <f t="shared" si="67"/>
        <v>469.21377248409726</v>
      </c>
      <c r="CX106" s="62">
        <f t="shared" si="68"/>
        <v>762.54710581743052</v>
      </c>
      <c r="CY106" s="62">
        <f ca="1">AVERAGE(OFFSET($CX$3,0,0,'Données projet'!$E$13+1,1))-AVERAGE(OFFSET($H$3,0,0,'Données projet'!$E$13+1,1))</f>
        <v>335.83558218229564</v>
      </c>
      <c r="CZ106" s="62">
        <f t="shared" si="96"/>
        <v>217.08423061559648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1.1023817795338002</v>
      </c>
      <c r="DH106" s="23">
        <f>EXP(-LN(2)/2)*DH105+(1-EXP(-LN(2)/2))/(LN(2)/2)*DB106*DE106*VLOOKUP('Données projet'!$B$13,Paramètres!$A$1:$I$89,3,0)*0.475*44/12</f>
        <v>1.1374091026929954E-10</v>
      </c>
      <c r="DI106" s="24">
        <f t="shared" si="69"/>
        <v>1.1023817796475412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4.9658410716801891E-14</v>
      </c>
      <c r="P107" s="14">
        <f t="shared" si="87"/>
        <v>8.0934058173791862E-13</v>
      </c>
      <c r="Q107" s="22">
        <f t="shared" si="107"/>
        <v>1.4960899118586383E-12</v>
      </c>
      <c r="R107" s="62">
        <f t="shared" si="55"/>
        <v>293.33333333333479</v>
      </c>
      <c r="S107" s="62">
        <f ca="1">AVERAGE(OFFSET($R$3,0,0,'Données projet'!$E$9+1,1))-AVERAGE(OFFSET($H$3,0,0,'Données projet'!$E$9+1,1))</f>
        <v>321.62968871874483</v>
      </c>
      <c r="T107" s="62">
        <f t="shared" si="88"/>
        <v>389.91636841473559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3.2875935668999121</v>
      </c>
      <c r="AB107" s="23">
        <f>EXP(-LN(2)/2)*AB106+(1-EXP(-LN(2)/2))/(LN(2)/2)*V107*Y107*VLOOKUP('Données projet'!$B$9,Paramètres!$A$1:$I$89,3,0)*0.475*44/12</f>
        <v>1.3290633856853049E-10</v>
      </c>
      <c r="AC107" s="24">
        <f t="shared" si="57"/>
        <v>3.2875935670328182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405.09126081846171</v>
      </c>
      <c r="AO107" s="62">
        <f t="shared" si="90"/>
        <v>534.22295841722166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6.088678636371835</v>
      </c>
      <c r="AV107" s="23">
        <f>EXP(-LN(2)/25)*AV106+(1-EXP(-LN(2)/25))/(LN(2)/25)*Calculateur!AQ107*Calculateur!AS107*VLOOKUP('Données projet'!$B$10,Paramètres!$A$1:$I$89,3,0)*0.475*44/12</f>
        <v>3.0700117340231712</v>
      </c>
      <c r="AW107" s="23">
        <f>EXP(-LN(2)/2)*AW106+(1-EXP(-LN(2)/2))/(LN(2)/2)*AQ107*AT107*VLOOKUP('Données projet'!$B$10,Paramètres!$A$1:$I$89,3,0)*0.475*44/12</f>
        <v>8.6141108603237752E-11</v>
      </c>
      <c r="AX107" s="23">
        <f t="shared" si="60"/>
        <v>9.158690370481148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932.23995135836935</v>
      </c>
      <c r="BI107" s="62">
        <f ca="1">AVERAGE(OFFSET($BH$3,0,0,'Données projet'!$E$11+1,1))-AVERAGE(OFFSET($H$3,0,0,'Données projet'!$E$11+1,1))</f>
        <v>439.06700232017681</v>
      </c>
      <c r="BJ107" s="62">
        <f t="shared" si="92"/>
        <v>278.21741231699929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1.1733915344234183</v>
      </c>
      <c r="BR107" s="23">
        <f>EXP(-LN(2)/2)*BR106+(1-EXP(-LN(2)/2))/(LN(2)/2)*BL107*BO107*VLOOKUP('Données projet'!$B$11,Paramètres!$A$1:$I$89,3,0)*0.475*44/12</f>
        <v>1.0848288835082827E-10</v>
      </c>
      <c r="BS107" s="24">
        <f t="shared" si="63"/>
        <v>1.173391534531901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316.85471999999993</v>
      </c>
      <c r="CA107" s="14">
        <f t="shared" si="93"/>
        <v>74.698541244494848</v>
      </c>
      <c r="CB107" s="22">
        <f t="shared" si="64"/>
        <v>681.95526333416171</v>
      </c>
      <c r="CC107" s="62">
        <f t="shared" si="65"/>
        <v>975.28859666749509</v>
      </c>
      <c r="CD107" s="62">
        <f ca="1">AVERAGE(OFFSET($CC$3,0,0,'Données projet'!$E$12+1,1))-AVERAGE(OFFSET($H$3,0,0,'Données projet'!$E$12+1,1))</f>
        <v>466.4945858005575</v>
      </c>
      <c r="CE107" s="62">
        <f t="shared" si="94"/>
        <v>294.45557293177131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1.2543150885215859</v>
      </c>
      <c r="CM107" s="23">
        <f>EXP(-LN(2)/2)*CM106+(1-EXP(-LN(2)/2))/(LN(2)/2)*CG107*CJ107*VLOOKUP('Données projet'!$B$12,Paramètres!$A$1:$I$89,3,0)*0.475*44/12</f>
        <v>1.1596446685778244E-10</v>
      </c>
      <c r="CN107" s="24">
        <f t="shared" si="66"/>
        <v>1.2543150886375505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219.75407999999996</v>
      </c>
      <c r="CV107" s="14">
        <f t="shared" si="95"/>
        <v>54.061432744926762</v>
      </c>
      <c r="CW107" s="22">
        <f t="shared" si="67"/>
        <v>476.89535136408062</v>
      </c>
      <c r="CX107" s="62">
        <f t="shared" si="68"/>
        <v>770.22868469741388</v>
      </c>
      <c r="CY107" s="62">
        <f ca="1">AVERAGE(OFFSET($CX$3,0,0,'Données projet'!$E$13+1,1))-AVERAGE(OFFSET($H$3,0,0,'Données projet'!$E$13+1,1))</f>
        <v>335.83558218229564</v>
      </c>
      <c r="CZ107" s="62">
        <f t="shared" si="96"/>
        <v>217.08423061559648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1.0722370918007103</v>
      </c>
      <c r="DH107" s="23">
        <f>EXP(-LN(2)/2)*DH106+(1-EXP(-LN(2)/2))/(LN(2)/2)*DB107*DE107*VLOOKUP('Données projet'!$B$13,Paramètres!$A$1:$I$89,3,0)*0.475*44/12</f>
        <v>8.0426968949752334E-11</v>
      </c>
      <c r="DI107" s="24">
        <f t="shared" si="69"/>
        <v>1.0722370918811372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4.9658410716801891E-14</v>
      </c>
      <c r="P108" s="14">
        <f t="shared" si="87"/>
        <v>8.0934058173791862E-13</v>
      </c>
      <c r="Q108" s="22">
        <f t="shared" si="107"/>
        <v>1.4960899118586383E-12</v>
      </c>
      <c r="R108" s="62">
        <f t="shared" si="55"/>
        <v>293.33333333333479</v>
      </c>
      <c r="S108" s="62">
        <f ca="1">AVERAGE(OFFSET($R$3,0,0,'Données projet'!$E$9+1,1))-AVERAGE(OFFSET($H$3,0,0,'Données projet'!$E$9+1,1))</f>
        <v>321.62968871874483</v>
      </c>
      <c r="T108" s="62">
        <f t="shared" si="88"/>
        <v>389.91636841473559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3.1976941479260024</v>
      </c>
      <c r="AB108" s="23">
        <f>EXP(-LN(2)/2)*AB107+(1-EXP(-LN(2)/2))/(LN(2)/2)*V108*Y108*VLOOKUP('Données projet'!$B$9,Paramètres!$A$1:$I$89,3,0)*0.475*44/12</f>
        <v>9.3978973264483094E-11</v>
      </c>
      <c r="AC108" s="24">
        <f t="shared" si="57"/>
        <v>3.1976941480199814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405.09126081846171</v>
      </c>
      <c r="AO108" s="62">
        <f t="shared" si="90"/>
        <v>534.22295841722166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5.9692833620398513</v>
      </c>
      <c r="AV108" s="23">
        <f>EXP(-LN(2)/25)*AV107+(1-EXP(-LN(2)/25))/(LN(2)/25)*Calculateur!AQ108*Calculateur!AS108*VLOOKUP('Données projet'!$B$10,Paramètres!$A$1:$I$89,3,0)*0.475*44/12</f>
        <v>2.9860621017114073</v>
      </c>
      <c r="AW108" s="23">
        <f>EXP(-LN(2)/2)*AW107+(1-EXP(-LN(2)/2))/(LN(2)/2)*AQ108*AT108*VLOOKUP('Données projet'!$B$10,Paramètres!$A$1:$I$89,3,0)*0.475*44/12</f>
        <v>6.0910962032276264E-11</v>
      </c>
      <c r="AX108" s="23">
        <f t="shared" si="60"/>
        <v>8.9553454638121703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942.53434010677483</v>
      </c>
      <c r="BI108" s="62">
        <f ca="1">AVERAGE(OFFSET($BH$3,0,0,'Données projet'!$E$11+1,1))-AVERAGE(OFFSET($H$3,0,0,'Données projet'!$E$11+1,1))</f>
        <v>439.06700232017681</v>
      </c>
      <c r="BJ108" s="62">
        <f t="shared" si="92"/>
        <v>278.21741231699929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1.1413050812086309</v>
      </c>
      <c r="BR108" s="23">
        <f>EXP(-LN(2)/2)*BR107+(1-EXP(-LN(2)/2))/(LN(2)/2)*BL108*BO108*VLOOKUP('Données projet'!$B$11,Paramètres!$A$1:$I$89,3,0)*0.475*44/12</f>
        <v>7.6708985995573791E-11</v>
      </c>
      <c r="BS108" s="24">
        <f t="shared" si="63"/>
        <v>1.14130508128534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322.0775999999999</v>
      </c>
      <c r="CA108" s="14">
        <f t="shared" si="93"/>
        <v>75.785475796129404</v>
      </c>
      <c r="CB108" s="22">
        <f t="shared" si="64"/>
        <v>692.94485701159181</v>
      </c>
      <c r="CC108" s="62">
        <f t="shared" si="65"/>
        <v>986.27819034492518</v>
      </c>
      <c r="CD108" s="62">
        <f ca="1">AVERAGE(OFFSET($CC$3,0,0,'Données projet'!$E$12+1,1))-AVERAGE(OFFSET($H$3,0,0,'Données projet'!$E$12+1,1))</f>
        <v>466.4945858005575</v>
      </c>
      <c r="CE108" s="62">
        <f t="shared" si="94"/>
        <v>294.45557293177131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1.2200157764643995</v>
      </c>
      <c r="CM108" s="23">
        <f>EXP(-LN(2)/2)*CM107+(1-EXP(-LN(2)/2))/(LN(2)/2)*CG108*CJ108*VLOOKUP('Données projet'!$B$12,Paramètres!$A$1:$I$89,3,0)*0.475*44/12</f>
        <v>8.1999260891820616E-11</v>
      </c>
      <c r="CN108" s="24">
        <f t="shared" si="66"/>
        <v>1.2200157765463988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223.3763999999999</v>
      </c>
      <c r="CV108" s="14">
        <f t="shared" si="95"/>
        <v>54.848077814326416</v>
      </c>
      <c r="CW108" s="22">
        <f t="shared" si="67"/>
        <v>484.57429885995163</v>
      </c>
      <c r="CX108" s="62">
        <f t="shared" si="68"/>
        <v>777.90763219328494</v>
      </c>
      <c r="CY108" s="62">
        <f ca="1">AVERAGE(OFFSET($CX$3,0,0,'Données projet'!$E$13+1,1))-AVERAGE(OFFSET($H$3,0,0,'Données projet'!$E$13+1,1))</f>
        <v>335.83558218229564</v>
      </c>
      <c r="CZ108" s="62">
        <f t="shared" si="96"/>
        <v>217.08423061559648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1.0429167121389218</v>
      </c>
      <c r="DH108" s="23">
        <f>EXP(-LN(2)/2)*DH107+(1-EXP(-LN(2)/2))/(LN(2)/2)*DB108*DE108*VLOOKUP('Données projet'!$B$13,Paramètres!$A$1:$I$89,3,0)*0.475*44/12</f>
        <v>5.6870455134649782E-11</v>
      </c>
      <c r="DI108" s="24">
        <f t="shared" si="69"/>
        <v>1.0429167121957923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4.9658410716801891E-14</v>
      </c>
      <c r="P109" s="14">
        <f t="shared" si="87"/>
        <v>8.0934058173791862E-13</v>
      </c>
      <c r="Q109" s="22">
        <f t="shared" si="107"/>
        <v>1.4960899118586383E-12</v>
      </c>
      <c r="R109" s="62">
        <f t="shared" si="55"/>
        <v>293.33333333333479</v>
      </c>
      <c r="S109" s="62">
        <f ca="1">AVERAGE(OFFSET($R$3,0,0,'Données projet'!$E$9+1,1))-AVERAGE(OFFSET($H$3,0,0,'Données projet'!$E$9+1,1))</f>
        <v>321.62968871874483</v>
      </c>
      <c r="T109" s="62">
        <f t="shared" si="88"/>
        <v>389.91636841473559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3.110253033291539</v>
      </c>
      <c r="AB109" s="23">
        <f>EXP(-LN(2)/2)*AB108+(1-EXP(-LN(2)/2))/(LN(2)/2)*V109*Y109*VLOOKUP('Données projet'!$B$9,Paramètres!$A$1:$I$89,3,0)*0.475*44/12</f>
        <v>6.6453169284265246E-11</v>
      </c>
      <c r="AC109" s="24">
        <f t="shared" si="57"/>
        <v>3.1102530333579921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405.09126081846171</v>
      </c>
      <c r="AO109" s="62">
        <f t="shared" si="90"/>
        <v>534.22295841722166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5.8522293562135914</v>
      </c>
      <c r="AV109" s="23">
        <f>EXP(-LN(2)/25)*AV108+(1-EXP(-LN(2)/25))/(LN(2)/25)*Calculateur!AQ109*Calculateur!AS109*VLOOKUP('Données projet'!$B$10,Paramètres!$A$1:$I$89,3,0)*0.475*44/12</f>
        <v>2.9044080765099278</v>
      </c>
      <c r="AW109" s="23">
        <f>EXP(-LN(2)/2)*AW108+(1-EXP(-LN(2)/2))/(LN(2)/2)*AQ109*AT109*VLOOKUP('Données projet'!$B$10,Paramètres!$A$1:$I$89,3,0)*0.475*44/12</f>
        <v>4.3070554301618876E-11</v>
      </c>
      <c r="AX109" s="23">
        <f t="shared" si="60"/>
        <v>8.7566374327665901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902.4811222129938</v>
      </c>
      <c r="BI109" s="62">
        <f ca="1">AVERAGE(OFFSET($BH$3,0,0,'Données projet'!$E$11+1,1))-AVERAGE(OFFSET($H$3,0,0,'Données projet'!$E$11+1,1))</f>
        <v>439.06700232017681</v>
      </c>
      <c r="BJ109" s="62">
        <f t="shared" si="92"/>
        <v>278.21741231699929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1.1100960337443553</v>
      </c>
      <c r="BR109" s="23">
        <f>EXP(-LN(2)/2)*BR108+(1-EXP(-LN(2)/2))/(LN(2)/2)*BL109*BO109*VLOOKUP('Données projet'!$B$11,Paramètres!$A$1:$I$89,3,0)*0.475*44/12</f>
        <v>5.4241444175414136E-11</v>
      </c>
      <c r="BS109" s="24">
        <f t="shared" si="63"/>
        <v>1.1100960337985968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301.76639999999992</v>
      </c>
      <c r="CA109" s="14">
        <f t="shared" si="93"/>
        <v>71.546642144235292</v>
      </c>
      <c r="CB109" s="22">
        <f t="shared" si="64"/>
        <v>650.18688173454302</v>
      </c>
      <c r="CC109" s="62">
        <f t="shared" si="65"/>
        <v>943.52021506787628</v>
      </c>
      <c r="CD109" s="62">
        <f ca="1">AVERAGE(OFFSET($CC$3,0,0,'Données projet'!$E$12+1,1))-AVERAGE(OFFSET($H$3,0,0,'Données projet'!$E$12+1,1))</f>
        <v>466.4945858005575</v>
      </c>
      <c r="CE109" s="62">
        <f t="shared" si="94"/>
        <v>294.45557293177131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1.1866543808991392</v>
      </c>
      <c r="CM109" s="23">
        <f>EXP(-LN(2)/2)*CM108+(1-EXP(-LN(2)/2))/(LN(2)/2)*CG109*CJ109*VLOOKUP('Données projet'!$B$12,Paramètres!$A$1:$I$89,3,0)*0.475*44/12</f>
        <v>5.7982233428891228E-11</v>
      </c>
      <c r="CN109" s="24">
        <f t="shared" si="66"/>
        <v>1.1866543809571215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209.28959999999992</v>
      </c>
      <c r="CV109" s="14">
        <f t="shared" si="95"/>
        <v>51.780314822292169</v>
      </c>
      <c r="CW109" s="22">
        <f t="shared" si="67"/>
        <v>454.69676831549208</v>
      </c>
      <c r="CX109" s="62">
        <f t="shared" si="68"/>
        <v>748.03010164882539</v>
      </c>
      <c r="CY109" s="62">
        <f ca="1">AVERAGE(OFFSET($CX$3,0,0,'Données projet'!$E$13+1,1))-AVERAGE(OFFSET($H$3,0,0,'Données projet'!$E$13+1,1))</f>
        <v>335.83558218229564</v>
      </c>
      <c r="CZ109" s="62">
        <f t="shared" si="96"/>
        <v>217.08423061559648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1.0143980998008768</v>
      </c>
      <c r="DH109" s="23">
        <f>EXP(-LN(2)/2)*DH108+(1-EXP(-LN(2)/2))/(LN(2)/2)*DB109*DE109*VLOOKUP('Données projet'!$B$13,Paramètres!$A$1:$I$89,3,0)*0.475*44/12</f>
        <v>4.0213484474876174E-11</v>
      </c>
      <c r="DI109" s="24">
        <f t="shared" si="69"/>
        <v>1.0143980998410902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4.9658410716801891E-14</v>
      </c>
      <c r="P110" s="14">
        <f t="shared" si="87"/>
        <v>8.0934058173791862E-13</v>
      </c>
      <c r="Q110" s="22">
        <f t="shared" si="107"/>
        <v>1.4960899118586383E-12</v>
      </c>
      <c r="R110" s="62">
        <f t="shared" si="55"/>
        <v>293.33333333333479</v>
      </c>
      <c r="S110" s="62">
        <f ca="1">AVERAGE(OFFSET($R$3,0,0,'Données projet'!$E$9+1,1))-AVERAGE(OFFSET($H$3,0,0,'Données projet'!$E$9+1,1))</f>
        <v>321.62968871874483</v>
      </c>
      <c r="T110" s="62">
        <f t="shared" si="88"/>
        <v>389.91636841473559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3.0252030005350834</v>
      </c>
      <c r="AB110" s="23">
        <f>EXP(-LN(2)/2)*AB109+(1-EXP(-LN(2)/2))/(LN(2)/2)*V110*Y110*VLOOKUP('Données projet'!$B$9,Paramètres!$A$1:$I$89,3,0)*0.475*44/12</f>
        <v>4.6989486632241547E-11</v>
      </c>
      <c r="AC110" s="24">
        <f t="shared" si="57"/>
        <v>3.0252030005820729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405.09126081846171</v>
      </c>
      <c r="AO110" s="62">
        <f t="shared" si="90"/>
        <v>534.22295841722166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5.7374707080456906</v>
      </c>
      <c r="AV110" s="23">
        <f>EXP(-LN(2)/25)*AV109+(1-EXP(-LN(2)/25))/(LN(2)/25)*Calculateur!AQ110*Calculateur!AS110*VLOOKUP('Données projet'!$B$10,Paramètres!$A$1:$I$89,3,0)*0.475*44/12</f>
        <v>2.8249868849215813</v>
      </c>
      <c r="AW110" s="23">
        <f>EXP(-LN(2)/2)*AW109+(1-EXP(-LN(2)/2))/(LN(2)/2)*AQ110*AT110*VLOOKUP('Données projet'!$B$10,Paramètres!$A$1:$I$89,3,0)*0.475*44/12</f>
        <v>3.0455481016138132E-11</v>
      </c>
      <c r="AX110" s="23">
        <f t="shared" si="60"/>
        <v>8.5624575929977276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912.02241922024518</v>
      </c>
      <c r="BI110" s="62">
        <f ca="1">AVERAGE(OFFSET($BH$3,0,0,'Données projet'!$E$11+1,1))-AVERAGE(OFFSET($H$3,0,0,'Données projet'!$E$11+1,1))</f>
        <v>439.06700232017681</v>
      </c>
      <c r="BJ110" s="62">
        <f t="shared" si="92"/>
        <v>278.21741231699929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1.0797403993242027</v>
      </c>
      <c r="BR110" s="23">
        <f>EXP(-LN(2)/2)*BR109+(1-EXP(-LN(2)/2))/(LN(2)/2)*BL110*BO110*VLOOKUP('Données projet'!$B$11,Paramètres!$A$1:$I$89,3,0)*0.475*44/12</f>
        <v>3.8354492997786895E-11</v>
      </c>
      <c r="BS110" s="24">
        <f t="shared" si="63"/>
        <v>1.0797403993625572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306.60239999999993</v>
      </c>
      <c r="CA110" s="14">
        <f t="shared" si="93"/>
        <v>72.558821602115088</v>
      </c>
      <c r="CB110" s="22">
        <f t="shared" si="64"/>
        <v>660.37246095701687</v>
      </c>
      <c r="CC110" s="62">
        <f t="shared" si="65"/>
        <v>953.70579429035024</v>
      </c>
      <c r="CD110" s="62">
        <f ca="1">AVERAGE(OFFSET($CC$3,0,0,'Données projet'!$E$12+1,1))-AVERAGE(OFFSET($H$3,0,0,'Données projet'!$E$12+1,1))</f>
        <v>466.4945858005575</v>
      </c>
      <c r="CE110" s="62">
        <f t="shared" si="94"/>
        <v>294.45557293177131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1.1542052544500105</v>
      </c>
      <c r="CM110" s="23">
        <f>EXP(-LN(2)/2)*CM109+(1-EXP(-LN(2)/2))/(LN(2)/2)*CG110*CJ110*VLOOKUP('Données projet'!$B$12,Paramètres!$A$1:$I$89,3,0)*0.475*44/12</f>
        <v>4.0999630445910315E-11</v>
      </c>
      <c r="CN110" s="24">
        <f t="shared" si="66"/>
        <v>1.1542052544910102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212.64359999999994</v>
      </c>
      <c r="CV110" s="14">
        <f t="shared" si="95"/>
        <v>52.512857530306484</v>
      </c>
      <c r="CW110" s="22">
        <f t="shared" si="67"/>
        <v>461.81416353195027</v>
      </c>
      <c r="CX110" s="62">
        <f t="shared" si="68"/>
        <v>755.14749686528353</v>
      </c>
      <c r="CY110" s="62">
        <f ca="1">AVERAGE(OFFSET($CX$3,0,0,'Données projet'!$E$13+1,1))-AVERAGE(OFFSET($H$3,0,0,'Données projet'!$E$13+1,1))</f>
        <v>335.83558218229564</v>
      </c>
      <c r="CZ110" s="62">
        <f t="shared" si="96"/>
        <v>217.08423061559648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0.9866593304169442</v>
      </c>
      <c r="DH110" s="23">
        <f>EXP(-LN(2)/2)*DH109+(1-EXP(-LN(2)/2))/(LN(2)/2)*DB110*DE110*VLOOKUP('Données projet'!$B$13,Paramètres!$A$1:$I$89,3,0)*0.475*44/12</f>
        <v>2.8435227567324894E-11</v>
      </c>
      <c r="DI110" s="24">
        <f t="shared" si="69"/>
        <v>0.98665933044537946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4.9658410716801891E-14</v>
      </c>
      <c r="P111" s="14">
        <f t="shared" si="87"/>
        <v>8.0934058173791862E-13</v>
      </c>
      <c r="Q111" s="22">
        <f t="shared" si="107"/>
        <v>1.4960899118586383E-12</v>
      </c>
      <c r="R111" s="62">
        <f t="shared" si="55"/>
        <v>293.33333333333479</v>
      </c>
      <c r="S111" s="62">
        <f ca="1">AVERAGE(OFFSET($R$3,0,0,'Données projet'!$E$9+1,1))-AVERAGE(OFFSET($H$3,0,0,'Données projet'!$E$9+1,1))</f>
        <v>321.62968871874483</v>
      </c>
      <c r="T111" s="62">
        <f t="shared" si="88"/>
        <v>389.91636841473559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2.9424786653969401</v>
      </c>
      <c r="AB111" s="23">
        <f>EXP(-LN(2)/2)*AB110+(1-EXP(-LN(2)/2))/(LN(2)/2)*V111*Y111*VLOOKUP('Données projet'!$B$9,Paramètres!$A$1:$I$89,3,0)*0.475*44/12</f>
        <v>3.3226584642132623E-11</v>
      </c>
      <c r="AC111" s="24">
        <f t="shared" si="57"/>
        <v>2.9424786654301669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405.09126081846171</v>
      </c>
      <c r="AO111" s="62">
        <f t="shared" si="90"/>
        <v>534.22295841722166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5.6249624069724984</v>
      </c>
      <c r="AV111" s="23">
        <f>EXP(-LN(2)/25)*AV110+(1-EXP(-LN(2)/25))/(LN(2)/25)*Calculateur!AQ111*Calculateur!AS111*VLOOKUP('Données projet'!$B$10,Paramètres!$A$1:$I$89,3,0)*0.475*44/12</f>
        <v>2.7477374699937971</v>
      </c>
      <c r="AW111" s="23">
        <f>EXP(-LN(2)/2)*AW110+(1-EXP(-LN(2)/2))/(LN(2)/2)*AQ111*AT111*VLOOKUP('Données projet'!$B$10,Paramètres!$A$1:$I$89,3,0)*0.475*44/12</f>
        <v>2.1535277150809438E-11</v>
      </c>
      <c r="AX111" s="23">
        <f t="shared" si="60"/>
        <v>8.3726998769878307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921.56066752963352</v>
      </c>
      <c r="BI111" s="62">
        <f ca="1">AVERAGE(OFFSET($BH$3,0,0,'Données projet'!$E$11+1,1))-AVERAGE(OFFSET($H$3,0,0,'Données projet'!$E$11+1,1))</f>
        <v>439.06700232017681</v>
      </c>
      <c r="BJ111" s="62">
        <f t="shared" si="92"/>
        <v>278.21741231699929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1.0502148413236025</v>
      </c>
      <c r="BR111" s="23">
        <f>EXP(-LN(2)/2)*BR110+(1-EXP(-LN(2)/2))/(LN(2)/2)*BL111*BO111*VLOOKUP('Données projet'!$B$11,Paramètres!$A$1:$I$89,3,0)*0.475*44/12</f>
        <v>2.7120722087707068E-11</v>
      </c>
      <c r="BS111" s="24">
        <f t="shared" si="63"/>
        <v>1.0502148413507233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311.43839999999989</v>
      </c>
      <c r="CA111" s="14">
        <f t="shared" si="93"/>
        <v>73.569144360291361</v>
      </c>
      <c r="CB111" s="22">
        <f t="shared" si="64"/>
        <v>670.55480642750729</v>
      </c>
      <c r="CC111" s="62">
        <f t="shared" si="65"/>
        <v>963.88813976084066</v>
      </c>
      <c r="CD111" s="62">
        <f ca="1">AVERAGE(OFFSET($CC$3,0,0,'Données projet'!$E$12+1,1))-AVERAGE(OFFSET($H$3,0,0,'Données projet'!$E$12+1,1))</f>
        <v>466.4945858005575</v>
      </c>
      <c r="CE111" s="62">
        <f t="shared" si="94"/>
        <v>294.45557293177131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1.1226434510700587</v>
      </c>
      <c r="CM111" s="23">
        <f>EXP(-LN(2)/2)*CM110+(1-EXP(-LN(2)/2))/(LN(2)/2)*CG111*CJ111*VLOOKUP('Données projet'!$B$12,Paramètres!$A$1:$I$89,3,0)*0.475*44/12</f>
        <v>2.8991116714445617E-11</v>
      </c>
      <c r="CN111" s="24">
        <f t="shared" si="66"/>
        <v>1.1226434510990497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215.99759999999992</v>
      </c>
      <c r="CV111" s="14">
        <f t="shared" si="95"/>
        <v>53.244056492586679</v>
      </c>
      <c r="CW111" s="22">
        <f t="shared" si="67"/>
        <v>468.92921839125489</v>
      </c>
      <c r="CX111" s="62">
        <f t="shared" si="68"/>
        <v>762.26255172458821</v>
      </c>
      <c r="CY111" s="62">
        <f ca="1">AVERAGE(OFFSET($CX$3,0,0,'Données projet'!$E$13+1,1))-AVERAGE(OFFSET($H$3,0,0,'Données projet'!$E$13+1,1))</f>
        <v>335.83558218229564</v>
      </c>
      <c r="CZ111" s="62">
        <f t="shared" si="96"/>
        <v>217.08423061559648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0.95967907914053374</v>
      </c>
      <c r="DH111" s="23">
        <f>EXP(-LN(2)/2)*DH110+(1-EXP(-LN(2)/2))/(LN(2)/2)*DB111*DE111*VLOOKUP('Données projet'!$B$13,Paramètres!$A$1:$I$89,3,0)*0.475*44/12</f>
        <v>2.010674223743809E-11</v>
      </c>
      <c r="DI111" s="24">
        <f t="shared" si="69"/>
        <v>0.95967907916064044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4.9658410716801891E-14</v>
      </c>
      <c r="P112" s="14">
        <f t="shared" si="87"/>
        <v>8.0934058173791862E-13</v>
      </c>
      <c r="Q112" s="22">
        <f t="shared" si="107"/>
        <v>1.4960899118586383E-12</v>
      </c>
      <c r="R112" s="62">
        <f t="shared" si="55"/>
        <v>293.33333333333479</v>
      </c>
      <c r="S112" s="62">
        <f ca="1">AVERAGE(OFFSET($R$3,0,0,'Données projet'!$E$9+1,1))-AVERAGE(OFFSET($H$3,0,0,'Données projet'!$E$9+1,1))</f>
        <v>321.62968871874483</v>
      </c>
      <c r="T112" s="62">
        <f t="shared" si="88"/>
        <v>389.91636841473559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2.8620164315534331</v>
      </c>
      <c r="AB112" s="23">
        <f>EXP(-LN(2)/2)*AB111+(1-EXP(-LN(2)/2))/(LN(2)/2)*V112*Y112*VLOOKUP('Données projet'!$B$9,Paramètres!$A$1:$I$89,3,0)*0.475*44/12</f>
        <v>2.3494743316120774E-11</v>
      </c>
      <c r="AC112" s="24">
        <f t="shared" si="57"/>
        <v>2.8620164315769276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405.09126081846171</v>
      </c>
      <c r="AO112" s="62">
        <f t="shared" si="90"/>
        <v>534.22295841722166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5.5146603250600634</v>
      </c>
      <c r="AV112" s="23">
        <f>EXP(-LN(2)/25)*AV111+(1-EXP(-LN(2)/25))/(LN(2)/25)*Calculateur!AQ112*Calculateur!AS112*VLOOKUP('Données projet'!$B$10,Paramètres!$A$1:$I$89,3,0)*0.475*44/12</f>
        <v>2.672600444379583</v>
      </c>
      <c r="AW112" s="23">
        <f>EXP(-LN(2)/2)*AW111+(1-EXP(-LN(2)/2))/(LN(2)/2)*AQ112*AT112*VLOOKUP('Données projet'!$B$10,Paramètres!$A$1:$I$89,3,0)*0.475*44/12</f>
        <v>1.5227740508069066E-11</v>
      </c>
      <c r="AX112" s="23">
        <f t="shared" si="60"/>
        <v>8.1872607694548734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931.09591994810694</v>
      </c>
      <c r="BI112" s="62">
        <f ca="1">AVERAGE(OFFSET($BH$3,0,0,'Données projet'!$E$11+1,1))-AVERAGE(OFFSET($H$3,0,0,'Données projet'!$E$11+1,1))</f>
        <v>439.06700232017681</v>
      </c>
      <c r="BJ112" s="62">
        <f t="shared" si="92"/>
        <v>278.21741231699929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1.0214966612592105</v>
      </c>
      <c r="BR112" s="23">
        <f>EXP(-LN(2)/2)*BR111+(1-EXP(-LN(2)/2))/(LN(2)/2)*BL112*BO112*VLOOKUP('Données projet'!$B$11,Paramètres!$A$1:$I$89,3,0)*0.475*44/12</f>
        <v>1.9177246498893448E-11</v>
      </c>
      <c r="BS112" s="24">
        <f t="shared" si="63"/>
        <v>1.0214966612783878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316.2743999999999</v>
      </c>
      <c r="CA112" s="14">
        <f t="shared" si="93"/>
        <v>74.577642578935567</v>
      </c>
      <c r="CB112" s="22">
        <f t="shared" si="64"/>
        <v>680.73397415831266</v>
      </c>
      <c r="CC112" s="62">
        <f t="shared" si="65"/>
        <v>974.06730749164603</v>
      </c>
      <c r="CD112" s="62">
        <f ca="1">AVERAGE(OFFSET($CC$3,0,0,'Données projet'!$E$12+1,1))-AVERAGE(OFFSET($H$3,0,0,'Données projet'!$E$12+1,1))</f>
        <v>466.4945858005575</v>
      </c>
      <c r="CE112" s="62">
        <f t="shared" si="94"/>
        <v>294.45557293177131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1.0919447068632946</v>
      </c>
      <c r="CM112" s="23">
        <f>EXP(-LN(2)/2)*CM111+(1-EXP(-LN(2)/2))/(LN(2)/2)*CG112*CJ112*VLOOKUP('Données projet'!$B$12,Paramètres!$A$1:$I$89,3,0)*0.475*44/12</f>
        <v>2.0499815222955161E-11</v>
      </c>
      <c r="CN112" s="24">
        <f t="shared" si="66"/>
        <v>1.0919447068837944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219.35159999999993</v>
      </c>
      <c r="CV112" s="14">
        <f t="shared" si="95"/>
        <v>53.973934984352134</v>
      </c>
      <c r="CW112" s="22">
        <f t="shared" si="67"/>
        <v>476.0419734310799</v>
      </c>
      <c r="CX112" s="62">
        <f t="shared" si="68"/>
        <v>769.37530676441315</v>
      </c>
      <c r="CY112" s="62">
        <f ca="1">AVERAGE(OFFSET($CX$3,0,0,'Données projet'!$E$13+1,1))-AVERAGE(OFFSET($H$3,0,0,'Données projet'!$E$13+1,1))</f>
        <v>335.83558218229564</v>
      </c>
      <c r="CZ112" s="62">
        <f t="shared" si="96"/>
        <v>217.08423061559648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0.93343660425410646</v>
      </c>
      <c r="DH112" s="23">
        <f>EXP(-LN(2)/2)*DH111+(1-EXP(-LN(2)/2))/(LN(2)/2)*DB112*DE112*VLOOKUP('Données projet'!$B$13,Paramètres!$A$1:$I$89,3,0)*0.475*44/12</f>
        <v>1.4217613783662449E-11</v>
      </c>
      <c r="DI112" s="24">
        <f t="shared" si="69"/>
        <v>0.93343660426832409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4.9658410716801891E-14</v>
      </c>
      <c r="P113" s="14">
        <f t="shared" si="87"/>
        <v>8.0934058173791862E-13</v>
      </c>
      <c r="Q113" s="22">
        <f t="shared" si="107"/>
        <v>1.4960899118586383E-12</v>
      </c>
      <c r="R113" s="62">
        <f t="shared" si="55"/>
        <v>293.33333333333479</v>
      </c>
      <c r="S113" s="62">
        <f ca="1">AVERAGE(OFFSET($R$3,0,0,'Données projet'!$E$9+1,1))-AVERAGE(OFFSET($H$3,0,0,'Données projet'!$E$9+1,1))</f>
        <v>321.62968871874483</v>
      </c>
      <c r="T113" s="62">
        <f t="shared" si="88"/>
        <v>389.91636841473559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2.7837544417257014</v>
      </c>
      <c r="AB113" s="23">
        <f>EXP(-LN(2)/2)*AB112+(1-EXP(-LN(2)/2))/(LN(2)/2)*V113*Y113*VLOOKUP('Données projet'!$B$9,Paramètres!$A$1:$I$89,3,0)*0.475*44/12</f>
        <v>1.6613292321066311E-11</v>
      </c>
      <c r="AC113" s="24">
        <f t="shared" si="57"/>
        <v>2.7837544417423148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405.09126081846171</v>
      </c>
      <c r="AO113" s="62">
        <f t="shared" si="90"/>
        <v>534.22295841722166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5.4065211996963045</v>
      </c>
      <c r="AV113" s="23">
        <f>EXP(-LN(2)/25)*AV112+(1-EXP(-LN(2)/25))/(LN(2)/25)*Calculateur!AQ113*Calculateur!AS113*VLOOKUP('Données projet'!$B$10,Paramètres!$A$1:$I$89,3,0)*0.475*44/12</f>
        <v>2.5995180446820743</v>
      </c>
      <c r="AW113" s="23">
        <f>EXP(-LN(2)/2)*AW112+(1-EXP(-LN(2)/2))/(LN(2)/2)*AQ113*AT113*VLOOKUP('Données projet'!$B$10,Paramètres!$A$1:$I$89,3,0)*0.475*44/12</f>
        <v>1.0767638575404719E-11</v>
      </c>
      <c r="AX113" s="23">
        <f t="shared" si="60"/>
        <v>8.0060392443891466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940.62822757505796</v>
      </c>
      <c r="BI113" s="62">
        <f ca="1">AVERAGE(OFFSET($BH$3,0,0,'Données projet'!$E$11+1,1))-AVERAGE(OFFSET($H$3,0,0,'Données projet'!$E$11+1,1))</f>
        <v>439.06700232017681</v>
      </c>
      <c r="BJ113" s="62">
        <f t="shared" si="92"/>
        <v>278.21741231699929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0.99356378133890255</v>
      </c>
      <c r="BR113" s="23">
        <f>EXP(-LN(2)/2)*BR112+(1-EXP(-LN(2)/2))/(LN(2)/2)*BL113*BO113*VLOOKUP('Données projet'!$B$11,Paramètres!$A$1:$I$89,3,0)*0.475*44/12</f>
        <v>1.3560361043853534E-11</v>
      </c>
      <c r="BS113" s="24">
        <f t="shared" si="63"/>
        <v>0.99356378135246293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321.11039999999986</v>
      </c>
      <c r="CA113" s="14">
        <f t="shared" si="93"/>
        <v>75.584347378293316</v>
      </c>
      <c r="CB113" s="22">
        <f t="shared" si="64"/>
        <v>690.91001835052737</v>
      </c>
      <c r="CC113" s="62">
        <f t="shared" si="65"/>
        <v>984.24335168386074</v>
      </c>
      <c r="CD113" s="62">
        <f ca="1">AVERAGE(OFFSET($CC$3,0,0,'Données projet'!$E$12+1,1))-AVERAGE(OFFSET($H$3,0,0,'Données projet'!$E$12+1,1))</f>
        <v>466.4945858005575</v>
      </c>
      <c r="CE113" s="62">
        <f t="shared" si="94"/>
        <v>294.45557293177131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1.0620854214312414</v>
      </c>
      <c r="CM113" s="23">
        <f>EXP(-LN(2)/2)*CM112+(1-EXP(-LN(2)/2))/(LN(2)/2)*CG113*CJ113*VLOOKUP('Données projet'!$B$12,Paramètres!$A$1:$I$89,3,0)*0.475*44/12</f>
        <v>1.4495558357222812E-11</v>
      </c>
      <c r="CN113" s="24">
        <f t="shared" si="66"/>
        <v>1.0620854214457369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222.70559999999995</v>
      </c>
      <c r="CV113" s="14">
        <f t="shared" si="95"/>
        <v>54.702515528198902</v>
      </c>
      <c r="CW113" s="22">
        <f t="shared" si="67"/>
        <v>483.15246787827965</v>
      </c>
      <c r="CX113" s="62">
        <f t="shared" si="68"/>
        <v>776.48580121161297</v>
      </c>
      <c r="CY113" s="62">
        <f ca="1">AVERAGE(OFFSET($CX$3,0,0,'Données projet'!$E$13+1,1))-AVERAGE(OFFSET($H$3,0,0,'Données projet'!$E$13+1,1))</f>
        <v>335.83558218229564</v>
      </c>
      <c r="CZ113" s="62">
        <f t="shared" si="96"/>
        <v>217.08423061559648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0.90791173122348034</v>
      </c>
      <c r="DH113" s="23">
        <f>EXP(-LN(2)/2)*DH112+(1-EXP(-LN(2)/2))/(LN(2)/2)*DB113*DE113*VLOOKUP('Données projet'!$B$13,Paramètres!$A$1:$I$89,3,0)*0.475*44/12</f>
        <v>1.0053371118719047E-11</v>
      </c>
      <c r="DI113" s="24">
        <f t="shared" si="69"/>
        <v>0.90791173123353375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4.9658410716801891E-14</v>
      </c>
      <c r="P114" s="14">
        <f t="shared" si="87"/>
        <v>8.0934058173791862E-13</v>
      </c>
      <c r="Q114" s="22">
        <f t="shared" si="107"/>
        <v>1.4960899118586383E-12</v>
      </c>
      <c r="R114" s="62">
        <f t="shared" si="55"/>
        <v>293.33333333333479</v>
      </c>
      <c r="S114" s="62">
        <f ca="1">AVERAGE(OFFSET($R$3,0,0,'Données projet'!$E$9+1,1))-AVERAGE(OFFSET($H$3,0,0,'Données projet'!$E$9+1,1))</f>
        <v>321.62968871874483</v>
      </c>
      <c r="T114" s="62">
        <f t="shared" si="88"/>
        <v>389.91636841473559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2.7076325301254283</v>
      </c>
      <c r="AB114" s="23">
        <f>EXP(-LN(2)/2)*AB113+(1-EXP(-LN(2)/2))/(LN(2)/2)*V114*Y114*VLOOKUP('Données projet'!$B$9,Paramètres!$A$1:$I$89,3,0)*0.475*44/12</f>
        <v>1.1747371658060387E-11</v>
      </c>
      <c r="AC114" s="24">
        <f t="shared" si="57"/>
        <v>2.7076325301371758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405.09126081846171</v>
      </c>
      <c r="AO114" s="62">
        <f t="shared" si="90"/>
        <v>534.22295841722166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5.3005026166225759</v>
      </c>
      <c r="AV114" s="23">
        <f>EXP(-LN(2)/25)*AV113+(1-EXP(-LN(2)/25))/(LN(2)/25)*Calculateur!AQ114*Calculateur!AS114*VLOOKUP('Données projet'!$B$10,Paramètres!$A$1:$I$89,3,0)*0.475*44/12</f>
        <v>2.5284340870475304</v>
      </c>
      <c r="AW114" s="23">
        <f>EXP(-LN(2)/2)*AW113+(1-EXP(-LN(2)/2))/(LN(2)/2)*AQ114*AT114*VLOOKUP('Données projet'!$B$10,Paramètres!$A$1:$I$89,3,0)*0.475*44/12</f>
        <v>7.6138702540345329E-12</v>
      </c>
      <c r="AX114" s="23">
        <f t="shared" si="60"/>
        <v>7.8289367036777193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281.93567999999988</v>
      </c>
      <c r="BF114" s="14">
        <f t="shared" si="91"/>
        <v>67.375909546040361</v>
      </c>
      <c r="BG114" s="22">
        <f t="shared" si="61"/>
        <v>608.38435179268674</v>
      </c>
      <c r="BH114" s="62">
        <f t="shared" si="62"/>
        <v>901.71768512602011</v>
      </c>
      <c r="BI114" s="62">
        <f ca="1">AVERAGE(OFFSET($BH$3,0,0,'Données projet'!$E$11+1,1))-AVERAGE(OFFSET($H$3,0,0,'Données projet'!$E$11+1,1))</f>
        <v>439.06700232017681</v>
      </c>
      <c r="BJ114" s="62">
        <f t="shared" si="92"/>
        <v>278.21741231699929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0.96639472748894184</v>
      </c>
      <c r="BR114" s="23">
        <f>EXP(-LN(2)/2)*BR113+(1-EXP(-LN(2)/2))/(LN(2)/2)*BL114*BO114*VLOOKUP('Données projet'!$B$11,Paramètres!$A$1:$I$89,3,0)*0.475*44/12</f>
        <v>9.5886232494467239E-12</v>
      </c>
      <c r="BS114" s="24">
        <f t="shared" si="63"/>
        <v>0.9663947274985305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301.37951999999996</v>
      </c>
      <c r="CA114" s="14">
        <f t="shared" si="93"/>
        <v>71.465586589963848</v>
      </c>
      <c r="CB114" s="22">
        <f t="shared" si="64"/>
        <v>649.37189397752024</v>
      </c>
      <c r="CC114" s="62">
        <f t="shared" si="65"/>
        <v>942.70522731085362</v>
      </c>
      <c r="CD114" s="62">
        <f ca="1">AVERAGE(OFFSET($CC$3,0,0,'Données projet'!$E$12+1,1))-AVERAGE(OFFSET($H$3,0,0,'Données projet'!$E$12+1,1))</f>
        <v>466.4945858005575</v>
      </c>
      <c r="CE114" s="62">
        <f t="shared" si="94"/>
        <v>294.45557293177131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1.0330426397295591</v>
      </c>
      <c r="CM114" s="23">
        <f>EXP(-LN(2)/2)*CM113+(1-EXP(-LN(2)/2))/(LN(2)/2)*CG114*CJ114*VLOOKUP('Données projet'!$B$12,Paramètres!$A$1:$I$89,3,0)*0.475*44/12</f>
        <v>1.0249907611477582E-11</v>
      </c>
      <c r="CN114" s="24">
        <f t="shared" si="66"/>
        <v>1.0330426397398089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209.02127999999996</v>
      </c>
      <c r="CV114" s="14">
        <f t="shared" si="95"/>
        <v>51.72165264063711</v>
      </c>
      <c r="CW114" s="22">
        <f t="shared" si="67"/>
        <v>454.12727434910954</v>
      </c>
      <c r="CX114" s="62">
        <f t="shared" si="68"/>
        <v>747.46060768244286</v>
      </c>
      <c r="CY114" s="62">
        <f ca="1">AVERAGE(OFFSET($CX$3,0,0,'Données projet'!$E$13+1,1))-AVERAGE(OFFSET($H$3,0,0,'Données projet'!$E$13+1,1))</f>
        <v>335.83558218229564</v>
      </c>
      <c r="CZ114" s="62">
        <f t="shared" si="96"/>
        <v>217.08423061559648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0.88308483718817143</v>
      </c>
      <c r="DH114" s="23">
        <f>EXP(-LN(2)/2)*DH113+(1-EXP(-LN(2)/2))/(LN(2)/2)*DB114*DE114*VLOOKUP('Données projet'!$B$13,Paramètres!$A$1:$I$89,3,0)*0.475*44/12</f>
        <v>7.108806891831226E-12</v>
      </c>
      <c r="DI114" s="24">
        <f t="shared" si="69"/>
        <v>0.88308483719528019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4.9658410716801891E-14</v>
      </c>
      <c r="P115" s="14">
        <f t="shared" si="87"/>
        <v>8.0934058173791862E-13</v>
      </c>
      <c r="Q115" s="22">
        <f t="shared" si="107"/>
        <v>1.4960899118586383E-12</v>
      </c>
      <c r="R115" s="62">
        <f t="shared" si="55"/>
        <v>293.33333333333479</v>
      </c>
      <c r="S115" s="62">
        <f ca="1">AVERAGE(OFFSET($R$3,0,0,'Données projet'!$E$9+1,1))-AVERAGE(OFFSET($H$3,0,0,'Données projet'!$E$9+1,1))</f>
        <v>321.62968871874483</v>
      </c>
      <c r="T115" s="62">
        <f t="shared" si="88"/>
        <v>389.91636841473559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2.633592176200942</v>
      </c>
      <c r="AB115" s="23">
        <f>EXP(-LN(2)/2)*AB114+(1-EXP(-LN(2)/2))/(LN(2)/2)*V115*Y115*VLOOKUP('Données projet'!$B$9,Paramètres!$A$1:$I$89,3,0)*0.475*44/12</f>
        <v>8.3066461605331557E-12</v>
      </c>
      <c r="AC115" s="24">
        <f t="shared" si="57"/>
        <v>2.6335921762092487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405.09126081846171</v>
      </c>
      <c r="AO115" s="62">
        <f t="shared" si="90"/>
        <v>534.22295841722166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5.196562993297972</v>
      </c>
      <c r="AV115" s="23">
        <f>EXP(-LN(2)/25)*AV114+(1-EXP(-LN(2)/25))/(LN(2)/25)*Calculateur!AQ115*Calculateur!AS115*VLOOKUP('Données projet'!$B$10,Paramètres!$A$1:$I$89,3,0)*0.475*44/12</f>
        <v>2.4592939239726457</v>
      </c>
      <c r="AW115" s="23">
        <f>EXP(-LN(2)/2)*AW114+(1-EXP(-LN(2)/2))/(LN(2)/2)*AQ115*AT115*VLOOKUP('Données projet'!$B$10,Paramètres!$A$1:$I$89,3,0)*0.475*44/12</f>
        <v>5.3838192877023595E-12</v>
      </c>
      <c r="AX115" s="23">
        <f t="shared" si="60"/>
        <v>7.6558569172760018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286.09775999999994</v>
      </c>
      <c r="BF115" s="14">
        <f t="shared" si="91"/>
        <v>68.254020651723678</v>
      </c>
      <c r="BG115" s="22">
        <f t="shared" si="61"/>
        <v>617.16268463508527</v>
      </c>
      <c r="BH115" s="62">
        <f t="shared" si="62"/>
        <v>910.49601796841853</v>
      </c>
      <c r="BI115" s="62">
        <f ca="1">AVERAGE(OFFSET($BH$3,0,0,'Données projet'!$E$11+1,1))-AVERAGE(OFFSET($H$3,0,0,'Données projet'!$E$11+1,1))</f>
        <v>439.06700232017681</v>
      </c>
      <c r="BJ115" s="62">
        <f t="shared" si="92"/>
        <v>278.21741231699929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0.93996861284526678</v>
      </c>
      <c r="BR115" s="23">
        <f>EXP(-LN(2)/2)*BR114+(1-EXP(-LN(2)/2))/(LN(2)/2)*BL115*BO115*VLOOKUP('Données projet'!$B$11,Paramètres!$A$1:$I$89,3,0)*0.475*44/12</f>
        <v>6.7801805219267669E-12</v>
      </c>
      <c r="BS115" s="24">
        <f t="shared" si="63"/>
        <v>0.93996861285204691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305.82863999999995</v>
      </c>
      <c r="CA115" s="14">
        <f t="shared" si="93"/>
        <v>72.396998509767741</v>
      </c>
      <c r="CB115" s="22">
        <f t="shared" si="64"/>
        <v>658.74298707117862</v>
      </c>
      <c r="CC115" s="62">
        <f t="shared" si="65"/>
        <v>952.07632040451199</v>
      </c>
      <c r="CD115" s="62">
        <f ca="1">AVERAGE(OFFSET($CC$3,0,0,'Données projet'!$E$12+1,1))-AVERAGE(OFFSET($H$3,0,0,'Données projet'!$E$12+1,1))</f>
        <v>466.4945858005575</v>
      </c>
      <c r="CE115" s="62">
        <f t="shared" si="94"/>
        <v>294.45557293177131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1.0047940344208031</v>
      </c>
      <c r="CM115" s="23">
        <f>EXP(-LN(2)/2)*CM114+(1-EXP(-LN(2)/2))/(LN(2)/2)*CG115*CJ115*VLOOKUP('Données projet'!$B$12,Paramètres!$A$1:$I$89,3,0)*0.475*44/12</f>
        <v>7.2477791786114067E-12</v>
      </c>
      <c r="CN115" s="24">
        <f t="shared" si="66"/>
        <v>1.0047940344280508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212.10695999999999</v>
      </c>
      <c r="CV115" s="14">
        <f t="shared" si="95"/>
        <v>52.395741612408244</v>
      </c>
      <c r="CW115" s="22">
        <f t="shared" si="67"/>
        <v>460.67553864161101</v>
      </c>
      <c r="CX115" s="62">
        <f t="shared" si="68"/>
        <v>754.00887197494433</v>
      </c>
      <c r="CY115" s="62">
        <f ca="1">AVERAGE(OFFSET($CX$3,0,0,'Données projet'!$E$13+1,1))-AVERAGE(OFFSET($H$3,0,0,'Données projet'!$E$13+1,1))</f>
        <v>335.83558218229564</v>
      </c>
      <c r="CZ115" s="62">
        <f t="shared" si="96"/>
        <v>217.08423061559648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0.85893683587584757</v>
      </c>
      <c r="DH115" s="23">
        <f>EXP(-LN(2)/2)*DH114+(1-EXP(-LN(2)/2))/(LN(2)/2)*DB115*DE115*VLOOKUP('Données projet'!$B$13,Paramètres!$A$1:$I$89,3,0)*0.475*44/12</f>
        <v>5.0266855593595241E-12</v>
      </c>
      <c r="DI115" s="24">
        <f t="shared" si="69"/>
        <v>0.85893683588087422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4.9658410716801891E-14</v>
      </c>
      <c r="P116" s="14">
        <f t="shared" si="87"/>
        <v>8.0934058173791862E-13</v>
      </c>
      <c r="Q116" s="22">
        <f t="shared" si="107"/>
        <v>1.4960899118586383E-12</v>
      </c>
      <c r="R116" s="62">
        <f t="shared" si="55"/>
        <v>293.33333333333479</v>
      </c>
      <c r="S116" s="62">
        <f ca="1">AVERAGE(OFFSET($R$3,0,0,'Données projet'!$E$9+1,1))-AVERAGE(OFFSET($H$3,0,0,'Données projet'!$E$9+1,1))</f>
        <v>321.62968871874483</v>
      </c>
      <c r="T116" s="62">
        <f t="shared" si="88"/>
        <v>389.91636841473559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2.5615764596481339</v>
      </c>
      <c r="AB116" s="23">
        <f>EXP(-LN(2)/2)*AB115+(1-EXP(-LN(2)/2))/(LN(2)/2)*V116*Y116*VLOOKUP('Données projet'!$B$9,Paramètres!$A$1:$I$89,3,0)*0.475*44/12</f>
        <v>5.8736858290301934E-12</v>
      </c>
      <c r="AC116" s="24">
        <f t="shared" si="57"/>
        <v>2.5615764596540074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405.09126081846171</v>
      </c>
      <c r="AO116" s="62">
        <f t="shared" si="90"/>
        <v>534.22295841722166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5.0946615625898533</v>
      </c>
      <c r="AV116" s="23">
        <f>EXP(-LN(2)/25)*AV115+(1-EXP(-LN(2)/25))/(LN(2)/25)*Calculateur!AQ116*Calculateur!AS116*VLOOKUP('Données projet'!$B$10,Paramètres!$A$1:$I$89,3,0)*0.475*44/12</f>
        <v>2.3920444022929672</v>
      </c>
      <c r="AW116" s="23">
        <f>EXP(-LN(2)/2)*AW115+(1-EXP(-LN(2)/2))/(LN(2)/2)*AQ116*AT116*VLOOKUP('Données projet'!$B$10,Paramètres!$A$1:$I$89,3,0)*0.475*44/12</f>
        <v>3.8069351270172665E-12</v>
      </c>
      <c r="AX116" s="23">
        <f t="shared" si="60"/>
        <v>7.4867059648866272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290.25983999999994</v>
      </c>
      <c r="BF116" s="14">
        <f t="shared" si="91"/>
        <v>69.130646003237317</v>
      </c>
      <c r="BG116" s="22">
        <f t="shared" si="61"/>
        <v>625.93842978897146</v>
      </c>
      <c r="BH116" s="62">
        <f t="shared" si="62"/>
        <v>919.27176312230472</v>
      </c>
      <c r="BI116" s="62">
        <f ca="1">AVERAGE(OFFSET($BH$3,0,0,'Données projet'!$E$11+1,1))-AVERAGE(OFFSET($H$3,0,0,'Données projet'!$E$11+1,1))</f>
        <v>439.06700232017681</v>
      </c>
      <c r="BJ116" s="62">
        <f t="shared" si="92"/>
        <v>278.21741231699929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0.91426512169621199</v>
      </c>
      <c r="BR116" s="23">
        <f>EXP(-LN(2)/2)*BR115+(1-EXP(-LN(2)/2))/(LN(2)/2)*BL116*BO116*VLOOKUP('Données projet'!$B$11,Paramètres!$A$1:$I$89,3,0)*0.475*44/12</f>
        <v>4.7943116247233619E-12</v>
      </c>
      <c r="BS116" s="24">
        <f t="shared" si="63"/>
        <v>0.91426512170100627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310.27775999999994</v>
      </c>
      <c r="CA116" s="14">
        <f t="shared" si="93"/>
        <v>73.326834491020819</v>
      </c>
      <c r="CB116" s="22">
        <f t="shared" si="64"/>
        <v>668.11133540519438</v>
      </c>
      <c r="CC116" s="62">
        <f t="shared" si="65"/>
        <v>961.44466873852775</v>
      </c>
      <c r="CD116" s="62">
        <f ca="1">AVERAGE(OFFSET($CC$3,0,0,'Données projet'!$E$12+1,1))-AVERAGE(OFFSET($H$3,0,0,'Données projet'!$E$12+1,1))</f>
        <v>466.4945858005575</v>
      </c>
      <c r="CE116" s="62">
        <f t="shared" si="94"/>
        <v>294.45557293177131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0.97731788870974445</v>
      </c>
      <c r="CM116" s="23">
        <f>EXP(-LN(2)/2)*CM115+(1-EXP(-LN(2)/2))/(LN(2)/2)*CG116*CJ116*VLOOKUP('Données projet'!$B$12,Paramètres!$A$1:$I$89,3,0)*0.475*44/12</f>
        <v>5.1249538057387917E-12</v>
      </c>
      <c r="CN116" s="24">
        <f t="shared" si="66"/>
        <v>0.97731788871486935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215.19263999999998</v>
      </c>
      <c r="CV116" s="14">
        <f t="shared" si="95"/>
        <v>53.068690033178463</v>
      </c>
      <c r="CW116" s="22">
        <f t="shared" si="67"/>
        <v>467.22181647445245</v>
      </c>
      <c r="CX116" s="62">
        <f t="shared" si="68"/>
        <v>760.55514980778571</v>
      </c>
      <c r="CY116" s="62">
        <f ca="1">AVERAGE(OFFSET($CX$3,0,0,'Données projet'!$E$13+1,1))-AVERAGE(OFFSET($H$3,0,0,'Données projet'!$E$13+1,1))</f>
        <v>335.83558218229564</v>
      </c>
      <c r="CZ116" s="62">
        <f t="shared" si="96"/>
        <v>217.08423061559648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0.8354491629292975</v>
      </c>
      <c r="DH116" s="23">
        <f>EXP(-LN(2)/2)*DH115+(1-EXP(-LN(2)/2))/(LN(2)/2)*DB116*DE116*VLOOKUP('Données projet'!$B$13,Paramètres!$A$1:$I$89,3,0)*0.475*44/12</f>
        <v>3.5544034459156134E-12</v>
      </c>
      <c r="DI116" s="24">
        <f t="shared" si="69"/>
        <v>0.83544916293285187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4.9658410716801891E-14</v>
      </c>
      <c r="P117" s="14">
        <f t="shared" si="87"/>
        <v>8.0934058173791862E-13</v>
      </c>
      <c r="Q117" s="22">
        <f t="shared" si="107"/>
        <v>1.4960899118586383E-12</v>
      </c>
      <c r="R117" s="62">
        <f t="shared" si="55"/>
        <v>293.33333333333479</v>
      </c>
      <c r="S117" s="62">
        <f ca="1">AVERAGE(OFFSET($R$3,0,0,'Données projet'!$E$9+1,1))-AVERAGE(OFFSET($H$3,0,0,'Données projet'!$E$9+1,1))</f>
        <v>321.62968871874483</v>
      </c>
      <c r="T117" s="62">
        <f t="shared" si="88"/>
        <v>389.91636841473559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2.4915300166516041</v>
      </c>
      <c r="AB117" s="23">
        <f>EXP(-LN(2)/2)*AB116+(1-EXP(-LN(2)/2))/(LN(2)/2)*V117*Y117*VLOOKUP('Données projet'!$B$9,Paramètres!$A$1:$I$89,3,0)*0.475*44/12</f>
        <v>4.1533230802665779E-12</v>
      </c>
      <c r="AC117" s="24">
        <f t="shared" si="57"/>
        <v>2.4915300166557572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405.09126081846171</v>
      </c>
      <c r="AO117" s="62">
        <f t="shared" si="90"/>
        <v>534.22295841722166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4.9947583567841853</v>
      </c>
      <c r="AV117" s="23">
        <f>EXP(-LN(2)/25)*AV116+(1-EXP(-LN(2)/25))/(LN(2)/25)*Calculateur!AQ117*Calculateur!AS117*VLOOKUP('Données projet'!$B$10,Paramètres!$A$1:$I$89,3,0)*0.475*44/12</f>
        <v>2.326633822320118</v>
      </c>
      <c r="AW117" s="23">
        <f>EXP(-LN(2)/2)*AW116+(1-EXP(-LN(2)/2))/(LN(2)/2)*AQ117*AT117*VLOOKUP('Données projet'!$B$10,Paramètres!$A$1:$I$89,3,0)*0.475*44/12</f>
        <v>2.6919096438511798E-12</v>
      </c>
      <c r="AX117" s="23">
        <f t="shared" si="60"/>
        <v>7.3213921791069954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294.42191999999994</v>
      </c>
      <c r="BF117" s="14">
        <f t="shared" si="91"/>
        <v>70.005809366676559</v>
      </c>
      <c r="BG117" s="22">
        <f t="shared" si="61"/>
        <v>634.71162864696146</v>
      </c>
      <c r="BH117" s="62">
        <f t="shared" si="62"/>
        <v>928.04496198029483</v>
      </c>
      <c r="BI117" s="62">
        <f ca="1">AVERAGE(OFFSET($BH$3,0,0,'Données projet'!$E$11+1,1))-AVERAGE(OFFSET($H$3,0,0,'Données projet'!$E$11+1,1))</f>
        <v>439.06700232017681</v>
      </c>
      <c r="BJ117" s="62">
        <f t="shared" si="92"/>
        <v>278.21741231699929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0.88926449386431594</v>
      </c>
      <c r="BR117" s="23">
        <f>EXP(-LN(2)/2)*BR116+(1-EXP(-LN(2)/2))/(LN(2)/2)*BL117*BO117*VLOOKUP('Données projet'!$B$11,Paramètres!$A$1:$I$89,3,0)*0.475*44/12</f>
        <v>3.3900902609633835E-12</v>
      </c>
      <c r="BS117" s="24">
        <f t="shared" si="63"/>
        <v>0.88926449386770601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314.72687999999999</v>
      </c>
      <c r="CA117" s="14">
        <f t="shared" si="93"/>
        <v>74.255119742405697</v>
      </c>
      <c r="CB117" s="22">
        <f t="shared" si="64"/>
        <v>677.47698288468996</v>
      </c>
      <c r="CC117" s="62">
        <f t="shared" si="65"/>
        <v>970.81031621802322</v>
      </c>
      <c r="CD117" s="62">
        <f ca="1">AVERAGE(OFFSET($CC$3,0,0,'Données projet'!$E$12+1,1))-AVERAGE(OFFSET($H$3,0,0,'Données projet'!$E$12+1,1))</f>
        <v>466.4945858005575</v>
      </c>
      <c r="CE117" s="62">
        <f t="shared" si="94"/>
        <v>294.45557293177131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0.95059307964806239</v>
      </c>
      <c r="CM117" s="23">
        <f>EXP(-LN(2)/2)*CM116+(1-EXP(-LN(2)/2))/(LN(2)/2)*CG117*CJ117*VLOOKUP('Données projet'!$B$12,Paramètres!$A$1:$I$89,3,0)*0.475*44/12</f>
        <v>3.6238895893057042E-12</v>
      </c>
      <c r="CN117" s="24">
        <f t="shared" si="66"/>
        <v>0.95059307965168627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218.27832000000001</v>
      </c>
      <c r="CV117" s="14">
        <f t="shared" si="95"/>
        <v>53.740516147179761</v>
      </c>
      <c r="CW117" s="22">
        <f t="shared" si="67"/>
        <v>473.76613962300468</v>
      </c>
      <c r="CX117" s="62">
        <f t="shared" si="68"/>
        <v>767.09947295633799</v>
      </c>
      <c r="CY117" s="62">
        <f ca="1">AVERAGE(OFFSET($CX$3,0,0,'Données projet'!$E$13+1,1))-AVERAGE(OFFSET($H$3,0,0,'Données projet'!$E$13+1,1))</f>
        <v>335.83558218229564</v>
      </c>
      <c r="CZ117" s="62">
        <f t="shared" si="96"/>
        <v>217.08423061559648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0.81260376163463377</v>
      </c>
      <c r="DH117" s="23">
        <f>EXP(-LN(2)/2)*DH116+(1-EXP(-LN(2)/2))/(LN(2)/2)*DB117*DE117*VLOOKUP('Données projet'!$B$13,Paramètres!$A$1:$I$89,3,0)*0.475*44/12</f>
        <v>2.5133427796797625E-12</v>
      </c>
      <c r="DI117" s="24">
        <f t="shared" si="69"/>
        <v>0.81260376163714709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4.9658410716801891E-14</v>
      </c>
      <c r="P118" s="14">
        <f t="shared" si="87"/>
        <v>8.0934058173791862E-13</v>
      </c>
      <c r="Q118" s="22">
        <f t="shared" si="107"/>
        <v>1.4960899118586383E-12</v>
      </c>
      <c r="R118" s="62">
        <f t="shared" si="55"/>
        <v>293.33333333333479</v>
      </c>
      <c r="S118" s="62">
        <f ca="1">AVERAGE(OFFSET($R$3,0,0,'Données projet'!$E$9+1,1))-AVERAGE(OFFSET($H$3,0,0,'Données projet'!$E$9+1,1))</f>
        <v>321.62968871874483</v>
      </c>
      <c r="T118" s="62">
        <f t="shared" si="88"/>
        <v>389.91636841473559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2.4233989973223968</v>
      </c>
      <c r="AB118" s="23">
        <f>EXP(-LN(2)/2)*AB117+(1-EXP(-LN(2)/2))/(LN(2)/2)*V118*Y118*VLOOKUP('Données projet'!$B$9,Paramètres!$A$1:$I$89,3,0)*0.475*44/12</f>
        <v>2.9368429145150967E-12</v>
      </c>
      <c r="AC118" s="24">
        <f t="shared" si="57"/>
        <v>2.4233989973253336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405.09126081846171</v>
      </c>
      <c r="AO118" s="62">
        <f t="shared" si="90"/>
        <v>534.22295841722166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4.8968141919094279</v>
      </c>
      <c r="AV118" s="23">
        <f>EXP(-LN(2)/25)*AV117+(1-EXP(-LN(2)/25))/(LN(2)/25)*Calculateur!AQ118*Calculateur!AS118*VLOOKUP('Données projet'!$B$10,Paramètres!$A$1:$I$89,3,0)*0.475*44/12</f>
        <v>2.2630118980964191</v>
      </c>
      <c r="AW118" s="23">
        <f>EXP(-LN(2)/2)*AW117+(1-EXP(-LN(2)/2))/(LN(2)/2)*AQ118*AT118*VLOOKUP('Données projet'!$B$10,Paramètres!$A$1:$I$89,3,0)*0.475*44/12</f>
        <v>1.9034675635086332E-12</v>
      </c>
      <c r="AX118" s="23">
        <f t="shared" si="60"/>
        <v>7.1598260900077504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298.58399999999995</v>
      </c>
      <c r="BF118" s="14">
        <f t="shared" si="91"/>
        <v>70.879533797607607</v>
      </c>
      <c r="BG118" s="22">
        <f t="shared" si="61"/>
        <v>643.48232136416652</v>
      </c>
      <c r="BH118" s="62">
        <f t="shared" si="62"/>
        <v>936.81565469749989</v>
      </c>
      <c r="BI118" s="62">
        <f ca="1">AVERAGE(OFFSET($BH$3,0,0,'Données projet'!$E$11+1,1))-AVERAGE(OFFSET($H$3,0,0,'Données projet'!$E$11+1,1))</f>
        <v>439.06700232017681</v>
      </c>
      <c r="BJ118" s="62">
        <f t="shared" si="92"/>
        <v>278.21741231699929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0.86494750951520893</v>
      </c>
      <c r="BR118" s="23">
        <f>EXP(-LN(2)/2)*BR117+(1-EXP(-LN(2)/2))/(LN(2)/2)*BL118*BO118*VLOOKUP('Données projet'!$B$11,Paramètres!$A$1:$I$89,3,0)*0.475*44/12</f>
        <v>2.397155812361681E-12</v>
      </c>
      <c r="BS118" s="24">
        <f t="shared" si="63"/>
        <v>0.86494750951760613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319.17599999999999</v>
      </c>
      <c r="CA118" s="14">
        <f t="shared" si="93"/>
        <v>75.181878718947672</v>
      </c>
      <c r="CB118" s="22">
        <f t="shared" si="64"/>
        <v>686.83997210216705</v>
      </c>
      <c r="CC118" s="62">
        <f t="shared" si="65"/>
        <v>980.17330543550042</v>
      </c>
      <c r="CD118" s="62">
        <f ca="1">AVERAGE(OFFSET($CC$3,0,0,'Données projet'!$E$12+1,1))-AVERAGE(OFFSET($H$3,0,0,'Données projet'!$E$12+1,1))</f>
        <v>466.4945858005575</v>
      </c>
      <c r="CE118" s="62">
        <f t="shared" si="94"/>
        <v>294.45557293177131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0.92459906189556862</v>
      </c>
      <c r="CM118" s="23">
        <f>EXP(-LN(2)/2)*CM117+(1-EXP(-LN(2)/2))/(LN(2)/2)*CG118*CJ118*VLOOKUP('Données projet'!$B$12,Paramètres!$A$1:$I$89,3,0)*0.475*44/12</f>
        <v>2.5624769028693963E-12</v>
      </c>
      <c r="CN118" s="24">
        <f t="shared" si="66"/>
        <v>0.92459906189813112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221.364</v>
      </c>
      <c r="CV118" s="14">
        <f t="shared" si="95"/>
        <v>54.411237653200793</v>
      </c>
      <c r="CW118" s="22">
        <f t="shared" si="67"/>
        <v>480.30853891265809</v>
      </c>
      <c r="CX118" s="62">
        <f t="shared" si="68"/>
        <v>773.64187224599141</v>
      </c>
      <c r="CY118" s="62">
        <f ca="1">AVERAGE(OFFSET($CX$3,0,0,'Données projet'!$E$13+1,1))-AVERAGE(OFFSET($H$3,0,0,'Données projet'!$E$13+1,1))</f>
        <v>335.83558218229564</v>
      </c>
      <c r="CZ118" s="62">
        <f t="shared" si="96"/>
        <v>217.08423061559648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0.79038306903976008</v>
      </c>
      <c r="DH118" s="23">
        <f>EXP(-LN(2)/2)*DH117+(1-EXP(-LN(2)/2))/(LN(2)/2)*DB118*DE118*VLOOKUP('Données projet'!$B$13,Paramètres!$A$1:$I$89,3,0)*0.475*44/12</f>
        <v>1.7772017229578071E-12</v>
      </c>
      <c r="DI118" s="24">
        <f t="shared" si="69"/>
        <v>0.79038306904153732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4.9658410716801891E-14</v>
      </c>
      <c r="P119" s="14">
        <f t="shared" si="87"/>
        <v>8.0934058173791862E-13</v>
      </c>
      <c r="Q119" s="22">
        <f t="shared" si="107"/>
        <v>1.4960899118586383E-12</v>
      </c>
      <c r="R119" s="62">
        <f t="shared" si="55"/>
        <v>293.33333333333479</v>
      </c>
      <c r="S119" s="62">
        <f ca="1">AVERAGE(OFFSET($R$3,0,0,'Données projet'!$E$9+1,1))-AVERAGE(OFFSET($H$3,0,0,'Données projet'!$E$9+1,1))</f>
        <v>321.62968871874483</v>
      </c>
      <c r="T119" s="62">
        <f t="shared" si="88"/>
        <v>389.91636841473559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2.3571310242996013</v>
      </c>
      <c r="AB119" s="23">
        <f>EXP(-LN(2)/2)*AB118+(1-EXP(-LN(2)/2))/(LN(2)/2)*V119*Y119*VLOOKUP('Données projet'!$B$9,Paramètres!$A$1:$I$89,3,0)*0.475*44/12</f>
        <v>2.0766615401332889E-12</v>
      </c>
      <c r="AC119" s="24">
        <f t="shared" si="57"/>
        <v>2.3571310243016779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405.09126081846171</v>
      </c>
      <c r="AO119" s="62">
        <f t="shared" si="90"/>
        <v>534.22295841722166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4.800790652367823</v>
      </c>
      <c r="AV119" s="23">
        <f>EXP(-LN(2)/25)*AV118+(1-EXP(-LN(2)/25))/(LN(2)/25)*Calculateur!AQ119*Calculateur!AS119*VLOOKUP('Données projet'!$B$10,Paramètres!$A$1:$I$89,3,0)*0.475*44/12</f>
        <v>2.201129718736349</v>
      </c>
      <c r="AW119" s="23">
        <f>EXP(-LN(2)/2)*AW118+(1-EXP(-LN(2)/2))/(LN(2)/2)*AQ119*AT119*VLOOKUP('Données projet'!$B$10,Paramètres!$A$1:$I$89,3,0)*0.475*44/12</f>
        <v>1.3459548219255899E-12</v>
      </c>
      <c r="AX119" s="23">
        <f t="shared" si="60"/>
        <v>7.0019203711055171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439.06700232017681</v>
      </c>
      <c r="BJ119" s="62">
        <f t="shared" si="92"/>
        <v>278.21741231699929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0.84129547438190289</v>
      </c>
      <c r="BR119" s="23">
        <f>EXP(-LN(2)/2)*BR118+(1-EXP(-LN(2)/2))/(LN(2)/2)*BL119*BO119*VLOOKUP('Données projet'!$B$11,Paramètres!$A$1:$I$89,3,0)*0.475*44/12</f>
        <v>1.6950451304816917E-12</v>
      </c>
      <c r="BS119" s="24">
        <f t="shared" si="63"/>
        <v>0.84129547438359797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466.4945858005575</v>
      </c>
      <c r="CE119" s="62">
        <f t="shared" si="94"/>
        <v>294.45557293177131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0.8993158519254828</v>
      </c>
      <c r="CM119" s="23">
        <f>EXP(-LN(2)/2)*CM118+(1-EXP(-LN(2)/2))/(LN(2)/2)*CG119*CJ119*VLOOKUP('Données projet'!$B$12,Paramètres!$A$1:$I$89,3,0)*0.475*44/12</f>
        <v>1.8119447946528523E-12</v>
      </c>
      <c r="CN119" s="24">
        <f t="shared" si="66"/>
        <v>0.8993158519272948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335.83558218229564</v>
      </c>
      <c r="CZ119" s="62">
        <f t="shared" si="96"/>
        <v>217.08423061559648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0.76877000245242866</v>
      </c>
      <c r="DH119" s="23">
        <f>EXP(-LN(2)/2)*DH118+(1-EXP(-LN(2)/2))/(LN(2)/2)*DB119*DE119*VLOOKUP('Données projet'!$B$13,Paramètres!$A$1:$I$89,3,0)*0.475*44/12</f>
        <v>1.2566713898398814E-12</v>
      </c>
      <c r="DI119" s="24">
        <f t="shared" si="69"/>
        <v>0.76877000245368532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4.9658410716801891E-14</v>
      </c>
      <c r="P120" s="14">
        <f t="shared" si="87"/>
        <v>8.0934058173791862E-13</v>
      </c>
      <c r="Q120" s="22">
        <f t="shared" si="107"/>
        <v>1.4960899118586383E-12</v>
      </c>
      <c r="R120" s="62">
        <f t="shared" si="55"/>
        <v>293.33333333333479</v>
      </c>
      <c r="S120" s="62">
        <f ca="1">AVERAGE(OFFSET($R$3,0,0,'Données projet'!$E$9+1,1))-AVERAGE(OFFSET($H$3,0,0,'Données projet'!$E$9+1,1))</f>
        <v>321.62968871874483</v>
      </c>
      <c r="T120" s="62">
        <f t="shared" si="88"/>
        <v>389.91636841473559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2.2926751524839952</v>
      </c>
      <c r="AB120" s="23">
        <f>EXP(-LN(2)/2)*AB119+(1-EXP(-LN(2)/2))/(LN(2)/2)*V120*Y120*VLOOKUP('Données projet'!$B$9,Paramètres!$A$1:$I$89,3,0)*0.475*44/12</f>
        <v>1.4684214572575483E-12</v>
      </c>
      <c r="AC120" s="24">
        <f t="shared" si="57"/>
        <v>2.2926751524854638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405.09126081846171</v>
      </c>
      <c r="AO120" s="62">
        <f t="shared" si="90"/>
        <v>534.22295841722166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4.706650075868053</v>
      </c>
      <c r="AV120" s="23">
        <f>EXP(-LN(2)/25)*AV119+(1-EXP(-LN(2)/25))/(LN(2)/25)*Calculateur!AQ120*Calculateur!AS120*VLOOKUP('Données projet'!$B$10,Paramètres!$A$1:$I$89,3,0)*0.475*44/12</f>
        <v>2.1409397108251222</v>
      </c>
      <c r="AW120" s="23">
        <f>EXP(-LN(2)/2)*AW119+(1-EXP(-LN(2)/2))/(LN(2)/2)*AQ120*AT120*VLOOKUP('Données projet'!$B$10,Paramètres!$A$1:$I$89,3,0)*0.475*44/12</f>
        <v>9.5173378175431662E-13</v>
      </c>
      <c r="AX120" s="23">
        <f t="shared" si="60"/>
        <v>6.8475897866941278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439.06700232017681</v>
      </c>
      <c r="BJ120" s="62">
        <f t="shared" si="92"/>
        <v>278.21741231699929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0.81829020539312358</v>
      </c>
      <c r="BR120" s="23">
        <f>EXP(-LN(2)/2)*BR119+(1-EXP(-LN(2)/2))/(LN(2)/2)*BL120*BO120*VLOOKUP('Données projet'!$B$11,Paramètres!$A$1:$I$89,3,0)*0.475*44/12</f>
        <v>1.1985779061808405E-12</v>
      </c>
      <c r="BS120" s="24">
        <f t="shared" si="63"/>
        <v>0.81829020539432218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466.4945858005575</v>
      </c>
      <c r="CE120" s="62">
        <f t="shared" si="94"/>
        <v>294.45557293177131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0.87472401266161526</v>
      </c>
      <c r="CM120" s="23">
        <f>EXP(-LN(2)/2)*CM119+(1-EXP(-LN(2)/2))/(LN(2)/2)*CG120*CJ120*VLOOKUP('Données projet'!$B$12,Paramètres!$A$1:$I$89,3,0)*0.475*44/12</f>
        <v>1.2812384514346983E-12</v>
      </c>
      <c r="CN120" s="24">
        <f t="shared" si="66"/>
        <v>0.87472401266289646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335.83558218229564</v>
      </c>
      <c r="CZ120" s="62">
        <f t="shared" si="96"/>
        <v>217.08423061559648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0.74774794630750963</v>
      </c>
      <c r="DH120" s="23">
        <f>EXP(-LN(2)/2)*DH119+(1-EXP(-LN(2)/2))/(LN(2)/2)*DB120*DE120*VLOOKUP('Données projet'!$B$13,Paramètres!$A$1:$I$89,3,0)*0.475*44/12</f>
        <v>8.8860086147890366E-13</v>
      </c>
      <c r="DI120" s="24">
        <f t="shared" si="69"/>
        <v>0.74774794630839825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4.9658410716801891E-14</v>
      </c>
      <c r="P121" s="14">
        <f t="shared" si="87"/>
        <v>8.0934058173791862E-13</v>
      </c>
      <c r="Q121" s="22">
        <f t="shared" si="107"/>
        <v>1.4960899118586383E-12</v>
      </c>
      <c r="R121" s="62">
        <f t="shared" si="55"/>
        <v>293.33333333333479</v>
      </c>
      <c r="S121" s="62">
        <f ca="1">AVERAGE(OFFSET($R$3,0,0,'Données projet'!$E$9+1,1))-AVERAGE(OFFSET($H$3,0,0,'Données projet'!$E$9+1,1))</f>
        <v>321.62968871874483</v>
      </c>
      <c r="T121" s="62">
        <f t="shared" si="88"/>
        <v>389.91636841473559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2.229981829872774</v>
      </c>
      <c r="AB121" s="23">
        <f>EXP(-LN(2)/2)*AB120+(1-EXP(-LN(2)/2))/(LN(2)/2)*V121*Y121*VLOOKUP('Données projet'!$B$9,Paramètres!$A$1:$I$89,3,0)*0.475*44/12</f>
        <v>1.0383307700666445E-12</v>
      </c>
      <c r="AC121" s="24">
        <f t="shared" si="57"/>
        <v>2.2299818298738123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405.09126081846171</v>
      </c>
      <c r="AO121" s="62">
        <f t="shared" si="90"/>
        <v>534.22295841722166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4.6143555386533617</v>
      </c>
      <c r="AV121" s="23">
        <f>EXP(-LN(2)/25)*AV120+(1-EXP(-LN(2)/25))/(LN(2)/25)*Calculateur!AQ121*Calculateur!AS121*VLOOKUP('Données projet'!$B$10,Paramètres!$A$1:$I$89,3,0)*0.475*44/12</f>
        <v>2.0823956018454832</v>
      </c>
      <c r="AW121" s="23">
        <f>EXP(-LN(2)/2)*AW120+(1-EXP(-LN(2)/2))/(LN(2)/2)*AQ121*AT121*VLOOKUP('Données projet'!$B$10,Paramètres!$A$1:$I$89,3,0)*0.475*44/12</f>
        <v>6.7297741096279494E-13</v>
      </c>
      <c r="AX121" s="23">
        <f t="shared" si="60"/>
        <v>6.6967511404995186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439.06700232017681</v>
      </c>
      <c r="BJ121" s="62">
        <f t="shared" si="92"/>
        <v>278.21741231699929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0.79591401669463691</v>
      </c>
      <c r="BR121" s="23">
        <f>EXP(-LN(2)/2)*BR120+(1-EXP(-LN(2)/2))/(LN(2)/2)*BL121*BO121*VLOOKUP('Données projet'!$B$11,Paramètres!$A$1:$I$89,3,0)*0.475*44/12</f>
        <v>8.4752256524084587E-13</v>
      </c>
      <c r="BS121" s="24">
        <f t="shared" si="63"/>
        <v>0.79591401669548445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466.4945858005575</v>
      </c>
      <c r="CE121" s="62">
        <f t="shared" si="94"/>
        <v>294.45557293177131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0.85080463853564681</v>
      </c>
      <c r="CM121" s="23">
        <f>EXP(-LN(2)/2)*CM120+(1-EXP(-LN(2)/2))/(LN(2)/2)*CG121*CJ121*VLOOKUP('Données projet'!$B$12,Paramètres!$A$1:$I$89,3,0)*0.475*44/12</f>
        <v>9.0597239732642634E-13</v>
      </c>
      <c r="CN121" s="24">
        <f t="shared" si="66"/>
        <v>0.85080463853655275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335.83558218229564</v>
      </c>
      <c r="CZ121" s="62">
        <f t="shared" si="96"/>
        <v>217.08423061559648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0.72730073939337525</v>
      </c>
      <c r="DH121" s="23">
        <f>EXP(-LN(2)/2)*DH120+(1-EXP(-LN(2)/2))/(LN(2)/2)*DB121*DE121*VLOOKUP('Données projet'!$B$13,Paramètres!$A$1:$I$89,3,0)*0.475*44/12</f>
        <v>6.2833569491994082E-13</v>
      </c>
      <c r="DI121" s="24">
        <f t="shared" si="69"/>
        <v>0.72730073939400364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4.9658410716801891E-14</v>
      </c>
      <c r="P122" s="14">
        <f t="shared" si="87"/>
        <v>8.0934058173791862E-13</v>
      </c>
      <c r="Q122" s="22">
        <f t="shared" si="107"/>
        <v>1.4960899118586383E-12</v>
      </c>
      <c r="R122" s="62">
        <f t="shared" si="55"/>
        <v>293.33333333333479</v>
      </c>
      <c r="S122" s="62">
        <f ca="1">AVERAGE(OFFSET($R$3,0,0,'Données projet'!$E$9+1,1))-AVERAGE(OFFSET($H$3,0,0,'Données projet'!$E$9+1,1))</f>
        <v>321.62968871874483</v>
      </c>
      <c r="T122" s="62">
        <f t="shared" si="88"/>
        <v>389.91636841473559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2.1690028594652553</v>
      </c>
      <c r="AB122" s="23">
        <f>EXP(-LN(2)/2)*AB121+(1-EXP(-LN(2)/2))/(LN(2)/2)*V122*Y122*VLOOKUP('Données projet'!$B$9,Paramètres!$A$1:$I$89,3,0)*0.475*44/12</f>
        <v>7.3421072862877417E-13</v>
      </c>
      <c r="AC122" s="24">
        <f t="shared" si="57"/>
        <v>2.1690028594659894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405.09126081846171</v>
      </c>
      <c r="AO122" s="62">
        <f t="shared" si="90"/>
        <v>534.22295841722166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4.5238708410193409</v>
      </c>
      <c r="AV122" s="23">
        <f>EXP(-LN(2)/25)*AV121+(1-EXP(-LN(2)/25))/(LN(2)/25)*Calculateur!AQ122*Calculateur!AS122*VLOOKUP('Données projet'!$B$10,Paramètres!$A$1:$I$89,3,0)*0.475*44/12</f>
        <v>2.0254523846045931</v>
      </c>
      <c r="AW122" s="23">
        <f>EXP(-LN(2)/2)*AW121+(1-EXP(-LN(2)/2))/(LN(2)/2)*AQ122*AT122*VLOOKUP('Données projet'!$B$10,Paramètres!$A$1:$I$89,3,0)*0.475*44/12</f>
        <v>4.7586689087715831E-13</v>
      </c>
      <c r="AX122" s="23">
        <f t="shared" si="60"/>
        <v>6.54932322562441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439.06700232017681</v>
      </c>
      <c r="BJ122" s="62">
        <f t="shared" si="92"/>
        <v>278.21741231699929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0.77414970605282296</v>
      </c>
      <c r="BR122" s="23">
        <f>EXP(-LN(2)/2)*BR121+(1-EXP(-LN(2)/2))/(LN(2)/2)*BL122*BO122*VLOOKUP('Données projet'!$B$11,Paramètres!$A$1:$I$89,3,0)*0.475*44/12</f>
        <v>5.9928895309042024E-13</v>
      </c>
      <c r="BS122" s="24">
        <f t="shared" si="63"/>
        <v>0.77414970605342226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466.4945858005575</v>
      </c>
      <c r="CE122" s="62">
        <f t="shared" si="94"/>
        <v>294.45557293177131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0.82753934095301818</v>
      </c>
      <c r="CM122" s="23">
        <f>EXP(-LN(2)/2)*CM121+(1-EXP(-LN(2)/2))/(LN(2)/2)*CG122*CJ122*VLOOKUP('Données projet'!$B$12,Paramètres!$A$1:$I$89,3,0)*0.475*44/12</f>
        <v>6.4061922571734927E-13</v>
      </c>
      <c r="CN122" s="24">
        <f t="shared" si="66"/>
        <v>0.82753934095365878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335.83558218229564</v>
      </c>
      <c r="CZ122" s="62">
        <f t="shared" si="96"/>
        <v>217.08423061559648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0.70741266242757983</v>
      </c>
      <c r="DH122" s="23">
        <f>EXP(-LN(2)/2)*DH121+(1-EXP(-LN(2)/2))/(LN(2)/2)*DB122*DE122*VLOOKUP('Données projet'!$B$13,Paramètres!$A$1:$I$89,3,0)*0.475*44/12</f>
        <v>4.4430043073945188E-13</v>
      </c>
      <c r="DI122" s="24">
        <f t="shared" si="69"/>
        <v>0.70741266242802414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4.9658410716801891E-14</v>
      </c>
      <c r="P123" s="14">
        <f t="shared" si="87"/>
        <v>8.0934058173791862E-13</v>
      </c>
      <c r="Q123" s="22">
        <f t="shared" si="107"/>
        <v>1.4960899118586383E-12</v>
      </c>
      <c r="R123" s="62">
        <f t="shared" si="55"/>
        <v>293.33333333333479</v>
      </c>
      <c r="S123" s="62">
        <f ca="1">AVERAGE(OFFSET($R$3,0,0,'Données projet'!$E$9+1,1))-AVERAGE(OFFSET($H$3,0,0,'Données projet'!$E$9+1,1))</f>
        <v>321.62968871874483</v>
      </c>
      <c r="T123" s="62">
        <f t="shared" si="88"/>
        <v>389.91636841473559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2.1096913622102749</v>
      </c>
      <c r="AB123" s="23">
        <f>EXP(-LN(2)/2)*AB122+(1-EXP(-LN(2)/2))/(LN(2)/2)*V123*Y123*VLOOKUP('Données projet'!$B$9,Paramètres!$A$1:$I$89,3,0)*0.475*44/12</f>
        <v>5.1916538503332223E-13</v>
      </c>
      <c r="AC123" s="24">
        <f t="shared" si="57"/>
        <v>2.109691362210794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405.09126081846171</v>
      </c>
      <c r="AO123" s="62">
        <f t="shared" si="90"/>
        <v>534.22295841722166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4.4351604931157071</v>
      </c>
      <c r="AV123" s="23">
        <f>EXP(-LN(2)/25)*AV122+(1-EXP(-LN(2)/25))/(LN(2)/25)*Calculateur!AQ123*Calculateur!AS123*VLOOKUP('Données projet'!$B$10,Paramètres!$A$1:$I$89,3,0)*0.475*44/12</f>
        <v>1.9700662826336688</v>
      </c>
      <c r="AW123" s="23">
        <f>EXP(-LN(2)/2)*AW122+(1-EXP(-LN(2)/2))/(LN(2)/2)*AQ123*AT123*VLOOKUP('Données projet'!$B$10,Paramètres!$A$1:$I$89,3,0)*0.475*44/12</f>
        <v>3.3648870548139747E-13</v>
      </c>
      <c r="AX123" s="23">
        <f t="shared" si="60"/>
        <v>6.4052267757497123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439.06700232017681</v>
      </c>
      <c r="BJ123" s="62">
        <f t="shared" si="92"/>
        <v>278.21741231699929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0.7529805416300448</v>
      </c>
      <c r="BR123" s="23">
        <f>EXP(-LN(2)/2)*BR122+(1-EXP(-LN(2)/2))/(LN(2)/2)*BL123*BO123*VLOOKUP('Données projet'!$B$11,Paramètres!$A$1:$I$89,3,0)*0.475*44/12</f>
        <v>4.2376128262042293E-13</v>
      </c>
      <c r="BS123" s="24">
        <f t="shared" si="63"/>
        <v>0.75298054163046857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466.4945858005575</v>
      </c>
      <c r="CE123" s="62">
        <f t="shared" si="94"/>
        <v>294.45557293177131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0.80491023415625529</v>
      </c>
      <c r="CM123" s="23">
        <f>EXP(-LN(2)/2)*CM122+(1-EXP(-LN(2)/2))/(LN(2)/2)*CG123*CJ123*VLOOKUP('Données projet'!$B$12,Paramètres!$A$1:$I$89,3,0)*0.475*44/12</f>
        <v>4.5298619866321322E-13</v>
      </c>
      <c r="CN123" s="24">
        <f t="shared" si="66"/>
        <v>0.80491023415670826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335.83558218229564</v>
      </c>
      <c r="CZ123" s="62">
        <f t="shared" si="96"/>
        <v>217.08423061559648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0.68806842597228257</v>
      </c>
      <c r="DH123" s="23">
        <f>EXP(-LN(2)/2)*DH122+(1-EXP(-LN(2)/2))/(LN(2)/2)*DB123*DE123*VLOOKUP('Données projet'!$B$13,Paramètres!$A$1:$I$89,3,0)*0.475*44/12</f>
        <v>3.1416784745997046E-13</v>
      </c>
      <c r="DI123" s="24">
        <f t="shared" si="69"/>
        <v>0.68806842597259676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4.9658410716801891E-14</v>
      </c>
      <c r="P124" s="14">
        <f t="shared" si="87"/>
        <v>8.0934058173791862E-13</v>
      </c>
      <c r="Q124" s="22">
        <f t="shared" si="107"/>
        <v>1.4960899118586383E-12</v>
      </c>
      <c r="R124" s="62">
        <f t="shared" si="55"/>
        <v>293.33333333333479</v>
      </c>
      <c r="S124" s="62">
        <f ca="1">AVERAGE(OFFSET($R$3,0,0,'Données projet'!$E$9+1,1))-AVERAGE(OFFSET($H$3,0,0,'Données projet'!$E$9+1,1))</f>
        <v>321.62968871874483</v>
      </c>
      <c r="T124" s="62">
        <f t="shared" si="88"/>
        <v>389.91636841473559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2.0520017409667881</v>
      </c>
      <c r="AB124" s="23">
        <f>EXP(-LN(2)/2)*AB123+(1-EXP(-LN(2)/2))/(LN(2)/2)*V124*Y124*VLOOKUP('Données projet'!$B$9,Paramètres!$A$1:$I$89,3,0)*0.475*44/12</f>
        <v>3.6710536431438709E-13</v>
      </c>
      <c r="AC124" s="24">
        <f t="shared" si="57"/>
        <v>2.0520017409671554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405.09126081846171</v>
      </c>
      <c r="AO124" s="62">
        <f t="shared" si="90"/>
        <v>534.22295841722166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4.3481897010264943</v>
      </c>
      <c r="AV124" s="23">
        <f>EXP(-LN(2)/25)*AV123+(1-EXP(-LN(2)/25))/(LN(2)/25)*Calculateur!AQ124*Calculateur!AS124*VLOOKUP('Données projet'!$B$10,Paramètres!$A$1:$I$89,3,0)*0.475*44/12</f>
        <v>1.916194716533768</v>
      </c>
      <c r="AW124" s="23">
        <f>EXP(-LN(2)/2)*AW123+(1-EXP(-LN(2)/2))/(LN(2)/2)*AQ124*AT124*VLOOKUP('Données projet'!$B$10,Paramètres!$A$1:$I$89,3,0)*0.475*44/12</f>
        <v>2.3793344543857915E-13</v>
      </c>
      <c r="AX124" s="23">
        <f t="shared" si="60"/>
        <v>6.2643844175605006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439.06700232017681</v>
      </c>
      <c r="BJ124" s="62">
        <f t="shared" si="92"/>
        <v>278.21741231699929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0.73239024912164552</v>
      </c>
      <c r="BR124" s="23">
        <f>EXP(-LN(2)/2)*BR123+(1-EXP(-LN(2)/2))/(LN(2)/2)*BL124*BO124*VLOOKUP('Données projet'!$B$11,Paramètres!$A$1:$I$89,3,0)*0.475*44/12</f>
        <v>2.9964447654521012E-13</v>
      </c>
      <c r="BS124" s="24">
        <f t="shared" si="63"/>
        <v>0.73239024912194517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466.4945858005575</v>
      </c>
      <c r="CE124" s="62">
        <f t="shared" si="94"/>
        <v>294.45557293177131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0.78289992147486287</v>
      </c>
      <c r="CM124" s="23">
        <f>EXP(-LN(2)/2)*CM123+(1-EXP(-LN(2)/2))/(LN(2)/2)*CG124*CJ124*VLOOKUP('Données projet'!$B$12,Paramètres!$A$1:$I$89,3,0)*0.475*44/12</f>
        <v>3.2030961285867469E-13</v>
      </c>
      <c r="CN124" s="24">
        <f t="shared" si="66"/>
        <v>0.78289992147518317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335.83558218229564</v>
      </c>
      <c r="CZ124" s="62">
        <f t="shared" si="96"/>
        <v>217.08423061559648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0.66925315868012458</v>
      </c>
      <c r="DH124" s="23">
        <f>EXP(-LN(2)/2)*DH123+(1-EXP(-LN(2)/2))/(LN(2)/2)*DB124*DE124*VLOOKUP('Données projet'!$B$13,Paramètres!$A$1:$I$89,3,0)*0.475*44/12</f>
        <v>2.2215021536972599E-13</v>
      </c>
      <c r="DI124" s="24">
        <f t="shared" si="69"/>
        <v>0.66925315868034674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4.9658410716801891E-14</v>
      </c>
      <c r="P125" s="14">
        <f t="shared" si="87"/>
        <v>8.0934058173791862E-13</v>
      </c>
      <c r="Q125" s="22">
        <f t="shared" si="107"/>
        <v>1.4960899118586383E-12</v>
      </c>
      <c r="R125" s="62">
        <f t="shared" si="55"/>
        <v>293.33333333333479</v>
      </c>
      <c r="S125" s="62">
        <f ca="1">AVERAGE(OFFSET($R$3,0,0,'Données projet'!$E$9+1,1))-AVERAGE(OFFSET($H$3,0,0,'Données projet'!$E$9+1,1))</f>
        <v>321.62968871874483</v>
      </c>
      <c r="T125" s="62">
        <f t="shared" si="88"/>
        <v>389.91636841473559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1.9958896454499697</v>
      </c>
      <c r="AB125" s="23">
        <f>EXP(-LN(2)/2)*AB124+(1-EXP(-LN(2)/2))/(LN(2)/2)*V125*Y125*VLOOKUP('Données projet'!$B$9,Paramètres!$A$1:$I$89,3,0)*0.475*44/12</f>
        <v>2.5958269251666112E-13</v>
      </c>
      <c r="AC125" s="24">
        <f t="shared" si="57"/>
        <v>1.9958896454502293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405.09126081846171</v>
      </c>
      <c r="AO125" s="62">
        <f t="shared" si="90"/>
        <v>534.22295841722166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4.2629243531232062</v>
      </c>
      <c r="AV125" s="23">
        <f>EXP(-LN(2)/25)*AV124+(1-EXP(-LN(2)/25))/(LN(2)/25)*Calculateur!AQ125*Calculateur!AS125*VLOOKUP('Données projet'!$B$10,Paramètres!$A$1:$I$89,3,0)*0.475*44/12</f>
        <v>1.8637962712418514</v>
      </c>
      <c r="AW125" s="23">
        <f>EXP(-LN(2)/2)*AW124+(1-EXP(-LN(2)/2))/(LN(2)/2)*AQ125*AT125*VLOOKUP('Données projet'!$B$10,Paramètres!$A$1:$I$89,3,0)*0.475*44/12</f>
        <v>1.6824435274069874E-13</v>
      </c>
      <c r="AX125" s="23">
        <f t="shared" si="60"/>
        <v>6.1267206243652259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439.06700232017681</v>
      </c>
      <c r="BJ125" s="62">
        <f t="shared" si="92"/>
        <v>278.21741231699929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0.71236299924468482</v>
      </c>
      <c r="BR125" s="23">
        <f>EXP(-LN(2)/2)*BR124+(1-EXP(-LN(2)/2))/(LN(2)/2)*BL125*BO125*VLOOKUP('Données projet'!$B$11,Paramètres!$A$1:$I$89,3,0)*0.475*44/12</f>
        <v>2.1188064131021147E-13</v>
      </c>
      <c r="BS125" s="24">
        <f t="shared" si="63"/>
        <v>0.71236299924489666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466.4945858005575</v>
      </c>
      <c r="CE125" s="62">
        <f t="shared" si="94"/>
        <v>294.45557293177131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0.76149148195121519</v>
      </c>
      <c r="CM125" s="23">
        <f>EXP(-LN(2)/2)*CM124+(1-EXP(-LN(2)/2))/(LN(2)/2)*CG125*CJ125*VLOOKUP('Données projet'!$B$12,Paramètres!$A$1:$I$89,3,0)*0.475*44/12</f>
        <v>2.2649309933160664E-13</v>
      </c>
      <c r="CN125" s="24">
        <f t="shared" si="66"/>
        <v>0.76149148195144167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335.83558218229564</v>
      </c>
      <c r="CZ125" s="62">
        <f t="shared" si="96"/>
        <v>217.08423061559648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0.65095239586152254</v>
      </c>
      <c r="DH125" s="23">
        <f>EXP(-LN(2)/2)*DH124+(1-EXP(-LN(2)/2))/(LN(2)/2)*DB125*DE125*VLOOKUP('Données projet'!$B$13,Paramètres!$A$1:$I$89,3,0)*0.475*44/12</f>
        <v>1.5708392372998525E-13</v>
      </c>
      <c r="DI125" s="24">
        <f t="shared" si="69"/>
        <v>0.65095239586167963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4.9658410716801891E-14</v>
      </c>
      <c r="P126" s="14">
        <f t="shared" si="87"/>
        <v>8.0934058173791862E-13</v>
      </c>
      <c r="Q126" s="22">
        <f t="shared" si="107"/>
        <v>1.4960899118586383E-12</v>
      </c>
      <c r="R126" s="62">
        <f t="shared" si="55"/>
        <v>293.33333333333479</v>
      </c>
      <c r="S126" s="62">
        <f ca="1">AVERAGE(OFFSET($R$3,0,0,'Données projet'!$E$9+1,1))-AVERAGE(OFFSET($H$3,0,0,'Données projet'!$E$9+1,1))</f>
        <v>321.62968871874483</v>
      </c>
      <c r="T126" s="62">
        <f t="shared" si="88"/>
        <v>389.91636841473559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1.9413119381358654</v>
      </c>
      <c r="AB126" s="23">
        <f>EXP(-LN(2)/2)*AB125+(1-EXP(-LN(2)/2))/(LN(2)/2)*V126*Y126*VLOOKUP('Données projet'!$B$9,Paramètres!$A$1:$I$89,3,0)*0.475*44/12</f>
        <v>1.8355268215719354E-13</v>
      </c>
      <c r="AC126" s="24">
        <f t="shared" si="57"/>
        <v>1.9413119381360491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405.09126081846171</v>
      </c>
      <c r="AO126" s="62">
        <f t="shared" si="90"/>
        <v>534.22295841722166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4.1793310066855742</v>
      </c>
      <c r="AV126" s="23">
        <f>EXP(-LN(2)/25)*AV125+(1-EXP(-LN(2)/25))/(LN(2)/25)*Calculateur!AQ126*Calculateur!AS126*VLOOKUP('Données projet'!$B$10,Paramètres!$A$1:$I$89,3,0)*0.475*44/12</f>
        <v>1.8128306641919569</v>
      </c>
      <c r="AW126" s="23">
        <f>EXP(-LN(2)/2)*AW125+(1-EXP(-LN(2)/2))/(LN(2)/2)*AQ126*AT126*VLOOKUP('Données projet'!$B$10,Paramètres!$A$1:$I$89,3,0)*0.475*44/12</f>
        <v>1.1896672271928958E-13</v>
      </c>
      <c r="AX126" s="23">
        <f t="shared" si="60"/>
        <v>5.9921616708776497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439.06700232017681</v>
      </c>
      <c r="BJ126" s="62">
        <f t="shared" si="92"/>
        <v>278.21741231699929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0.69288339556879697</v>
      </c>
      <c r="BR126" s="23">
        <f>EXP(-LN(2)/2)*BR125+(1-EXP(-LN(2)/2))/(LN(2)/2)*BL126*BO126*VLOOKUP('Données projet'!$B$11,Paramètres!$A$1:$I$89,3,0)*0.475*44/12</f>
        <v>1.4982223827260506E-13</v>
      </c>
      <c r="BS126" s="24">
        <f t="shared" si="63"/>
        <v>0.69288339556894674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466.4945858005575</v>
      </c>
      <c r="CE126" s="62">
        <f t="shared" si="94"/>
        <v>294.45557293177131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0.74066845733216258</v>
      </c>
      <c r="CM126" s="23">
        <f>EXP(-LN(2)/2)*CM125+(1-EXP(-LN(2)/2))/(LN(2)/2)*CG126*CJ126*VLOOKUP('Données projet'!$B$12,Paramètres!$A$1:$I$89,3,0)*0.475*44/12</f>
        <v>1.6015480642933737E-13</v>
      </c>
      <c r="CN126" s="24">
        <f t="shared" si="66"/>
        <v>0.74066845733232278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335.83558218229564</v>
      </c>
      <c r="CZ126" s="62">
        <f t="shared" si="96"/>
        <v>217.08423061559648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0.63315206836459048</v>
      </c>
      <c r="DH126" s="23">
        <f>EXP(-LN(2)/2)*DH125+(1-EXP(-LN(2)/2))/(LN(2)/2)*DB126*DE126*VLOOKUP('Données projet'!$B$13,Paramètres!$A$1:$I$89,3,0)*0.475*44/12</f>
        <v>1.1107510768486301E-13</v>
      </c>
      <c r="DI126" s="24">
        <f t="shared" si="69"/>
        <v>0.6331520683647015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4.9658410716801891E-14</v>
      </c>
      <c r="P127" s="14">
        <f t="shared" si="87"/>
        <v>8.0934058173791862E-13</v>
      </c>
      <c r="Q127" s="22">
        <f t="shared" si="107"/>
        <v>1.4960899118586383E-12</v>
      </c>
      <c r="R127" s="62">
        <f t="shared" si="55"/>
        <v>293.33333333333479</v>
      </c>
      <c r="S127" s="62">
        <f ca="1">AVERAGE(OFFSET($R$3,0,0,'Données projet'!$E$9+1,1))-AVERAGE(OFFSET($H$3,0,0,'Données projet'!$E$9+1,1))</f>
        <v>321.62968871874483</v>
      </c>
      <c r="T127" s="62">
        <f t="shared" si="88"/>
        <v>389.91636841473559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1.8882266610983822</v>
      </c>
      <c r="AB127" s="23">
        <f>EXP(-LN(2)/2)*AB126+(1-EXP(-LN(2)/2))/(LN(2)/2)*V127*Y127*VLOOKUP('Données projet'!$B$9,Paramètres!$A$1:$I$89,3,0)*0.475*44/12</f>
        <v>1.2979134625833056E-13</v>
      </c>
      <c r="AC127" s="24">
        <f t="shared" si="57"/>
        <v>1.8882266610985121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405.09126081846171</v>
      </c>
      <c r="AO127" s="62">
        <f t="shared" si="90"/>
        <v>534.22295841722166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4.0973768747846773</v>
      </c>
      <c r="AV127" s="23">
        <f>EXP(-LN(2)/25)*AV126+(1-EXP(-LN(2)/25))/(LN(2)/25)*Calculateur!AQ127*Calculateur!AS127*VLOOKUP('Données projet'!$B$10,Paramètres!$A$1:$I$89,3,0)*0.475*44/12</f>
        <v>1.7632587143470064</v>
      </c>
      <c r="AW127" s="23">
        <f>EXP(-LN(2)/2)*AW126+(1-EXP(-LN(2)/2))/(LN(2)/2)*AQ127*AT127*VLOOKUP('Données projet'!$B$10,Paramètres!$A$1:$I$89,3,0)*0.475*44/12</f>
        <v>8.4122176370349368E-14</v>
      </c>
      <c r="AX127" s="23">
        <f t="shared" si="60"/>
        <v>5.8606355891317685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439.06700232017681</v>
      </c>
      <c r="BJ127" s="62">
        <f t="shared" si="92"/>
        <v>278.21741231699929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0.673936462679814</v>
      </c>
      <c r="BR127" s="23">
        <f>EXP(-LN(2)/2)*BR126+(1-EXP(-LN(2)/2))/(LN(2)/2)*BL127*BO127*VLOOKUP('Données projet'!$B$11,Paramètres!$A$1:$I$89,3,0)*0.475*44/12</f>
        <v>1.0594032065510573E-13</v>
      </c>
      <c r="BS127" s="24">
        <f t="shared" si="63"/>
        <v>0.67393646267991991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466.4945858005575</v>
      </c>
      <c r="CE127" s="62">
        <f t="shared" si="94"/>
        <v>294.45557293177131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0.7204148394163532</v>
      </c>
      <c r="CM127" s="23">
        <f>EXP(-LN(2)/2)*CM126+(1-EXP(-LN(2)/2))/(LN(2)/2)*CG127*CJ127*VLOOKUP('Données projet'!$B$12,Paramètres!$A$1:$I$89,3,0)*0.475*44/12</f>
        <v>1.1324654966580334E-13</v>
      </c>
      <c r="CN127" s="24">
        <f t="shared" si="66"/>
        <v>0.72041483941646645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335.83558218229564</v>
      </c>
      <c r="CZ127" s="62">
        <f t="shared" si="96"/>
        <v>217.08423061559648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0.61583849175914052</v>
      </c>
      <c r="DH127" s="23">
        <f>EXP(-LN(2)/2)*DH126+(1-EXP(-LN(2)/2))/(LN(2)/2)*DB127*DE127*VLOOKUP('Données projet'!$B$13,Paramètres!$A$1:$I$89,3,0)*0.475*44/12</f>
        <v>7.854196186499264E-14</v>
      </c>
      <c r="DI127" s="24">
        <f t="shared" si="69"/>
        <v>0.61583849175921901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4.9658410716801891E-14</v>
      </c>
      <c r="P128" s="14">
        <f t="shared" si="87"/>
        <v>8.0934058173791862E-13</v>
      </c>
      <c r="Q128" s="22">
        <f t="shared" si="107"/>
        <v>1.4960899118586383E-12</v>
      </c>
      <c r="R128" s="62">
        <f t="shared" si="55"/>
        <v>293.33333333333479</v>
      </c>
      <c r="S128" s="62">
        <f ca="1">AVERAGE(OFFSET($R$3,0,0,'Données projet'!$E$9+1,1))-AVERAGE(OFFSET($H$3,0,0,'Données projet'!$E$9+1,1))</f>
        <v>321.62968871874483</v>
      </c>
      <c r="T128" s="62">
        <f t="shared" si="88"/>
        <v>389.91636841473559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1.8365930037531224</v>
      </c>
      <c r="AB128" s="23">
        <f>EXP(-LN(2)/2)*AB127+(1-EXP(-LN(2)/2))/(LN(2)/2)*V128*Y128*VLOOKUP('Données projet'!$B$9,Paramètres!$A$1:$I$89,3,0)*0.475*44/12</f>
        <v>9.1776341078596772E-14</v>
      </c>
      <c r="AC128" s="24">
        <f t="shared" si="57"/>
        <v>1.8365930037532141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405.09126081846171</v>
      </c>
      <c r="AO128" s="62">
        <f t="shared" si="90"/>
        <v>534.22295841722166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4.0170298134232727</v>
      </c>
      <c r="AV128" s="23">
        <f>EXP(-LN(2)/25)*AV127+(1-EXP(-LN(2)/25))/(LN(2)/25)*Calculateur!AQ128*Calculateur!AS128*VLOOKUP('Données projet'!$B$10,Paramètres!$A$1:$I$89,3,0)*0.475*44/12</f>
        <v>1.7150423120774416</v>
      </c>
      <c r="AW128" s="23">
        <f>EXP(-LN(2)/2)*AW127+(1-EXP(-LN(2)/2))/(LN(2)/2)*AQ128*AT128*VLOOKUP('Données projet'!$B$10,Paramètres!$A$1:$I$89,3,0)*0.475*44/12</f>
        <v>5.9483361359644789E-14</v>
      </c>
      <c r="AX128" s="23">
        <f t="shared" si="60"/>
        <v>5.7320721255007738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439.06700232017681</v>
      </c>
      <c r="BJ128" s="62">
        <f t="shared" si="92"/>
        <v>278.21741231699929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0.65550763466705619</v>
      </c>
      <c r="BR128" s="23">
        <f>EXP(-LN(2)/2)*BR127+(1-EXP(-LN(2)/2))/(LN(2)/2)*BL128*BO128*VLOOKUP('Données projet'!$B$11,Paramètres!$A$1:$I$89,3,0)*0.475*44/12</f>
        <v>7.491111913630253E-14</v>
      </c>
      <c r="BS128" s="24">
        <f t="shared" si="63"/>
        <v>0.65550763466713113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466.4945858005575</v>
      </c>
      <c r="CE128" s="62">
        <f t="shared" si="94"/>
        <v>294.45557293177131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0.70071505774754317</v>
      </c>
      <c r="CM128" s="23">
        <f>EXP(-LN(2)/2)*CM127+(1-EXP(-LN(2)/2))/(LN(2)/2)*CG128*CJ128*VLOOKUP('Données projet'!$B$12,Paramètres!$A$1:$I$89,3,0)*0.475*44/12</f>
        <v>8.0077403214668697E-14</v>
      </c>
      <c r="CN128" s="24">
        <f t="shared" si="66"/>
        <v>0.70071505774762322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335.83558218229564</v>
      </c>
      <c r="CZ128" s="62">
        <f t="shared" si="96"/>
        <v>217.08423061559648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0.598998355816448</v>
      </c>
      <c r="DH128" s="23">
        <f>EXP(-LN(2)/2)*DH127+(1-EXP(-LN(2)/2))/(LN(2)/2)*DB128*DE128*VLOOKUP('Données projet'!$B$13,Paramètres!$A$1:$I$89,3,0)*0.475*44/12</f>
        <v>5.5537553842431516E-14</v>
      </c>
      <c r="DI128" s="24">
        <f t="shared" si="69"/>
        <v>0.59899835581650351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4.9658410716801891E-14</v>
      </c>
      <c r="P129" s="14">
        <f t="shared" si="87"/>
        <v>8.0934058173791862E-13</v>
      </c>
      <c r="Q129" s="22">
        <f t="shared" si="107"/>
        <v>1.4960899118586383E-12</v>
      </c>
      <c r="R129" s="62">
        <f t="shared" si="55"/>
        <v>293.33333333333479</v>
      </c>
      <c r="S129" s="62">
        <f ca="1">AVERAGE(OFFSET($R$3,0,0,'Données projet'!$E$9+1,1))-AVERAGE(OFFSET($H$3,0,0,'Données projet'!$E$9+1,1))</f>
        <v>321.62968871874483</v>
      </c>
      <c r="T129" s="62">
        <f t="shared" si="88"/>
        <v>389.91636841473559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1.7863712714832647</v>
      </c>
      <c r="AB129" s="23">
        <f>EXP(-LN(2)/2)*AB128+(1-EXP(-LN(2)/2))/(LN(2)/2)*V129*Y129*VLOOKUP('Données projet'!$B$9,Paramètres!$A$1:$I$89,3,0)*0.475*44/12</f>
        <v>6.4895673129165279E-14</v>
      </c>
      <c r="AC129" s="24">
        <f t="shared" si="57"/>
        <v>1.7863712714833295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405.09126081846171</v>
      </c>
      <c r="AO129" s="62">
        <f t="shared" si="90"/>
        <v>534.22295841722166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3.9382583089282965</v>
      </c>
      <c r="AV129" s="23">
        <f>EXP(-LN(2)/25)*AV128+(1-EXP(-LN(2)/25))/(LN(2)/25)*Calculateur!AQ129*Calculateur!AS129*VLOOKUP('Données projet'!$B$10,Paramètres!$A$1:$I$89,3,0)*0.475*44/12</f>
        <v>1.6681443898635286</v>
      </c>
      <c r="AW129" s="23">
        <f>EXP(-LN(2)/2)*AW128+(1-EXP(-LN(2)/2))/(LN(2)/2)*AQ129*AT129*VLOOKUP('Données projet'!$B$10,Paramètres!$A$1:$I$89,3,0)*0.475*44/12</f>
        <v>4.2061088185174684E-14</v>
      </c>
      <c r="AX129" s="23">
        <f t="shared" si="60"/>
        <v>5.6064026987918671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439.06700232017681</v>
      </c>
      <c r="BJ129" s="62">
        <f t="shared" si="92"/>
        <v>278.21741231699929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0.63758274392543723</v>
      </c>
      <c r="BR129" s="23">
        <f>EXP(-LN(2)/2)*BR128+(1-EXP(-LN(2)/2))/(LN(2)/2)*BL129*BO129*VLOOKUP('Données projet'!$B$11,Paramètres!$A$1:$I$89,3,0)*0.475*44/12</f>
        <v>5.2970160327552867E-14</v>
      </c>
      <c r="BS129" s="24">
        <f t="shared" si="63"/>
        <v>0.63758274392549019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466.4945858005575</v>
      </c>
      <c r="CE129" s="62">
        <f t="shared" si="94"/>
        <v>294.45557293177131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0.68155396764443321</v>
      </c>
      <c r="CM129" s="23">
        <f>EXP(-LN(2)/2)*CM128+(1-EXP(-LN(2)/2))/(LN(2)/2)*CG129*CJ129*VLOOKUP('Données projet'!$B$12,Paramètres!$A$1:$I$89,3,0)*0.475*44/12</f>
        <v>5.6623274832901678E-14</v>
      </c>
      <c r="CN129" s="24">
        <f t="shared" si="66"/>
        <v>0.68155396764448983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335.83558218229564</v>
      </c>
      <c r="CZ129" s="62">
        <f t="shared" si="96"/>
        <v>217.08423061559648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0.58261871427669276</v>
      </c>
      <c r="DH129" s="23">
        <f>EXP(-LN(2)/2)*DH128+(1-EXP(-LN(2)/2))/(LN(2)/2)*DB129*DE129*VLOOKUP('Données projet'!$B$13,Paramètres!$A$1:$I$89,3,0)*0.475*44/12</f>
        <v>3.9270980932496326E-14</v>
      </c>
      <c r="DI129" s="24">
        <f t="shared" si="69"/>
        <v>0.58261871427673206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4.9658410716801891E-14</v>
      </c>
      <c r="P130" s="14">
        <f t="shared" si="87"/>
        <v>8.0934058173791862E-13</v>
      </c>
      <c r="Q130" s="22">
        <f t="shared" si="107"/>
        <v>1.4960899118586383E-12</v>
      </c>
      <c r="R130" s="62">
        <f t="shared" si="55"/>
        <v>293.33333333333479</v>
      </c>
      <c r="S130" s="62">
        <f ca="1">AVERAGE(OFFSET($R$3,0,0,'Données projet'!$E$9+1,1))-AVERAGE(OFFSET($H$3,0,0,'Données projet'!$E$9+1,1))</f>
        <v>321.62968871874483</v>
      </c>
      <c r="T130" s="62">
        <f t="shared" si="88"/>
        <v>389.91636841473559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1.7375228551233723</v>
      </c>
      <c r="AB130" s="23">
        <f>EXP(-LN(2)/2)*AB129+(1-EXP(-LN(2)/2))/(LN(2)/2)*V130*Y130*VLOOKUP('Données projet'!$B$9,Paramètres!$A$1:$I$89,3,0)*0.475*44/12</f>
        <v>4.5888170539298386E-14</v>
      </c>
      <c r="AC130" s="24">
        <f t="shared" si="57"/>
        <v>1.7375228551234183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405.09126081846171</v>
      </c>
      <c r="AO130" s="62">
        <f t="shared" si="90"/>
        <v>534.22295841722166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3.8610314655905933</v>
      </c>
      <c r="AV130" s="23">
        <f>EXP(-LN(2)/25)*AV129+(1-EXP(-LN(2)/25))/(LN(2)/25)*Calculateur!AQ130*Calculateur!AS130*VLOOKUP('Données projet'!$B$10,Paramètres!$A$1:$I$89,3,0)*0.475*44/12</f>
        <v>1.6225288937988096</v>
      </c>
      <c r="AW130" s="23">
        <f>EXP(-LN(2)/2)*AW129+(1-EXP(-LN(2)/2))/(LN(2)/2)*AQ130*AT130*VLOOKUP('Données projet'!$B$10,Paramètres!$A$1:$I$89,3,0)*0.475*44/12</f>
        <v>2.9741680679822394E-14</v>
      </c>
      <c r="AX130" s="23">
        <f t="shared" si="60"/>
        <v>5.4835603593894318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439.06700232017681</v>
      </c>
      <c r="BJ130" s="62">
        <f t="shared" si="92"/>
        <v>278.21741231699929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0.62014801026377686</v>
      </c>
      <c r="BR130" s="23">
        <f>EXP(-LN(2)/2)*BR129+(1-EXP(-LN(2)/2))/(LN(2)/2)*BL130*BO130*VLOOKUP('Données projet'!$B$11,Paramètres!$A$1:$I$89,3,0)*0.475*44/12</f>
        <v>3.7455559568151265E-14</v>
      </c>
      <c r="BS130" s="24">
        <f t="shared" si="63"/>
        <v>0.62014801026381428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466.4945858005575</v>
      </c>
      <c r="CE130" s="62">
        <f t="shared" si="94"/>
        <v>294.45557293177131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0.66291683855783079</v>
      </c>
      <c r="CM130" s="23">
        <f>EXP(-LN(2)/2)*CM129+(1-EXP(-LN(2)/2))/(LN(2)/2)*CG130*CJ130*VLOOKUP('Données projet'!$B$12,Paramètres!$A$1:$I$89,3,0)*0.475*44/12</f>
        <v>4.0038701607334355E-14</v>
      </c>
      <c r="CN130" s="24">
        <f t="shared" si="66"/>
        <v>0.66291683855787087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335.83558218229564</v>
      </c>
      <c r="CZ130" s="62">
        <f t="shared" si="96"/>
        <v>217.08423061559648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0.56668697489621001</v>
      </c>
      <c r="DH130" s="23">
        <f>EXP(-LN(2)/2)*DH129+(1-EXP(-LN(2)/2))/(LN(2)/2)*DB130*DE130*VLOOKUP('Données projet'!$B$13,Paramètres!$A$1:$I$89,3,0)*0.475*44/12</f>
        <v>2.7768776921215761E-14</v>
      </c>
      <c r="DI130" s="24">
        <f t="shared" si="69"/>
        <v>0.56668697489623776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4.9658410716801891E-14</v>
      </c>
      <c r="P131" s="14">
        <f t="shared" si="87"/>
        <v>8.0934058173791862E-13</v>
      </c>
      <c r="Q131" s="22">
        <f t="shared" ref="Q131:Q153" si="108">(O131+P131)*0.475*44/12</f>
        <v>1.4960899118586383E-12</v>
      </c>
      <c r="R131" s="62">
        <f t="shared" ref="R131:R194" si="109">Q131+(I131+J131)*44/12</f>
        <v>293.33333333333479</v>
      </c>
      <c r="S131" s="62">
        <f ca="1">AVERAGE(OFFSET($R$3,0,0,'Données projet'!$E$9+1,1))-AVERAGE(OFFSET($H$3,0,0,'Données projet'!$E$9+1,1))</f>
        <v>321.62968871874483</v>
      </c>
      <c r="T131" s="62">
        <f t="shared" si="88"/>
        <v>389.91636841473559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1.6900102012776679</v>
      </c>
      <c r="AB131" s="23">
        <f>EXP(-LN(2)/2)*AB130+(1-EXP(-LN(2)/2))/(LN(2)/2)*V131*Y131*VLOOKUP('Données projet'!$B$9,Paramètres!$A$1:$I$89,3,0)*0.475*44/12</f>
        <v>3.2447836564582639E-14</v>
      </c>
      <c r="AC131" s="24">
        <f t="shared" si="57"/>
        <v>1.6900102012777003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405.09126081846171</v>
      </c>
      <c r="AO131" s="62">
        <f t="shared" si="90"/>
        <v>534.22295841722166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3.7853189935470191</v>
      </c>
      <c r="AV131" s="23">
        <f>EXP(-LN(2)/25)*AV130+(1-EXP(-LN(2)/25))/(LN(2)/25)*Calculateur!AQ131*Calculateur!AS131*VLOOKUP('Données projet'!$B$10,Paramètres!$A$1:$I$89,3,0)*0.475*44/12</f>
        <v>1.578160755872795</v>
      </c>
      <c r="AW131" s="23">
        <f>EXP(-LN(2)/2)*AW130+(1-EXP(-LN(2)/2))/(LN(2)/2)*AQ131*AT131*VLOOKUP('Données projet'!$B$10,Paramètres!$A$1:$I$89,3,0)*0.475*44/12</f>
        <v>2.1030544092587342E-14</v>
      </c>
      <c r="AX131" s="23">
        <f t="shared" si="60"/>
        <v>5.3634797494198354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439.06700232017681</v>
      </c>
      <c r="BJ131" s="62">
        <f t="shared" si="92"/>
        <v>278.21741231699929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0.60319003031094742</v>
      </c>
      <c r="BR131" s="23">
        <f>EXP(-LN(2)/2)*BR130+(1-EXP(-LN(2)/2))/(LN(2)/2)*BL131*BO131*VLOOKUP('Données projet'!$B$11,Paramètres!$A$1:$I$89,3,0)*0.475*44/12</f>
        <v>2.6485080163776433E-14</v>
      </c>
      <c r="BS131" s="24">
        <f t="shared" si="63"/>
        <v>0.60319003031097396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466.4945858005575</v>
      </c>
      <c r="CE131" s="62">
        <f t="shared" si="94"/>
        <v>294.45557293177131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0.64478934274618549</v>
      </c>
      <c r="CM131" s="23">
        <f>EXP(-LN(2)/2)*CM130+(1-EXP(-LN(2)/2))/(LN(2)/2)*CG131*CJ131*VLOOKUP('Données projet'!$B$12,Paramètres!$A$1:$I$89,3,0)*0.475*44/12</f>
        <v>2.8311637416450845E-14</v>
      </c>
      <c r="CN131" s="24">
        <f t="shared" si="66"/>
        <v>0.6447893427462138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335.83558218229564</v>
      </c>
      <c r="CZ131" s="62">
        <f t="shared" si="96"/>
        <v>217.08423061559648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0.55119088976690034</v>
      </c>
      <c r="DH131" s="23">
        <f>EXP(-LN(2)/2)*DH130+(1-EXP(-LN(2)/2))/(LN(2)/2)*DB131*DE131*VLOOKUP('Données projet'!$B$13,Paramètres!$A$1:$I$89,3,0)*0.475*44/12</f>
        <v>1.9635490466248166E-14</v>
      </c>
      <c r="DI131" s="24">
        <f t="shared" si="69"/>
        <v>0.55119088976691999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4.9658410716801891E-14</v>
      </c>
      <c r="P132" s="14">
        <f t="shared" si="87"/>
        <v>8.0934058173791862E-13</v>
      </c>
      <c r="Q132" s="22">
        <f t="shared" si="108"/>
        <v>1.4960899118586383E-12</v>
      </c>
      <c r="R132" s="62">
        <f t="shared" si="109"/>
        <v>293.33333333333479</v>
      </c>
      <c r="S132" s="62">
        <f ca="1">AVERAGE(OFFSET($R$3,0,0,'Données projet'!$E$9+1,1))-AVERAGE(OFFSET($H$3,0,0,'Données projet'!$E$9+1,1))</f>
        <v>321.62968871874483</v>
      </c>
      <c r="T132" s="62">
        <f t="shared" si="88"/>
        <v>389.91636841473559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1.6437967834499561</v>
      </c>
      <c r="AB132" s="23">
        <f>EXP(-LN(2)/2)*AB131+(1-EXP(-LN(2)/2))/(LN(2)/2)*V132*Y132*VLOOKUP('Données projet'!$B$9,Paramètres!$A$1:$I$89,3,0)*0.475*44/12</f>
        <v>2.2944085269649193E-14</v>
      </c>
      <c r="AC132" s="24">
        <f t="shared" ref="AC132:AC153" si="111">SUM(Z132:AB132)</f>
        <v>1.6437967834499789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405.09126081846171</v>
      </c>
      <c r="AO132" s="62">
        <f t="shared" si="90"/>
        <v>534.22295841722166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3.7110911969001714</v>
      </c>
      <c r="AV132" s="23">
        <f>EXP(-LN(2)/25)*AV131+(1-EXP(-LN(2)/25))/(LN(2)/25)*Calculateur!AQ132*Calculateur!AS132*VLOOKUP('Données projet'!$B$10,Paramètres!$A$1:$I$89,3,0)*0.475*44/12</f>
        <v>1.5350058670115863</v>
      </c>
      <c r="AW132" s="23">
        <f>EXP(-LN(2)/2)*AW131+(1-EXP(-LN(2)/2))/(LN(2)/2)*AQ132*AT132*VLOOKUP('Données projet'!$B$10,Paramètres!$A$1:$I$89,3,0)*0.475*44/12</f>
        <v>1.4870840339911197E-14</v>
      </c>
      <c r="AX132" s="23">
        <f t="shared" ref="AX132:AX153" si="114">SUM(AU132:AW132)</f>
        <v>5.2460970639117726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439.06700232017681</v>
      </c>
      <c r="BJ132" s="62">
        <f t="shared" si="92"/>
        <v>278.21741231699929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0.58669576721170946</v>
      </c>
      <c r="BR132" s="23">
        <f>EXP(-LN(2)/2)*BR131+(1-EXP(-LN(2)/2))/(LN(2)/2)*BL132*BO132*VLOOKUP('Données projet'!$B$11,Paramètres!$A$1:$I$89,3,0)*0.475*44/12</f>
        <v>1.8727779784075633E-14</v>
      </c>
      <c r="BS132" s="24">
        <f t="shared" ref="BS132:BS153" si="117">SUM(BP132:BR132)</f>
        <v>0.58669576721172823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466.4945858005575</v>
      </c>
      <c r="CE132" s="62">
        <f t="shared" si="94"/>
        <v>294.45557293177131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0.62715754426079318</v>
      </c>
      <c r="CM132" s="23">
        <f>EXP(-LN(2)/2)*CM131+(1-EXP(-LN(2)/2))/(LN(2)/2)*CG132*CJ132*VLOOKUP('Données projet'!$B$12,Paramètres!$A$1:$I$89,3,0)*0.475*44/12</f>
        <v>2.001935080366718E-14</v>
      </c>
      <c r="CN132" s="24">
        <f t="shared" ref="CN132:CN153" si="120">SUM(CK132:CM132)</f>
        <v>0.62715754426081316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335.83558218229564</v>
      </c>
      <c r="CZ132" s="62">
        <f t="shared" si="96"/>
        <v>217.08423061559648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0.53611854590035535</v>
      </c>
      <c r="DH132" s="23">
        <f>EXP(-LN(2)/2)*DH131+(1-EXP(-LN(2)/2))/(LN(2)/2)*DB132*DE132*VLOOKUP('Données projet'!$B$13,Paramètres!$A$1:$I$89,3,0)*0.475*44/12</f>
        <v>1.3884388460607884E-14</v>
      </c>
      <c r="DI132" s="24">
        <f t="shared" ref="DI132:DI153" si="123">SUM(DF132:DH132)</f>
        <v>0.53611854590036923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4.9658410716801891E-14</v>
      </c>
      <c r="P133" s="14">
        <f t="shared" ref="P133:P196" si="141">EXP(-1.0587+0.8836*LN(O133)+0.284)</f>
        <v>8.0934058173791862E-13</v>
      </c>
      <c r="Q133" s="22">
        <f t="shared" si="108"/>
        <v>1.4960899118586383E-12</v>
      </c>
      <c r="R133" s="62">
        <f t="shared" si="109"/>
        <v>293.33333333333479</v>
      </c>
      <c r="S133" s="62">
        <f ca="1">AVERAGE(OFFSET($R$3,0,0,'Données projet'!$E$9+1,1))-AVERAGE(OFFSET($H$3,0,0,'Données projet'!$E$9+1,1))</f>
        <v>321.62968871874483</v>
      </c>
      <c r="T133" s="62">
        <f t="shared" ref="T133:T196" si="142">$T$3</f>
        <v>389.91636841473559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1.5988470739630012</v>
      </c>
      <c r="AB133" s="23">
        <f>EXP(-LN(2)/2)*AB132+(1-EXP(-LN(2)/2))/(LN(2)/2)*V133*Y133*VLOOKUP('Données projet'!$B$9,Paramètres!$A$1:$I$89,3,0)*0.475*44/12</f>
        <v>1.622391828229132E-14</v>
      </c>
      <c r="AC133" s="24">
        <f t="shared" si="111"/>
        <v>1.5988470739630174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405.09126081846171</v>
      </c>
      <c r="AO133" s="62">
        <f t="shared" ref="AO133:AO196" si="144">$AO$3</f>
        <v>534.22295841722166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3.6383189620710827</v>
      </c>
      <c r="AV133" s="23">
        <f>EXP(-LN(2)/25)*AV132+(1-EXP(-LN(2)/25))/(LN(2)/25)*Calculateur!AQ133*Calculateur!AS133*VLOOKUP('Données projet'!$B$10,Paramètres!$A$1:$I$89,3,0)*0.475*44/12</f>
        <v>1.4930310508557041</v>
      </c>
      <c r="AW133" s="23">
        <f>EXP(-LN(2)/2)*AW132+(1-EXP(-LN(2)/2))/(LN(2)/2)*AQ133*AT133*VLOOKUP('Données projet'!$B$10,Paramètres!$A$1:$I$89,3,0)*0.475*44/12</f>
        <v>1.0515272046293671E-14</v>
      </c>
      <c r="AX133" s="23">
        <f t="shared" si="114"/>
        <v>5.1313500129267977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439.06700232017681</v>
      </c>
      <c r="BJ133" s="62">
        <f t="shared" ref="BJ133:BJ196" si="146">$BJ$3</f>
        <v>278.21741231699929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0.57065254060431581</v>
      </c>
      <c r="BR133" s="23">
        <f>EXP(-LN(2)/2)*BR132+(1-EXP(-LN(2)/2))/(LN(2)/2)*BL133*BO133*VLOOKUP('Données projet'!$B$11,Paramètres!$A$1:$I$89,3,0)*0.475*44/12</f>
        <v>1.3242540081888217E-14</v>
      </c>
      <c r="BS133" s="24">
        <f t="shared" si="117"/>
        <v>0.57065254060432902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466.4945858005575</v>
      </c>
      <c r="CE133" s="62">
        <f t="shared" ref="CE133:CE196" si="148">$CE$3</f>
        <v>294.45557293177131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0.61000788823219987</v>
      </c>
      <c r="CM133" s="23">
        <f>EXP(-LN(2)/2)*CM132+(1-EXP(-LN(2)/2))/(LN(2)/2)*CG133*CJ133*VLOOKUP('Données projet'!$B$12,Paramètres!$A$1:$I$89,3,0)*0.475*44/12</f>
        <v>1.4155818708225424E-14</v>
      </c>
      <c r="CN133" s="24">
        <f t="shared" si="120"/>
        <v>0.61000788823221408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335.83558218229564</v>
      </c>
      <c r="CZ133" s="62">
        <f t="shared" ref="CZ133:CZ196" si="150">$CZ$3</f>
        <v>217.08423061559648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0.52145835606946112</v>
      </c>
      <c r="DH133" s="23">
        <f>EXP(-LN(2)/2)*DH132+(1-EXP(-LN(2)/2))/(LN(2)/2)*DB133*DE133*VLOOKUP('Données projet'!$B$13,Paramètres!$A$1:$I$89,3,0)*0.475*44/12</f>
        <v>9.8177452331240847E-15</v>
      </c>
      <c r="DI133" s="24">
        <f t="shared" si="123"/>
        <v>0.52145835606947089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4.9658410716801891E-14</v>
      </c>
      <c r="P134" s="14">
        <f t="shared" si="141"/>
        <v>8.0934058173791862E-13</v>
      </c>
      <c r="Q134" s="22">
        <f t="shared" si="108"/>
        <v>1.4960899118586383E-12</v>
      </c>
      <c r="R134" s="62">
        <f t="shared" si="109"/>
        <v>293.33333333333479</v>
      </c>
      <c r="S134" s="62">
        <f ca="1">AVERAGE(OFFSET($R$3,0,0,'Données projet'!$E$9+1,1))-AVERAGE(OFFSET($H$3,0,0,'Données projet'!$E$9+1,1))</f>
        <v>321.62968871874483</v>
      </c>
      <c r="T134" s="62">
        <f t="shared" si="142"/>
        <v>389.91636841473559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1.5551265166457695</v>
      </c>
      <c r="AB134" s="23">
        <f>EXP(-LN(2)/2)*AB133+(1-EXP(-LN(2)/2))/(LN(2)/2)*V134*Y134*VLOOKUP('Données projet'!$B$9,Paramètres!$A$1:$I$89,3,0)*0.475*44/12</f>
        <v>1.1472042634824596E-14</v>
      </c>
      <c r="AC134" s="24">
        <f t="shared" si="111"/>
        <v>1.5551265166457811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405.09126081846171</v>
      </c>
      <c r="AO134" s="62">
        <f t="shared" si="144"/>
        <v>534.22295841722166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3.5669737463803122</v>
      </c>
      <c r="AV134" s="23">
        <f>EXP(-LN(2)/25)*AV133+(1-EXP(-LN(2)/25))/(LN(2)/25)*Calculateur!AQ134*Calculateur!AS134*VLOOKUP('Données projet'!$B$10,Paramètres!$A$1:$I$89,3,0)*0.475*44/12</f>
        <v>1.4522040382549644</v>
      </c>
      <c r="AW134" s="23">
        <f>EXP(-LN(2)/2)*AW133+(1-EXP(-LN(2)/2))/(LN(2)/2)*AQ134*AT134*VLOOKUP('Données projet'!$B$10,Paramètres!$A$1:$I$89,3,0)*0.475*44/12</f>
        <v>7.4354201699555986E-15</v>
      </c>
      <c r="AX134" s="23">
        <f t="shared" si="114"/>
        <v>5.0191777846352839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439.06700232017681</v>
      </c>
      <c r="BJ134" s="62">
        <f t="shared" si="146"/>
        <v>278.21741231699929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0.55504801687217797</v>
      </c>
      <c r="BR134" s="23">
        <f>EXP(-LN(2)/2)*BR133+(1-EXP(-LN(2)/2))/(LN(2)/2)*BL134*BO134*VLOOKUP('Données projet'!$B$11,Paramètres!$A$1:$I$89,3,0)*0.475*44/12</f>
        <v>9.3638898920378163E-15</v>
      </c>
      <c r="BS134" s="24">
        <f t="shared" si="117"/>
        <v>0.5550480168721873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466.4945858005575</v>
      </c>
      <c r="CE134" s="62">
        <f t="shared" si="148"/>
        <v>294.45557293177131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0.59332719044956972</v>
      </c>
      <c r="CM134" s="23">
        <f>EXP(-LN(2)/2)*CM133+(1-EXP(-LN(2)/2))/(LN(2)/2)*CG134*CJ134*VLOOKUP('Données projet'!$B$12,Paramètres!$A$1:$I$89,3,0)*0.475*44/12</f>
        <v>1.0009675401833592E-14</v>
      </c>
      <c r="CN134" s="24">
        <f t="shared" si="120"/>
        <v>0.59332719044957971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335.83558218229564</v>
      </c>
      <c r="CZ134" s="62">
        <f t="shared" si="150"/>
        <v>217.08423061559648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0.50719904990043851</v>
      </c>
      <c r="DH134" s="23">
        <f>EXP(-LN(2)/2)*DH133+(1-EXP(-LN(2)/2))/(LN(2)/2)*DB134*DE134*VLOOKUP('Données projet'!$B$13,Paramètres!$A$1:$I$89,3,0)*0.475*44/12</f>
        <v>6.9421942303039427E-15</v>
      </c>
      <c r="DI134" s="24">
        <f t="shared" si="123"/>
        <v>0.50719904990044551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4.9658410716801891E-14</v>
      </c>
      <c r="P135" s="14">
        <f t="shared" si="141"/>
        <v>8.0934058173791862E-13</v>
      </c>
      <c r="Q135" s="22">
        <f t="shared" si="108"/>
        <v>1.4960899118586383E-12</v>
      </c>
      <c r="R135" s="62">
        <f t="shared" si="109"/>
        <v>293.33333333333479</v>
      </c>
      <c r="S135" s="62">
        <f ca="1">AVERAGE(OFFSET($R$3,0,0,'Données projet'!$E$9+1,1))-AVERAGE(OFFSET($H$3,0,0,'Données projet'!$E$9+1,1))</f>
        <v>321.62968871874483</v>
      </c>
      <c r="T135" s="62">
        <f t="shared" si="142"/>
        <v>389.91636841473559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1.5126015002675417</v>
      </c>
      <c r="AB135" s="23">
        <f>EXP(-LN(2)/2)*AB134+(1-EXP(-LN(2)/2))/(LN(2)/2)*V135*Y135*VLOOKUP('Données projet'!$B$9,Paramètres!$A$1:$I$89,3,0)*0.475*44/12</f>
        <v>8.1119591411456599E-15</v>
      </c>
      <c r="AC135" s="24">
        <f t="shared" si="111"/>
        <v>1.5126015002675499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405.09126081846171</v>
      </c>
      <c r="AO135" s="62">
        <f t="shared" si="144"/>
        <v>534.22295841722166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3.4970275668529531</v>
      </c>
      <c r="AV135" s="23">
        <f>EXP(-LN(2)/25)*AV134+(1-EXP(-LN(2)/25))/(LN(2)/25)*Calculateur!AQ135*Calculateur!AS135*VLOOKUP('Données projet'!$B$10,Paramètres!$A$1:$I$89,3,0)*0.475*44/12</f>
        <v>1.4124934424607911</v>
      </c>
      <c r="AW135" s="23">
        <f>EXP(-LN(2)/2)*AW134+(1-EXP(-LN(2)/2))/(LN(2)/2)*AQ135*AT135*VLOOKUP('Données projet'!$B$10,Paramètres!$A$1:$I$89,3,0)*0.475*44/12</f>
        <v>5.2576360231468355E-15</v>
      </c>
      <c r="AX135" s="23">
        <f t="shared" si="114"/>
        <v>4.9095210093137496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439.06700232017681</v>
      </c>
      <c r="BJ135" s="62">
        <f t="shared" si="146"/>
        <v>278.21741231699929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0.53987019966210159</v>
      </c>
      <c r="BR135" s="23">
        <f>EXP(-LN(2)/2)*BR134+(1-EXP(-LN(2)/2))/(LN(2)/2)*BL135*BO135*VLOOKUP('Données projet'!$B$11,Paramètres!$A$1:$I$89,3,0)*0.475*44/12</f>
        <v>6.6212700409441083E-15</v>
      </c>
      <c r="BS135" s="24">
        <f t="shared" si="117"/>
        <v>0.53987019966210825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466.4945858005575</v>
      </c>
      <c r="CE135" s="62">
        <f t="shared" si="148"/>
        <v>294.45557293177131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0.57710262722500538</v>
      </c>
      <c r="CM135" s="23">
        <f>EXP(-LN(2)/2)*CM134+(1-EXP(-LN(2)/2))/(LN(2)/2)*CG135*CJ135*VLOOKUP('Données projet'!$B$12,Paramètres!$A$1:$I$89,3,0)*0.475*44/12</f>
        <v>7.0779093541127129E-15</v>
      </c>
      <c r="CN135" s="24">
        <f t="shared" si="120"/>
        <v>0.57710262722501249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335.83558218229564</v>
      </c>
      <c r="CZ135" s="62">
        <f t="shared" si="150"/>
        <v>217.08423061559648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0.49332966520847221</v>
      </c>
      <c r="DH135" s="23">
        <f>EXP(-LN(2)/2)*DH134+(1-EXP(-LN(2)/2))/(LN(2)/2)*DB135*DE135*VLOOKUP('Données projet'!$B$13,Paramètres!$A$1:$I$89,3,0)*0.475*44/12</f>
        <v>4.9088726165620432E-15</v>
      </c>
      <c r="DI135" s="24">
        <f t="shared" si="123"/>
        <v>0.4933296652084771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4.9658410716801891E-14</v>
      </c>
      <c r="P136" s="14">
        <f t="shared" si="141"/>
        <v>8.0934058173791862E-13</v>
      </c>
      <c r="Q136" s="22">
        <f t="shared" si="108"/>
        <v>1.4960899118586383E-12</v>
      </c>
      <c r="R136" s="62">
        <f t="shared" si="109"/>
        <v>293.33333333333479</v>
      </c>
      <c r="S136" s="62">
        <f ca="1">AVERAGE(OFFSET($R$3,0,0,'Données projet'!$E$9+1,1))-AVERAGE(OFFSET($H$3,0,0,'Données projet'!$E$9+1,1))</f>
        <v>321.62968871874483</v>
      </c>
      <c r="T136" s="62">
        <f t="shared" si="142"/>
        <v>389.91636841473559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1.4712393326984701</v>
      </c>
      <c r="AB136" s="23">
        <f>EXP(-LN(2)/2)*AB135+(1-EXP(-LN(2)/2))/(LN(2)/2)*V136*Y136*VLOOKUP('Données projet'!$B$9,Paramètres!$A$1:$I$89,3,0)*0.475*44/12</f>
        <v>5.7360213174122982E-15</v>
      </c>
      <c r="AC136" s="24">
        <f t="shared" si="111"/>
        <v>1.4712393326984758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405.09126081846171</v>
      </c>
      <c r="AO136" s="62">
        <f t="shared" si="144"/>
        <v>534.22295841722166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3.4284529892431688</v>
      </c>
      <c r="AV136" s="23">
        <f>EXP(-LN(2)/25)*AV135+(1-EXP(-LN(2)/25))/(LN(2)/25)*Calculateur!AQ136*Calculateur!AS136*VLOOKUP('Données projet'!$B$10,Paramètres!$A$1:$I$89,3,0)*0.475*44/12</f>
        <v>1.373868734996899</v>
      </c>
      <c r="AW136" s="23">
        <f>EXP(-LN(2)/2)*AW135+(1-EXP(-LN(2)/2))/(LN(2)/2)*AQ136*AT136*VLOOKUP('Données projet'!$B$10,Paramètres!$A$1:$I$89,3,0)*0.475*44/12</f>
        <v>3.7177100849777993E-15</v>
      </c>
      <c r="AX136" s="23">
        <f t="shared" si="114"/>
        <v>4.8023217242400715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439.06700232017681</v>
      </c>
      <c r="BJ136" s="62">
        <f t="shared" si="146"/>
        <v>278.21741231699929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0.52510742066180149</v>
      </c>
      <c r="BR136" s="23">
        <f>EXP(-LN(2)/2)*BR135+(1-EXP(-LN(2)/2))/(LN(2)/2)*BL136*BO136*VLOOKUP('Données projet'!$B$11,Paramètres!$A$1:$I$89,3,0)*0.475*44/12</f>
        <v>4.6819449460189081E-15</v>
      </c>
      <c r="BS136" s="24">
        <f t="shared" si="117"/>
        <v>0.52510742066180616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466.4945858005575</v>
      </c>
      <c r="CE136" s="62">
        <f t="shared" si="148"/>
        <v>294.45557293177131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0.56132172553502946</v>
      </c>
      <c r="CM136" s="23">
        <f>EXP(-LN(2)/2)*CM135+(1-EXP(-LN(2)/2))/(LN(2)/2)*CG136*CJ136*VLOOKUP('Données projet'!$B$12,Paramètres!$A$1:$I$89,3,0)*0.475*44/12</f>
        <v>5.0048377009167967E-15</v>
      </c>
      <c r="CN136" s="24">
        <f t="shared" si="120"/>
        <v>0.56132172553503445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335.83558218229564</v>
      </c>
      <c r="CZ136" s="62">
        <f t="shared" si="150"/>
        <v>217.08423061559648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0.47983953957026698</v>
      </c>
      <c r="DH136" s="23">
        <f>EXP(-LN(2)/2)*DH135+(1-EXP(-LN(2)/2))/(LN(2)/2)*DB136*DE136*VLOOKUP('Données projet'!$B$13,Paramètres!$A$1:$I$89,3,0)*0.475*44/12</f>
        <v>3.4710971151519718E-15</v>
      </c>
      <c r="DI136" s="24">
        <f t="shared" si="123"/>
        <v>0.47983953957027048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4.9658410716801891E-14</v>
      </c>
      <c r="P137" s="14">
        <f t="shared" si="141"/>
        <v>8.0934058173791862E-13</v>
      </c>
      <c r="Q137" s="22">
        <f t="shared" si="108"/>
        <v>1.4960899118586383E-12</v>
      </c>
      <c r="R137" s="62">
        <f t="shared" si="109"/>
        <v>293.33333333333479</v>
      </c>
      <c r="S137" s="62">
        <f ca="1">AVERAGE(OFFSET($R$3,0,0,'Données projet'!$E$9+1,1))-AVERAGE(OFFSET($H$3,0,0,'Données projet'!$E$9+1,1))</f>
        <v>321.62968871874483</v>
      </c>
      <c r="T137" s="62">
        <f t="shared" si="142"/>
        <v>389.91636841473559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1.4310082157767166</v>
      </c>
      <c r="AB137" s="23">
        <f>EXP(-LN(2)/2)*AB136+(1-EXP(-LN(2)/2))/(LN(2)/2)*V137*Y137*VLOOKUP('Données projet'!$B$9,Paramètres!$A$1:$I$89,3,0)*0.475*44/12</f>
        <v>4.0559795705728299E-15</v>
      </c>
      <c r="AC137" s="24">
        <f t="shared" si="111"/>
        <v>1.4310082157767205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405.09126081846171</v>
      </c>
      <c r="AO137" s="62">
        <f t="shared" si="144"/>
        <v>534.22295841722166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3.36122311727395</v>
      </c>
      <c r="AV137" s="23">
        <f>EXP(-LN(2)/25)*AV136+(1-EXP(-LN(2)/25))/(LN(2)/25)*Calculateur!AQ137*Calculateur!AS137*VLOOKUP('Données projet'!$B$10,Paramètres!$A$1:$I$89,3,0)*0.475*44/12</f>
        <v>1.3363002221897919</v>
      </c>
      <c r="AW137" s="23">
        <f>EXP(-LN(2)/2)*AW136+(1-EXP(-LN(2)/2))/(LN(2)/2)*AQ137*AT137*VLOOKUP('Données projet'!$B$10,Paramètres!$A$1:$I$89,3,0)*0.475*44/12</f>
        <v>2.6288180115734177E-15</v>
      </c>
      <c r="AX137" s="23">
        <f t="shared" si="114"/>
        <v>4.6975233394637446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439.06700232017681</v>
      </c>
      <c r="BJ137" s="62">
        <f t="shared" si="146"/>
        <v>278.21741231699929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0.51074833062960545</v>
      </c>
      <c r="BR137" s="23">
        <f>EXP(-LN(2)/2)*BR136+(1-EXP(-LN(2)/2))/(LN(2)/2)*BL137*BO137*VLOOKUP('Données projet'!$B$11,Paramètres!$A$1:$I$89,3,0)*0.475*44/12</f>
        <v>3.3106350204720542E-15</v>
      </c>
      <c r="BS137" s="24">
        <f t="shared" si="117"/>
        <v>0.51074833062960878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466.4945858005575</v>
      </c>
      <c r="CE137" s="62">
        <f t="shared" si="148"/>
        <v>294.45557293177131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0.54597235343164741</v>
      </c>
      <c r="CM137" s="23">
        <f>EXP(-LN(2)/2)*CM136+(1-EXP(-LN(2)/2))/(LN(2)/2)*CG137*CJ137*VLOOKUP('Données projet'!$B$12,Paramètres!$A$1:$I$89,3,0)*0.475*44/12</f>
        <v>3.5389546770563572E-15</v>
      </c>
      <c r="CN137" s="24">
        <f t="shared" si="120"/>
        <v>0.54597235343165096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335.83558218229564</v>
      </c>
      <c r="CZ137" s="62">
        <f t="shared" si="150"/>
        <v>217.08423061559648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0.46671830212705334</v>
      </c>
      <c r="DH137" s="23">
        <f>EXP(-LN(2)/2)*DH136+(1-EXP(-LN(2)/2))/(LN(2)/2)*DB137*DE137*VLOOKUP('Données projet'!$B$13,Paramètres!$A$1:$I$89,3,0)*0.475*44/12</f>
        <v>2.454436308281022E-15</v>
      </c>
      <c r="DI137" s="24">
        <f t="shared" si="123"/>
        <v>0.46671830212705578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4.9658410716801891E-14</v>
      </c>
      <c r="P138" s="14">
        <f t="shared" si="141"/>
        <v>8.0934058173791862E-13</v>
      </c>
      <c r="Q138" s="22">
        <f t="shared" si="108"/>
        <v>1.4960899118586383E-12</v>
      </c>
      <c r="R138" s="62">
        <f t="shared" si="109"/>
        <v>293.33333333333479</v>
      </c>
      <c r="S138" s="62">
        <f ca="1">AVERAGE(OFFSET($R$3,0,0,'Données projet'!$E$9+1,1))-AVERAGE(OFFSET($H$3,0,0,'Données projet'!$E$9+1,1))</f>
        <v>321.62968871874483</v>
      </c>
      <c r="T138" s="62">
        <f t="shared" si="142"/>
        <v>389.91636841473559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1.3918772208628507</v>
      </c>
      <c r="AB138" s="23">
        <f>EXP(-LN(2)/2)*AB137+(1-EXP(-LN(2)/2))/(LN(2)/2)*V138*Y138*VLOOKUP('Données projet'!$B$9,Paramètres!$A$1:$I$89,3,0)*0.475*44/12</f>
        <v>2.8680106587061491E-15</v>
      </c>
      <c r="AC138" s="24">
        <f t="shared" si="111"/>
        <v>1.3918772208628536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405.09126081846171</v>
      </c>
      <c r="AO138" s="62">
        <f t="shared" si="144"/>
        <v>534.22295841722166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3.2953115820878747</v>
      </c>
      <c r="AV138" s="23">
        <f>EXP(-LN(2)/25)*AV137+(1-EXP(-LN(2)/25))/(LN(2)/25)*Calculateur!AQ138*Calculateur!AS138*VLOOKUP('Données projet'!$B$10,Paramètres!$A$1:$I$89,3,0)*0.475*44/12</f>
        <v>1.2997590223410376</v>
      </c>
      <c r="AW138" s="23">
        <f>EXP(-LN(2)/2)*AW137+(1-EXP(-LN(2)/2))/(LN(2)/2)*AQ138*AT138*VLOOKUP('Données projet'!$B$10,Paramètres!$A$1:$I$89,3,0)*0.475*44/12</f>
        <v>1.8588550424888996E-15</v>
      </c>
      <c r="AX138" s="23">
        <f t="shared" si="114"/>
        <v>4.5950706044289138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439.06700232017681</v>
      </c>
      <c r="BJ138" s="62">
        <f t="shared" si="146"/>
        <v>278.21741231699929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0.4967818906694515</v>
      </c>
      <c r="BR138" s="23">
        <f>EXP(-LN(2)/2)*BR137+(1-EXP(-LN(2)/2))/(LN(2)/2)*BL138*BO138*VLOOKUP('Données projet'!$B$11,Paramètres!$A$1:$I$89,3,0)*0.475*44/12</f>
        <v>2.3409724730094541E-15</v>
      </c>
      <c r="BS138" s="24">
        <f t="shared" si="117"/>
        <v>0.49678189066945383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466.4945858005575</v>
      </c>
      <c r="CE138" s="62">
        <f t="shared" si="148"/>
        <v>294.45557293177131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0.53104271071562081</v>
      </c>
      <c r="CM138" s="23">
        <f>EXP(-LN(2)/2)*CM137+(1-EXP(-LN(2)/2))/(LN(2)/2)*CG138*CJ138*VLOOKUP('Données projet'!$B$12,Paramètres!$A$1:$I$89,3,0)*0.475*44/12</f>
        <v>2.5024188504583987E-15</v>
      </c>
      <c r="CN138" s="24">
        <f t="shared" si="120"/>
        <v>0.53104271071562337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335.83558218229564</v>
      </c>
      <c r="CZ138" s="62">
        <f t="shared" si="150"/>
        <v>217.08423061559648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0.45395586561174028</v>
      </c>
      <c r="DH138" s="23">
        <f>EXP(-LN(2)/2)*DH137+(1-EXP(-LN(2)/2))/(LN(2)/2)*DB138*DE138*VLOOKUP('Données projet'!$B$13,Paramètres!$A$1:$I$89,3,0)*0.475*44/12</f>
        <v>1.7355485575759863E-15</v>
      </c>
      <c r="DI138" s="24">
        <f t="shared" si="123"/>
        <v>0.453955865611742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4.9658410716801891E-14</v>
      </c>
      <c r="P139" s="14">
        <f t="shared" si="141"/>
        <v>8.0934058173791862E-13</v>
      </c>
      <c r="Q139" s="22">
        <f t="shared" si="108"/>
        <v>1.4960899118586383E-12</v>
      </c>
      <c r="R139" s="62">
        <f t="shared" si="109"/>
        <v>293.33333333333479</v>
      </c>
      <c r="S139" s="62">
        <f ca="1">AVERAGE(OFFSET($R$3,0,0,'Données projet'!$E$9+1,1))-AVERAGE(OFFSET($H$3,0,0,'Données projet'!$E$9+1,1))</f>
        <v>321.62968871874483</v>
      </c>
      <c r="T139" s="62">
        <f t="shared" si="142"/>
        <v>389.91636841473559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1.3538162650627141</v>
      </c>
      <c r="AB139" s="23">
        <f>EXP(-LN(2)/2)*AB138+(1-EXP(-LN(2)/2))/(LN(2)/2)*V139*Y139*VLOOKUP('Données projet'!$B$9,Paramètres!$A$1:$I$89,3,0)*0.475*44/12</f>
        <v>2.027989785286415E-15</v>
      </c>
      <c r="AC139" s="24">
        <f t="shared" si="111"/>
        <v>1.3538162650627161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405.09126081846171</v>
      </c>
      <c r="AO139" s="62">
        <f t="shared" si="144"/>
        <v>534.22295841722166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3.2306925319047313</v>
      </c>
      <c r="AV139" s="23">
        <f>EXP(-LN(2)/25)*AV138+(1-EXP(-LN(2)/25))/(LN(2)/25)*Calculateur!AQ139*Calculateur!AS139*VLOOKUP('Données projet'!$B$10,Paramètres!$A$1:$I$89,3,0)*0.475*44/12</f>
        <v>1.2642170435237656</v>
      </c>
      <c r="AW139" s="23">
        <f>EXP(-LN(2)/2)*AW138+(1-EXP(-LN(2)/2))/(LN(2)/2)*AQ139*AT139*VLOOKUP('Données projet'!$B$10,Paramètres!$A$1:$I$89,3,0)*0.475*44/12</f>
        <v>1.3144090057867089E-15</v>
      </c>
      <c r="AX139" s="23">
        <f t="shared" si="114"/>
        <v>4.4949095754284976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439.06700232017681</v>
      </c>
      <c r="BJ139" s="62">
        <f t="shared" si="146"/>
        <v>278.21741231699929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0.48319736374447114</v>
      </c>
      <c r="BR139" s="23">
        <f>EXP(-LN(2)/2)*BR138+(1-EXP(-LN(2)/2))/(LN(2)/2)*BL139*BO139*VLOOKUP('Données projet'!$B$11,Paramètres!$A$1:$I$89,3,0)*0.475*44/12</f>
        <v>1.6553175102360271E-15</v>
      </c>
      <c r="BS139" s="24">
        <f t="shared" si="117"/>
        <v>0.48319736374447281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466.4945858005575</v>
      </c>
      <c r="CE139" s="62">
        <f t="shared" si="148"/>
        <v>294.45557293177131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0.51652131986477967</v>
      </c>
      <c r="CM139" s="23">
        <f>EXP(-LN(2)/2)*CM138+(1-EXP(-LN(2)/2))/(LN(2)/2)*CG139*CJ139*VLOOKUP('Données projet'!$B$12,Paramètres!$A$1:$I$89,3,0)*0.475*44/12</f>
        <v>1.7694773385281788E-15</v>
      </c>
      <c r="CN139" s="24">
        <f t="shared" si="120"/>
        <v>0.51652131986478145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335.83558218229564</v>
      </c>
      <c r="CZ139" s="62">
        <f t="shared" si="150"/>
        <v>217.08423061559648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0.44154241859408583</v>
      </c>
      <c r="DH139" s="23">
        <f>EXP(-LN(2)/2)*DH138+(1-EXP(-LN(2)/2))/(LN(2)/2)*DB139*DE139*VLOOKUP('Données projet'!$B$13,Paramètres!$A$1:$I$89,3,0)*0.475*44/12</f>
        <v>1.2272181541405112E-15</v>
      </c>
      <c r="DI139" s="24">
        <f t="shared" si="123"/>
        <v>0.44154241859408705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4.9658410716801891E-14</v>
      </c>
      <c r="P140" s="14">
        <f t="shared" si="141"/>
        <v>8.0934058173791862E-13</v>
      </c>
      <c r="Q140" s="22">
        <f t="shared" si="108"/>
        <v>1.4960899118586383E-12</v>
      </c>
      <c r="R140" s="62">
        <f t="shared" si="109"/>
        <v>293.33333333333479</v>
      </c>
      <c r="S140" s="62">
        <f ca="1">AVERAGE(OFFSET($R$3,0,0,'Données projet'!$E$9+1,1))-AVERAGE(OFFSET($H$3,0,0,'Données projet'!$E$9+1,1))</f>
        <v>321.62968871874483</v>
      </c>
      <c r="T140" s="62">
        <f t="shared" si="142"/>
        <v>389.91636841473559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1.316796088100471</v>
      </c>
      <c r="AB140" s="23">
        <f>EXP(-LN(2)/2)*AB139+(1-EXP(-LN(2)/2))/(LN(2)/2)*V140*Y140*VLOOKUP('Données projet'!$B$9,Paramètres!$A$1:$I$89,3,0)*0.475*44/12</f>
        <v>1.4340053293530746E-15</v>
      </c>
      <c r="AC140" s="24">
        <f t="shared" si="111"/>
        <v>1.3167960881004723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405.09126081846171</v>
      </c>
      <c r="AO140" s="62">
        <f t="shared" si="144"/>
        <v>534.22295841722166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3.1673406218819506</v>
      </c>
      <c r="AV140" s="23">
        <f>EXP(-LN(2)/25)*AV139+(1-EXP(-LN(2)/25))/(LN(2)/25)*Calculateur!AQ140*Calculateur!AS140*VLOOKUP('Données projet'!$B$10,Paramètres!$A$1:$I$89,3,0)*0.475*44/12</f>
        <v>1.2296469619863233</v>
      </c>
      <c r="AW140" s="23">
        <f>EXP(-LN(2)/2)*AW139+(1-EXP(-LN(2)/2))/(LN(2)/2)*AQ140*AT140*VLOOKUP('Données projet'!$B$10,Paramètres!$A$1:$I$89,3,0)*0.475*44/12</f>
        <v>9.2942752124444982E-16</v>
      </c>
      <c r="AX140" s="23">
        <f t="shared" si="114"/>
        <v>4.3969875838682748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439.06700232017681</v>
      </c>
      <c r="BJ140" s="62">
        <f t="shared" si="146"/>
        <v>278.21741231699929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0.46998430642263356</v>
      </c>
      <c r="BR140" s="23">
        <f>EXP(-LN(2)/2)*BR139+(1-EXP(-LN(2)/2))/(LN(2)/2)*BL140*BO140*VLOOKUP('Données projet'!$B$11,Paramètres!$A$1:$I$89,3,0)*0.475*44/12</f>
        <v>1.170486236504727E-15</v>
      </c>
      <c r="BS140" s="24">
        <f t="shared" si="117"/>
        <v>0.46998430642263472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466.4945858005575</v>
      </c>
      <c r="CE140" s="62">
        <f t="shared" si="148"/>
        <v>294.45557293177131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0.50239701721040153</v>
      </c>
      <c r="CM140" s="23">
        <f>EXP(-LN(2)/2)*CM139+(1-EXP(-LN(2)/2))/(LN(2)/2)*CG140*CJ140*VLOOKUP('Données projet'!$B$12,Paramètres!$A$1:$I$89,3,0)*0.475*44/12</f>
        <v>1.2512094252291996E-15</v>
      </c>
      <c r="CN140" s="24">
        <f t="shared" si="120"/>
        <v>0.50239701721040275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335.83558218229564</v>
      </c>
      <c r="CZ140" s="62">
        <f t="shared" si="150"/>
        <v>217.08423061559648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0.4294684179379239</v>
      </c>
      <c r="DH140" s="23">
        <f>EXP(-LN(2)/2)*DH139+(1-EXP(-LN(2)/2))/(LN(2)/2)*DB140*DE140*VLOOKUP('Données projet'!$B$13,Paramètres!$A$1:$I$89,3,0)*0.475*44/12</f>
        <v>8.6777427878799323E-16</v>
      </c>
      <c r="DI140" s="24">
        <f t="shared" si="123"/>
        <v>0.42946841793792478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4.9658410716801891E-14</v>
      </c>
      <c r="P141" s="14">
        <f t="shared" si="141"/>
        <v>8.0934058173791862E-13</v>
      </c>
      <c r="Q141" s="22">
        <f t="shared" si="108"/>
        <v>1.4960899118586383E-12</v>
      </c>
      <c r="R141" s="62">
        <f t="shared" si="109"/>
        <v>293.33333333333479</v>
      </c>
      <c r="S141" s="62">
        <f ca="1">AVERAGE(OFFSET($R$3,0,0,'Données projet'!$E$9+1,1))-AVERAGE(OFFSET($H$3,0,0,'Données projet'!$E$9+1,1))</f>
        <v>321.62968871874483</v>
      </c>
      <c r="T141" s="62">
        <f t="shared" si="142"/>
        <v>389.91636841473559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1.2807882298240669</v>
      </c>
      <c r="AB141" s="23">
        <f>EXP(-LN(2)/2)*AB140+(1-EXP(-LN(2)/2))/(LN(2)/2)*V141*Y141*VLOOKUP('Données projet'!$B$9,Paramètres!$A$1:$I$89,3,0)*0.475*44/12</f>
        <v>1.0139948926432075E-15</v>
      </c>
      <c r="AC141" s="24">
        <f t="shared" si="111"/>
        <v>1.280788229824068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405.09126081846171</v>
      </c>
      <c r="AO141" s="62">
        <f t="shared" si="144"/>
        <v>534.22295841722166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3.1052310041738669</v>
      </c>
      <c r="AV141" s="23">
        <f>EXP(-LN(2)/25)*AV140+(1-EXP(-LN(2)/25))/(LN(2)/25)*Calculateur!AQ141*Calculateur!AS141*VLOOKUP('Données projet'!$B$10,Paramètres!$A$1:$I$89,3,0)*0.475*44/12</f>
        <v>1.1960222011464838</v>
      </c>
      <c r="AW141" s="23">
        <f>EXP(-LN(2)/2)*AW140+(1-EXP(-LN(2)/2))/(LN(2)/2)*AQ141*AT141*VLOOKUP('Données projet'!$B$10,Paramètres!$A$1:$I$89,3,0)*0.475*44/12</f>
        <v>6.5720450289335443E-16</v>
      </c>
      <c r="AX141" s="23">
        <f t="shared" si="114"/>
        <v>4.3012532053203518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439.06700232017681</v>
      </c>
      <c r="BJ141" s="62">
        <f t="shared" si="146"/>
        <v>278.21741231699929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0.45713256084810611</v>
      </c>
      <c r="BR141" s="23">
        <f>EXP(-LN(2)/2)*BR140+(1-EXP(-LN(2)/2))/(LN(2)/2)*BL141*BO141*VLOOKUP('Données projet'!$B$11,Paramètres!$A$1:$I$89,3,0)*0.475*44/12</f>
        <v>8.2765875511801354E-16</v>
      </c>
      <c r="BS141" s="24">
        <f t="shared" si="117"/>
        <v>0.45713256084810694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466.4945858005575</v>
      </c>
      <c r="CE141" s="62">
        <f t="shared" si="148"/>
        <v>294.45557293177131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0.48865894435487223</v>
      </c>
      <c r="CM141" s="23">
        <f>EXP(-LN(2)/2)*CM140+(1-EXP(-LN(2)/2))/(LN(2)/2)*CG141*CJ141*VLOOKUP('Données projet'!$B$12,Paramètres!$A$1:$I$89,3,0)*0.475*44/12</f>
        <v>8.8473866926408961E-16</v>
      </c>
      <c r="CN141" s="24">
        <f t="shared" si="120"/>
        <v>0.48865894435487311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335.83558218229564</v>
      </c>
      <c r="CZ141" s="62">
        <f t="shared" si="150"/>
        <v>217.08423061559648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0.41772458146464886</v>
      </c>
      <c r="DH141" s="23">
        <f>EXP(-LN(2)/2)*DH140+(1-EXP(-LN(2)/2))/(LN(2)/2)*DB141*DE141*VLOOKUP('Données projet'!$B$13,Paramètres!$A$1:$I$89,3,0)*0.475*44/12</f>
        <v>6.1360907707025569E-16</v>
      </c>
      <c r="DI141" s="24">
        <f t="shared" si="123"/>
        <v>0.41772458146464947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4.9658410716801891E-14</v>
      </c>
      <c r="P142" s="14">
        <f t="shared" si="141"/>
        <v>8.0934058173791862E-13</v>
      </c>
      <c r="Q142" s="22">
        <f t="shared" si="108"/>
        <v>1.4960899118586383E-12</v>
      </c>
      <c r="R142" s="62">
        <f t="shared" si="109"/>
        <v>293.33333333333479</v>
      </c>
      <c r="S142" s="62">
        <f ca="1">AVERAGE(OFFSET($R$3,0,0,'Données projet'!$E$9+1,1))-AVERAGE(OFFSET($H$3,0,0,'Données projet'!$E$9+1,1))</f>
        <v>321.62968871874483</v>
      </c>
      <c r="T142" s="62">
        <f t="shared" si="142"/>
        <v>389.91636841473559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1.2457650083258021</v>
      </c>
      <c r="AB142" s="23">
        <f>EXP(-LN(2)/2)*AB141+(1-EXP(-LN(2)/2))/(LN(2)/2)*V142*Y142*VLOOKUP('Données projet'!$B$9,Paramètres!$A$1:$I$89,3,0)*0.475*44/12</f>
        <v>7.1700266467653728E-16</v>
      </c>
      <c r="AC142" s="24">
        <f t="shared" si="111"/>
        <v>1.2457650083258027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405.09126081846171</v>
      </c>
      <c r="AO142" s="62">
        <f t="shared" si="144"/>
        <v>534.22295841722166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3.0443393181859126</v>
      </c>
      <c r="AV142" s="23">
        <f>EXP(-LN(2)/25)*AV141+(1-EXP(-LN(2)/25))/(LN(2)/25)*Calculateur!AQ142*Calculateur!AS142*VLOOKUP('Données projet'!$B$10,Paramètres!$A$1:$I$89,3,0)*0.475*44/12</f>
        <v>1.1633169111600592</v>
      </c>
      <c r="AW142" s="23">
        <f>EXP(-LN(2)/2)*AW141+(1-EXP(-LN(2)/2))/(LN(2)/2)*AQ142*AT142*VLOOKUP('Données projet'!$B$10,Paramètres!$A$1:$I$89,3,0)*0.475*44/12</f>
        <v>4.6471376062222491E-16</v>
      </c>
      <c r="AX142" s="23">
        <f t="shared" si="114"/>
        <v>4.2076562293459725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439.06700232017681</v>
      </c>
      <c r="BJ142" s="62">
        <f t="shared" si="146"/>
        <v>278.21741231699929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0.44463224693215808</v>
      </c>
      <c r="BR142" s="23">
        <f>EXP(-LN(2)/2)*BR141+(1-EXP(-LN(2)/2))/(LN(2)/2)*BL142*BO142*VLOOKUP('Données projet'!$B$11,Paramètres!$A$1:$I$89,3,0)*0.475*44/12</f>
        <v>5.8524311825236352E-16</v>
      </c>
      <c r="BS142" s="24">
        <f t="shared" si="117"/>
        <v>0.44463224693215869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466.4945858005575</v>
      </c>
      <c r="CE142" s="62">
        <f t="shared" si="148"/>
        <v>294.45557293177131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0.47529653982403119</v>
      </c>
      <c r="CM142" s="23">
        <f>EXP(-LN(2)/2)*CM141+(1-EXP(-LN(2)/2))/(LN(2)/2)*CG142*CJ142*VLOOKUP('Données projet'!$B$12,Paramètres!$A$1:$I$89,3,0)*0.475*44/12</f>
        <v>6.2560471261459988E-16</v>
      </c>
      <c r="CN142" s="24">
        <f t="shared" si="120"/>
        <v>0.47529653982403181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335.83558218229564</v>
      </c>
      <c r="CZ142" s="62">
        <f t="shared" si="150"/>
        <v>217.08423061559648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0.406301880817317</v>
      </c>
      <c r="DH142" s="23">
        <f>EXP(-LN(2)/2)*DH141+(1-EXP(-LN(2)/2))/(LN(2)/2)*DB142*DE142*VLOOKUP('Données projet'!$B$13,Paramètres!$A$1:$I$89,3,0)*0.475*44/12</f>
        <v>4.3388713939399672E-16</v>
      </c>
      <c r="DI142" s="24">
        <f t="shared" si="123"/>
        <v>0.40630188081731744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4.9658410716801891E-14</v>
      </c>
      <c r="P143" s="14">
        <f t="shared" si="141"/>
        <v>8.0934058173791862E-13</v>
      </c>
      <c r="Q143" s="22">
        <f t="shared" si="108"/>
        <v>1.4960899118586383E-12</v>
      </c>
      <c r="R143" s="62">
        <f t="shared" si="109"/>
        <v>293.33333333333479</v>
      </c>
      <c r="S143" s="62">
        <f ca="1">AVERAGE(OFFSET($R$3,0,0,'Données projet'!$E$9+1,1))-AVERAGE(OFFSET($H$3,0,0,'Données projet'!$E$9+1,1))</f>
        <v>321.62968871874483</v>
      </c>
      <c r="T143" s="62">
        <f t="shared" si="142"/>
        <v>389.91636841473559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1.2116994986611984</v>
      </c>
      <c r="AB143" s="23">
        <f>EXP(-LN(2)/2)*AB142+(1-EXP(-LN(2)/2))/(LN(2)/2)*V143*Y143*VLOOKUP('Données projet'!$B$9,Paramètres!$A$1:$I$89,3,0)*0.475*44/12</f>
        <v>5.0699744632160374E-16</v>
      </c>
      <c r="AC143" s="24">
        <f t="shared" si="111"/>
        <v>1.2116994986611989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405.09126081846171</v>
      </c>
      <c r="AO143" s="62">
        <f t="shared" si="144"/>
        <v>534.22295841722166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2.9846416810199208</v>
      </c>
      <c r="AV143" s="23">
        <f>EXP(-LN(2)/25)*AV142+(1-EXP(-LN(2)/25))/(LN(2)/25)*Calculateur!AQ143*Calculateur!AS143*VLOOKUP('Données projet'!$B$10,Paramètres!$A$1:$I$89,3,0)*0.475*44/12</f>
        <v>1.1315059490482098</v>
      </c>
      <c r="AW143" s="23">
        <f>EXP(-LN(2)/2)*AW142+(1-EXP(-LN(2)/2))/(LN(2)/2)*AQ143*AT143*VLOOKUP('Données projet'!$B$10,Paramètres!$A$1:$I$89,3,0)*0.475*44/12</f>
        <v>3.2860225144667722E-16</v>
      </c>
      <c r="AX143" s="23">
        <f t="shared" si="114"/>
        <v>4.1161476300681308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439.06700232017681</v>
      </c>
      <c r="BJ143" s="62">
        <f t="shared" si="146"/>
        <v>278.21741231699929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0.43247375475760458</v>
      </c>
      <c r="BR143" s="23">
        <f>EXP(-LN(2)/2)*BR142+(1-EXP(-LN(2)/2))/(LN(2)/2)*BL143*BO143*VLOOKUP('Données projet'!$B$11,Paramètres!$A$1:$I$89,3,0)*0.475*44/12</f>
        <v>4.1382937755900677E-16</v>
      </c>
      <c r="BS143" s="24">
        <f t="shared" si="117"/>
        <v>0.43247375475760497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466.4945858005575</v>
      </c>
      <c r="CE143" s="62">
        <f t="shared" si="148"/>
        <v>294.45557293177131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0.46229953094778431</v>
      </c>
      <c r="CM143" s="23">
        <f>EXP(-LN(2)/2)*CM142+(1-EXP(-LN(2)/2))/(LN(2)/2)*CG143*CJ143*VLOOKUP('Données projet'!$B$12,Paramètres!$A$1:$I$89,3,0)*0.475*44/12</f>
        <v>4.4236933463204485E-16</v>
      </c>
      <c r="CN143" s="24">
        <f t="shared" si="120"/>
        <v>0.46229953094778475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335.83558218229564</v>
      </c>
      <c r="CZ143" s="62">
        <f t="shared" si="150"/>
        <v>217.08423061559648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0.39519153451988015</v>
      </c>
      <c r="DH143" s="23">
        <f>EXP(-LN(2)/2)*DH142+(1-EXP(-LN(2)/2))/(LN(2)/2)*DB143*DE143*VLOOKUP('Données projet'!$B$13,Paramètres!$A$1:$I$89,3,0)*0.475*44/12</f>
        <v>3.0680453853512789E-16</v>
      </c>
      <c r="DI143" s="24">
        <f t="shared" si="123"/>
        <v>0.39519153451988048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4.9658410716801891E-14</v>
      </c>
      <c r="P144" s="14">
        <f t="shared" si="141"/>
        <v>8.0934058173791862E-13</v>
      </c>
      <c r="Q144" s="22">
        <f t="shared" si="108"/>
        <v>1.4960899118586383E-12</v>
      </c>
      <c r="R144" s="62">
        <f t="shared" si="109"/>
        <v>293.33333333333479</v>
      </c>
      <c r="S144" s="62">
        <f ca="1">AVERAGE(OFFSET($R$3,0,0,'Données projet'!$E$9+1,1))-AVERAGE(OFFSET($H$3,0,0,'Données projet'!$E$9+1,1))</f>
        <v>321.62968871874483</v>
      </c>
      <c r="T144" s="62">
        <f t="shared" si="142"/>
        <v>389.91636841473559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1.1785655121498007</v>
      </c>
      <c r="AB144" s="23">
        <f>EXP(-LN(2)/2)*AB143+(1-EXP(-LN(2)/2))/(LN(2)/2)*V144*Y144*VLOOKUP('Données projet'!$B$9,Paramètres!$A$1:$I$89,3,0)*0.475*44/12</f>
        <v>3.5850133233826864E-16</v>
      </c>
      <c r="AC144" s="24">
        <f t="shared" si="111"/>
        <v>1.1785655121498011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405.09126081846171</v>
      </c>
      <c r="AO144" s="62">
        <f t="shared" si="144"/>
        <v>534.22295841722166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2.9261146781067908</v>
      </c>
      <c r="AV144" s="23">
        <f>EXP(-LN(2)/25)*AV143+(1-EXP(-LN(2)/25))/(LN(2)/25)*Calculateur!AQ144*Calculateur!AS144*VLOOKUP('Données projet'!$B$10,Paramètres!$A$1:$I$89,3,0)*0.475*44/12</f>
        <v>1.1005648593681747</v>
      </c>
      <c r="AW144" s="23">
        <f>EXP(-LN(2)/2)*AW143+(1-EXP(-LN(2)/2))/(LN(2)/2)*AQ144*AT144*VLOOKUP('Données projet'!$B$10,Paramètres!$A$1:$I$89,3,0)*0.475*44/12</f>
        <v>2.3235688031111246E-16</v>
      </c>
      <c r="AX144" s="23">
        <f t="shared" si="114"/>
        <v>4.0266795374749655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439.06700232017681</v>
      </c>
      <c r="BJ144" s="62">
        <f t="shared" si="146"/>
        <v>278.21741231699929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0.42064773719095155</v>
      </c>
      <c r="BR144" s="23">
        <f>EXP(-LN(2)/2)*BR143+(1-EXP(-LN(2)/2))/(LN(2)/2)*BL144*BO144*VLOOKUP('Données projet'!$B$11,Paramètres!$A$1:$I$89,3,0)*0.475*44/12</f>
        <v>2.9262155912618176E-16</v>
      </c>
      <c r="BS144" s="24">
        <f t="shared" si="117"/>
        <v>0.42064773719095183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466.4945858005575</v>
      </c>
      <c r="CE144" s="62">
        <f t="shared" si="148"/>
        <v>294.45557293177131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0.4496579259627414</v>
      </c>
      <c r="CM144" s="23">
        <f>EXP(-LN(2)/2)*CM143+(1-EXP(-LN(2)/2))/(LN(2)/2)*CG144*CJ144*VLOOKUP('Données projet'!$B$12,Paramètres!$A$1:$I$89,3,0)*0.475*44/12</f>
        <v>3.1280235630729999E-16</v>
      </c>
      <c r="CN144" s="24">
        <f t="shared" si="120"/>
        <v>0.44965792596274173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335.83558218229564</v>
      </c>
      <c r="CZ144" s="62">
        <f t="shared" si="150"/>
        <v>217.08423061559648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0.38438500122621444</v>
      </c>
      <c r="DH144" s="23">
        <f>EXP(-LN(2)/2)*DH143+(1-EXP(-LN(2)/2))/(LN(2)/2)*DB144*DE144*VLOOKUP('Données projet'!$B$13,Paramètres!$A$1:$I$89,3,0)*0.475*44/12</f>
        <v>2.1694356969699838E-16</v>
      </c>
      <c r="DI144" s="24">
        <f t="shared" si="123"/>
        <v>0.38438500122621466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4.9658410716801891E-14</v>
      </c>
      <c r="P145" s="14">
        <f t="shared" si="141"/>
        <v>8.0934058173791862E-13</v>
      </c>
      <c r="Q145" s="22">
        <f t="shared" si="108"/>
        <v>1.4960899118586383E-12</v>
      </c>
      <c r="R145" s="62">
        <f t="shared" si="109"/>
        <v>293.33333333333479</v>
      </c>
      <c r="S145" s="62">
        <f ca="1">AVERAGE(OFFSET($R$3,0,0,'Données projet'!$E$9+1,1))-AVERAGE(OFFSET($H$3,0,0,'Données projet'!$E$9+1,1))</f>
        <v>321.62968871874483</v>
      </c>
      <c r="T145" s="62">
        <f t="shared" si="142"/>
        <v>389.91636841473559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1.1463375762419976</v>
      </c>
      <c r="AB145" s="23">
        <f>EXP(-LN(2)/2)*AB144+(1-EXP(-LN(2)/2))/(LN(2)/2)*V145*Y145*VLOOKUP('Données projet'!$B$9,Paramètres!$A$1:$I$89,3,0)*0.475*44/12</f>
        <v>2.5349872316080187E-16</v>
      </c>
      <c r="AC145" s="24">
        <f t="shared" si="111"/>
        <v>1.1463375762419978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405.09126081846171</v>
      </c>
      <c r="AO145" s="62">
        <f t="shared" si="144"/>
        <v>534.22295841722166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2.8687353540228404</v>
      </c>
      <c r="AV145" s="23">
        <f>EXP(-LN(2)/25)*AV144+(1-EXP(-LN(2)/25))/(LN(2)/25)*Calculateur!AQ145*Calculateur!AS145*VLOOKUP('Données projet'!$B$10,Paramètres!$A$1:$I$89,3,0)*0.475*44/12</f>
        <v>1.0704698554125613</v>
      </c>
      <c r="AW145" s="23">
        <f>EXP(-LN(2)/2)*AW144+(1-EXP(-LN(2)/2))/(LN(2)/2)*AQ145*AT145*VLOOKUP('Données projet'!$B$10,Paramètres!$A$1:$I$89,3,0)*0.475*44/12</f>
        <v>1.6430112572333861E-16</v>
      </c>
      <c r="AX145" s="23">
        <f t="shared" si="114"/>
        <v>3.9392052094354018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439.06700232017681</v>
      </c>
      <c r="BJ145" s="62">
        <f t="shared" si="146"/>
        <v>278.21741231699929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0.4091451026965619</v>
      </c>
      <c r="BR145" s="23">
        <f>EXP(-LN(2)/2)*BR144+(1-EXP(-LN(2)/2))/(LN(2)/2)*BL145*BO145*VLOOKUP('Données projet'!$B$11,Paramètres!$A$1:$I$89,3,0)*0.475*44/12</f>
        <v>2.0691468877950339E-16</v>
      </c>
      <c r="BS145" s="24">
        <f t="shared" si="117"/>
        <v>0.40914510269656212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466.4945858005575</v>
      </c>
      <c r="CE145" s="62">
        <f t="shared" si="148"/>
        <v>294.45557293177131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0.43736200633080763</v>
      </c>
      <c r="CM145" s="23">
        <f>EXP(-LN(2)/2)*CM144+(1-EXP(-LN(2)/2))/(LN(2)/2)*CG145*CJ145*VLOOKUP('Données projet'!$B$12,Paramètres!$A$1:$I$89,3,0)*0.475*44/12</f>
        <v>2.2118466731602248E-16</v>
      </c>
      <c r="CN145" s="24">
        <f t="shared" si="120"/>
        <v>0.43736200633080785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335.83558218229564</v>
      </c>
      <c r="CZ145" s="62">
        <f t="shared" si="150"/>
        <v>217.08423061559648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0.37387397315375492</v>
      </c>
      <c r="DH145" s="23">
        <f>EXP(-LN(2)/2)*DH144+(1-EXP(-LN(2)/2))/(LN(2)/2)*DB145*DE145*VLOOKUP('Données projet'!$B$13,Paramètres!$A$1:$I$89,3,0)*0.475*44/12</f>
        <v>1.5340226926756397E-16</v>
      </c>
      <c r="DI145" s="24">
        <f t="shared" si="123"/>
        <v>0.37387397315375509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4.9658410716801891E-14</v>
      </c>
      <c r="P146" s="14">
        <f t="shared" si="141"/>
        <v>8.0934058173791862E-13</v>
      </c>
      <c r="Q146" s="22">
        <f t="shared" si="108"/>
        <v>1.4960899118586383E-12</v>
      </c>
      <c r="R146" s="62">
        <f t="shared" si="109"/>
        <v>293.33333333333479</v>
      </c>
      <c r="S146" s="62">
        <f ca="1">AVERAGE(OFFSET($R$3,0,0,'Données projet'!$E$9+1,1))-AVERAGE(OFFSET($H$3,0,0,'Données projet'!$E$9+1,1))</f>
        <v>321.62968871874483</v>
      </c>
      <c r="T146" s="62">
        <f t="shared" si="142"/>
        <v>389.91636841473559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1.114990914936387</v>
      </c>
      <c r="AB146" s="23">
        <f>EXP(-LN(2)/2)*AB145+(1-EXP(-LN(2)/2))/(LN(2)/2)*V146*Y146*VLOOKUP('Données projet'!$B$9,Paramètres!$A$1:$I$89,3,0)*0.475*44/12</f>
        <v>1.7925066616913432E-16</v>
      </c>
      <c r="AC146" s="24">
        <f t="shared" si="111"/>
        <v>1.1149909149363872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405.09126081846171</v>
      </c>
      <c r="AO146" s="62">
        <f t="shared" si="144"/>
        <v>534.22295841722166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2.8124812034862443</v>
      </c>
      <c r="AV146" s="23">
        <f>EXP(-LN(2)/25)*AV145+(1-EXP(-LN(2)/25))/(LN(2)/25)*Calculateur!AQ146*Calculateur!AS146*VLOOKUP('Données projet'!$B$10,Paramètres!$A$1:$I$89,3,0)*0.475*44/12</f>
        <v>1.0411978009227418</v>
      </c>
      <c r="AW146" s="23">
        <f>EXP(-LN(2)/2)*AW145+(1-EXP(-LN(2)/2))/(LN(2)/2)*AQ146*AT146*VLOOKUP('Données projet'!$B$10,Paramètres!$A$1:$I$89,3,0)*0.475*44/12</f>
        <v>1.1617844015555623E-16</v>
      </c>
      <c r="AX146" s="23">
        <f t="shared" si="114"/>
        <v>3.8536790044089861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439.06700232017681</v>
      </c>
      <c r="BJ146" s="62">
        <f t="shared" si="146"/>
        <v>278.21741231699929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0.39795700834731856</v>
      </c>
      <c r="BR146" s="23">
        <f>EXP(-LN(2)/2)*BR145+(1-EXP(-LN(2)/2))/(LN(2)/2)*BL146*BO146*VLOOKUP('Données projet'!$B$11,Paramètres!$A$1:$I$89,3,0)*0.475*44/12</f>
        <v>1.4631077956309088E-16</v>
      </c>
      <c r="BS146" s="24">
        <f t="shared" si="117"/>
        <v>0.39795700834731873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466.4945858005575</v>
      </c>
      <c r="CE146" s="62">
        <f t="shared" si="148"/>
        <v>294.45557293177131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0.4254023192678234</v>
      </c>
      <c r="CM146" s="23">
        <f>EXP(-LN(2)/2)*CM145+(1-EXP(-LN(2)/2))/(LN(2)/2)*CG146*CJ146*VLOOKUP('Données projet'!$B$12,Paramètres!$A$1:$I$89,3,0)*0.475*44/12</f>
        <v>1.5640117815365002E-16</v>
      </c>
      <c r="CN146" s="24">
        <f t="shared" si="120"/>
        <v>0.42540231926782357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335.83558218229564</v>
      </c>
      <c r="CZ146" s="62">
        <f t="shared" si="150"/>
        <v>217.08423061559648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0.36365036969668774</v>
      </c>
      <c r="DH146" s="23">
        <f>EXP(-LN(2)/2)*DH145+(1-EXP(-LN(2)/2))/(LN(2)/2)*DB146*DE146*VLOOKUP('Données projet'!$B$13,Paramètres!$A$1:$I$89,3,0)*0.475*44/12</f>
        <v>1.084717848484992E-16</v>
      </c>
      <c r="DI146" s="24">
        <f t="shared" si="123"/>
        <v>0.36365036969668785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4.9658410716801891E-14</v>
      </c>
      <c r="P147" s="14">
        <f t="shared" si="141"/>
        <v>8.0934058173791862E-13</v>
      </c>
      <c r="Q147" s="22">
        <f t="shared" si="108"/>
        <v>1.4960899118586383E-12</v>
      </c>
      <c r="R147" s="62">
        <f t="shared" si="109"/>
        <v>293.33333333333479</v>
      </c>
      <c r="S147" s="62">
        <f ca="1">AVERAGE(OFFSET($R$3,0,0,'Données projet'!$E$9+1,1))-AVERAGE(OFFSET($H$3,0,0,'Données projet'!$E$9+1,1))</f>
        <v>321.62968871874483</v>
      </c>
      <c r="T147" s="62">
        <f t="shared" si="142"/>
        <v>389.91636841473559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1.0845014297326276</v>
      </c>
      <c r="AB147" s="23">
        <f>EXP(-LN(2)/2)*AB146+(1-EXP(-LN(2)/2))/(LN(2)/2)*V147*Y147*VLOOKUP('Données projet'!$B$9,Paramètres!$A$1:$I$89,3,0)*0.475*44/12</f>
        <v>1.2674936158040094E-16</v>
      </c>
      <c r="AC147" s="24">
        <f t="shared" si="111"/>
        <v>1.0845014297326279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405.09126081846171</v>
      </c>
      <c r="AO147" s="62">
        <f t="shared" si="144"/>
        <v>534.22295841722166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2.7573301625300273</v>
      </c>
      <c r="AV147" s="23">
        <f>EXP(-LN(2)/25)*AV146+(1-EXP(-LN(2)/25))/(LN(2)/25)*Calculateur!AQ147*Calculateur!AS147*VLOOKUP('Données projet'!$B$10,Paramètres!$A$1:$I$89,3,0)*0.475*44/12</f>
        <v>1.0127261923022968</v>
      </c>
      <c r="AW147" s="23">
        <f>EXP(-LN(2)/2)*AW146+(1-EXP(-LN(2)/2))/(LN(2)/2)*AQ147*AT147*VLOOKUP('Données projet'!$B$10,Paramètres!$A$1:$I$89,3,0)*0.475*44/12</f>
        <v>8.2150562861669304E-17</v>
      </c>
      <c r="AX147" s="23">
        <f t="shared" si="114"/>
        <v>3.7700563548323238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439.06700232017681</v>
      </c>
      <c r="BJ147" s="62">
        <f t="shared" si="146"/>
        <v>278.21741231699929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0.38707485302641159</v>
      </c>
      <c r="BR147" s="23">
        <f>EXP(-LN(2)/2)*BR146+(1-EXP(-LN(2)/2))/(LN(2)/2)*BL147*BO147*VLOOKUP('Données projet'!$B$11,Paramètres!$A$1:$I$89,3,0)*0.475*44/12</f>
        <v>1.0345734438975169E-16</v>
      </c>
      <c r="BS147" s="24">
        <f t="shared" si="117"/>
        <v>0.3870748530264117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466.4945858005575</v>
      </c>
      <c r="CE147" s="62">
        <f t="shared" si="148"/>
        <v>294.45557293177131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0.41376967047650909</v>
      </c>
      <c r="CM147" s="23">
        <f>EXP(-LN(2)/2)*CM146+(1-EXP(-LN(2)/2))/(LN(2)/2)*CG147*CJ147*VLOOKUP('Données projet'!$B$12,Paramètres!$A$1:$I$89,3,0)*0.475*44/12</f>
        <v>1.1059233365801125E-16</v>
      </c>
      <c r="CN147" s="24">
        <f t="shared" si="120"/>
        <v>0.4137696704765092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335.83558218229564</v>
      </c>
      <c r="CZ147" s="62">
        <f t="shared" si="150"/>
        <v>217.08423061559648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0.35370633121379003</v>
      </c>
      <c r="DH147" s="23">
        <f>EXP(-LN(2)/2)*DH146+(1-EXP(-LN(2)/2))/(LN(2)/2)*DB147*DE147*VLOOKUP('Données projet'!$B$13,Paramètres!$A$1:$I$89,3,0)*0.475*44/12</f>
        <v>7.6701134633781998E-17</v>
      </c>
      <c r="DI147" s="24">
        <f t="shared" si="123"/>
        <v>0.35370633121379008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4.9658410716801891E-14</v>
      </c>
      <c r="P148" s="14">
        <f t="shared" si="141"/>
        <v>8.0934058173791862E-13</v>
      </c>
      <c r="Q148" s="22">
        <f t="shared" si="108"/>
        <v>1.4960899118586383E-12</v>
      </c>
      <c r="R148" s="62">
        <f t="shared" si="109"/>
        <v>293.33333333333479</v>
      </c>
      <c r="S148" s="62">
        <f ca="1">AVERAGE(OFFSET($R$3,0,0,'Données projet'!$E$9+1,1))-AVERAGE(OFFSET($H$3,0,0,'Données projet'!$E$9+1,1))</f>
        <v>321.62968871874483</v>
      </c>
      <c r="T148" s="62">
        <f t="shared" si="142"/>
        <v>389.91636841473559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1.0548456811051374</v>
      </c>
      <c r="AB148" s="23">
        <f>EXP(-LN(2)/2)*AB147+(1-EXP(-LN(2)/2))/(LN(2)/2)*V148*Y148*VLOOKUP('Données projet'!$B$9,Paramètres!$A$1:$I$89,3,0)*0.475*44/12</f>
        <v>8.962533308456716E-17</v>
      </c>
      <c r="AC148" s="24">
        <f t="shared" si="111"/>
        <v>1.0548456811051374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405.09126081846171</v>
      </c>
      <c r="AO148" s="62">
        <f t="shared" si="144"/>
        <v>534.22295841722166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2.7032605998481483</v>
      </c>
      <c r="AV148" s="23">
        <f>EXP(-LN(2)/25)*AV147+(1-EXP(-LN(2)/25))/(LN(2)/25)*Calculateur!AQ148*Calculateur!AS148*VLOOKUP('Données projet'!$B$10,Paramètres!$A$1:$I$89,3,0)*0.475*44/12</f>
        <v>0.98503314131683462</v>
      </c>
      <c r="AW148" s="23">
        <f>EXP(-LN(2)/2)*AW147+(1-EXP(-LN(2)/2))/(LN(2)/2)*AQ148*AT148*VLOOKUP('Données projet'!$B$10,Paramètres!$A$1:$I$89,3,0)*0.475*44/12</f>
        <v>5.8089220077778114E-17</v>
      </c>
      <c r="AX148" s="23">
        <f t="shared" si="114"/>
        <v>3.688293741164983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439.06700232017681</v>
      </c>
      <c r="BJ148" s="62">
        <f t="shared" si="146"/>
        <v>278.21741231699929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0.37649027081502251</v>
      </c>
      <c r="BR148" s="23">
        <f>EXP(-LN(2)/2)*BR147+(1-EXP(-LN(2)/2))/(LN(2)/2)*BL148*BO148*VLOOKUP('Données projet'!$B$11,Paramètres!$A$1:$I$89,3,0)*0.475*44/12</f>
        <v>7.315538978154544E-17</v>
      </c>
      <c r="BS148" s="24">
        <f t="shared" si="117"/>
        <v>0.37649027081502257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466.4945858005575</v>
      </c>
      <c r="CE148" s="62">
        <f t="shared" si="148"/>
        <v>294.45557293177131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0.40245511707812764</v>
      </c>
      <c r="CM148" s="23">
        <f>EXP(-LN(2)/2)*CM147+(1-EXP(-LN(2)/2))/(LN(2)/2)*CG148*CJ148*VLOOKUP('Données projet'!$B$12,Paramètres!$A$1:$I$89,3,0)*0.475*44/12</f>
        <v>7.8200589076825022E-17</v>
      </c>
      <c r="CN148" s="24">
        <f t="shared" si="120"/>
        <v>0.4024551170781277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335.83558218229564</v>
      </c>
      <c r="CZ148" s="62">
        <f t="shared" si="150"/>
        <v>217.08423061559648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0.3440342129861414</v>
      </c>
      <c r="DH148" s="23">
        <f>EXP(-LN(2)/2)*DH147+(1-EXP(-LN(2)/2))/(LN(2)/2)*DB148*DE148*VLOOKUP('Données projet'!$B$13,Paramètres!$A$1:$I$89,3,0)*0.475*44/12</f>
        <v>5.4235892424249614E-17</v>
      </c>
      <c r="DI148" s="24">
        <f t="shared" si="123"/>
        <v>0.34403421298614145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4.9658410716801891E-14</v>
      </c>
      <c r="P149" s="14">
        <f t="shared" si="141"/>
        <v>8.0934058173791862E-13</v>
      </c>
      <c r="Q149" s="22">
        <f t="shared" si="108"/>
        <v>1.4960899118586383E-12</v>
      </c>
      <c r="R149" s="62">
        <f t="shared" si="109"/>
        <v>293.33333333333479</v>
      </c>
      <c r="S149" s="62">
        <f ca="1">AVERAGE(OFFSET($R$3,0,0,'Données projet'!$E$9+1,1))-AVERAGE(OFFSET($H$3,0,0,'Données projet'!$E$9+1,1))</f>
        <v>321.62968871874483</v>
      </c>
      <c r="T149" s="62">
        <f t="shared" si="142"/>
        <v>389.91636841473559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1.0260008704833941</v>
      </c>
      <c r="AB149" s="23">
        <f>EXP(-LN(2)/2)*AB148+(1-EXP(-LN(2)/2))/(LN(2)/2)*V149*Y149*VLOOKUP('Données projet'!$B$9,Paramètres!$A$1:$I$89,3,0)*0.475*44/12</f>
        <v>6.3374680790200468E-17</v>
      </c>
      <c r="AC149" s="24">
        <f t="shared" si="111"/>
        <v>1.0260008704833941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405.09126081846171</v>
      </c>
      <c r="AO149" s="62">
        <f t="shared" si="144"/>
        <v>534.22295841722166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2.650251308311284</v>
      </c>
      <c r="AV149" s="23">
        <f>EXP(-LN(2)/25)*AV148+(1-EXP(-LN(2)/25))/(LN(2)/25)*Calculateur!AQ149*Calculateur!AS149*VLOOKUP('Données projet'!$B$10,Paramètres!$A$1:$I$89,3,0)*0.475*44/12</f>
        <v>0.95809735826688425</v>
      </c>
      <c r="AW149" s="23">
        <f>EXP(-LN(2)/2)*AW148+(1-EXP(-LN(2)/2))/(LN(2)/2)*AQ149*AT149*VLOOKUP('Données projet'!$B$10,Paramètres!$A$1:$I$89,3,0)*0.475*44/12</f>
        <v>4.1075281430834652E-17</v>
      </c>
      <c r="AX149" s="23">
        <f t="shared" si="114"/>
        <v>3.6083486665781681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439.06700232017681</v>
      </c>
      <c r="BJ149" s="62">
        <f t="shared" si="146"/>
        <v>278.21741231699929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0.36619512456082287</v>
      </c>
      <c r="BR149" s="23">
        <f>EXP(-LN(2)/2)*BR148+(1-EXP(-LN(2)/2))/(LN(2)/2)*BL149*BO149*VLOOKUP('Données projet'!$B$11,Paramètres!$A$1:$I$89,3,0)*0.475*44/12</f>
        <v>5.1728672194875846E-17</v>
      </c>
      <c r="BS149" s="24">
        <f t="shared" si="117"/>
        <v>0.36619512456082293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466.4945858005575</v>
      </c>
      <c r="CE149" s="62">
        <f t="shared" si="148"/>
        <v>294.45557293177131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0.39144996073743143</v>
      </c>
      <c r="CM149" s="23">
        <f>EXP(-LN(2)/2)*CM148+(1-EXP(-LN(2)/2))/(LN(2)/2)*CG149*CJ149*VLOOKUP('Données projet'!$B$12,Paramètres!$A$1:$I$89,3,0)*0.475*44/12</f>
        <v>5.5296166829005631E-17</v>
      </c>
      <c r="CN149" s="24">
        <f t="shared" si="120"/>
        <v>0.39144996073743149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335.83558218229564</v>
      </c>
      <c r="CZ149" s="62">
        <f t="shared" si="150"/>
        <v>217.08423061559648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0.3346265793400624</v>
      </c>
      <c r="DH149" s="23">
        <f>EXP(-LN(2)/2)*DH148+(1-EXP(-LN(2)/2))/(LN(2)/2)*DB149*DE149*VLOOKUP('Données projet'!$B$13,Paramètres!$A$1:$I$89,3,0)*0.475*44/12</f>
        <v>3.8350567316891005E-17</v>
      </c>
      <c r="DI149" s="24">
        <f t="shared" si="123"/>
        <v>0.33462657934006246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4.9658410716801891E-14</v>
      </c>
      <c r="P150" s="14">
        <f t="shared" si="141"/>
        <v>8.0934058173791862E-13</v>
      </c>
      <c r="Q150" s="22">
        <f t="shared" si="108"/>
        <v>1.4960899118586383E-12</v>
      </c>
      <c r="R150" s="62">
        <f t="shared" si="109"/>
        <v>293.33333333333479</v>
      </c>
      <c r="S150" s="62">
        <f ca="1">AVERAGE(OFFSET($R$3,0,0,'Données projet'!$E$9+1,1))-AVERAGE(OFFSET($H$3,0,0,'Données projet'!$E$9+1,1))</f>
        <v>321.62968871874483</v>
      </c>
      <c r="T150" s="62">
        <f t="shared" si="142"/>
        <v>389.91636841473559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0.99794482272498486</v>
      </c>
      <c r="AB150" s="23">
        <f>EXP(-LN(2)/2)*AB149+(1-EXP(-LN(2)/2))/(LN(2)/2)*V150*Y150*VLOOKUP('Données projet'!$B$9,Paramètres!$A$1:$I$89,3,0)*0.475*44/12</f>
        <v>4.481266654228358E-17</v>
      </c>
      <c r="AC150" s="24">
        <f t="shared" si="111"/>
        <v>0.99794482272498486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405.09126081846171</v>
      </c>
      <c r="AO150" s="62">
        <f t="shared" si="144"/>
        <v>534.22295841722166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2.5982814966489824</v>
      </c>
      <c r="AV150" s="23">
        <f>EXP(-LN(2)/25)*AV149+(1-EXP(-LN(2)/25))/(LN(2)/25)*Calculateur!AQ150*Calculateur!AS150*VLOOKUP('Données projet'!$B$10,Paramètres!$A$1:$I$89,3,0)*0.475*44/12</f>
        <v>0.93189813562092594</v>
      </c>
      <c r="AW150" s="23">
        <f>EXP(-LN(2)/2)*AW149+(1-EXP(-LN(2)/2))/(LN(2)/2)*AQ150*AT150*VLOOKUP('Données projet'!$B$10,Paramètres!$A$1:$I$89,3,0)*0.475*44/12</f>
        <v>2.9044610038889057E-17</v>
      </c>
      <c r="AX150" s="23">
        <f t="shared" si="114"/>
        <v>3.5301796322699084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439.06700232017681</v>
      </c>
      <c r="BJ150" s="62">
        <f t="shared" si="146"/>
        <v>278.21741231699929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0.35618149962234252</v>
      </c>
      <c r="BR150" s="23">
        <f>EXP(-LN(2)/2)*BR149+(1-EXP(-LN(2)/2))/(LN(2)/2)*BL150*BO150*VLOOKUP('Données projet'!$B$11,Paramètres!$A$1:$I$89,3,0)*0.475*44/12</f>
        <v>3.657769489077272E-17</v>
      </c>
      <c r="BS150" s="24">
        <f t="shared" si="117"/>
        <v>0.35618149962234258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466.4945858005575</v>
      </c>
      <c r="CE150" s="62">
        <f t="shared" si="148"/>
        <v>294.45557293177131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0.38074574097560759</v>
      </c>
      <c r="CM150" s="23">
        <f>EXP(-LN(2)/2)*CM149+(1-EXP(-LN(2)/2))/(LN(2)/2)*CG150*CJ150*VLOOKUP('Données projet'!$B$12,Paramètres!$A$1:$I$89,3,0)*0.475*44/12</f>
        <v>3.9100294538412517E-17</v>
      </c>
      <c r="CN150" s="24">
        <f t="shared" si="120"/>
        <v>0.38074574097560765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335.83558218229564</v>
      </c>
      <c r="CZ150" s="62">
        <f t="shared" si="150"/>
        <v>217.08423061559648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0.32547619793076138</v>
      </c>
      <c r="DH150" s="23">
        <f>EXP(-LN(2)/2)*DH149+(1-EXP(-LN(2)/2))/(LN(2)/2)*DB150*DE150*VLOOKUP('Données projet'!$B$13,Paramètres!$A$1:$I$89,3,0)*0.475*44/12</f>
        <v>2.711794621212481E-17</v>
      </c>
      <c r="DI150" s="24">
        <f t="shared" si="123"/>
        <v>0.32547619793076138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4.9658410716801891E-14</v>
      </c>
      <c r="P151" s="14">
        <f t="shared" si="141"/>
        <v>8.0934058173791862E-13</v>
      </c>
      <c r="Q151" s="22">
        <f t="shared" si="108"/>
        <v>1.4960899118586383E-12</v>
      </c>
      <c r="R151" s="62">
        <f t="shared" si="109"/>
        <v>293.33333333333479</v>
      </c>
      <c r="S151" s="62">
        <f ca="1">AVERAGE(OFFSET($R$3,0,0,'Données projet'!$E$9+1,1))-AVERAGE(OFFSET($H$3,0,0,'Données projet'!$E$9+1,1))</f>
        <v>321.62968871874483</v>
      </c>
      <c r="T151" s="62">
        <f t="shared" si="142"/>
        <v>389.91636841473559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0.97065596906793272</v>
      </c>
      <c r="AB151" s="23">
        <f>EXP(-LN(2)/2)*AB150+(1-EXP(-LN(2)/2))/(LN(2)/2)*V151*Y151*VLOOKUP('Données projet'!$B$9,Paramètres!$A$1:$I$89,3,0)*0.475*44/12</f>
        <v>3.1687340395100234E-17</v>
      </c>
      <c r="AC151" s="24">
        <f t="shared" si="111"/>
        <v>0.97065596906793272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405.09126081846171</v>
      </c>
      <c r="AO151" s="62">
        <f t="shared" si="144"/>
        <v>534.22295841722166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2.5473307812949235</v>
      </c>
      <c r="AV151" s="23">
        <f>EXP(-LN(2)/25)*AV150+(1-EXP(-LN(2)/25))/(LN(2)/25)*Calculateur!AQ151*Calculateur!AS151*VLOOKUP('Données projet'!$B$10,Paramètres!$A$1:$I$89,3,0)*0.475*44/12</f>
        <v>0.90641533209597869</v>
      </c>
      <c r="AW151" s="23">
        <f>EXP(-LN(2)/2)*AW150+(1-EXP(-LN(2)/2))/(LN(2)/2)*AQ151*AT151*VLOOKUP('Données projet'!$B$10,Paramètres!$A$1:$I$89,3,0)*0.475*44/12</f>
        <v>2.0537640715417326E-17</v>
      </c>
      <c r="AX151" s="23">
        <f t="shared" si="114"/>
        <v>3.4537461133909022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439.06700232017681</v>
      </c>
      <c r="BJ151" s="62">
        <f t="shared" si="146"/>
        <v>278.21741231699929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0.34644169778439854</v>
      </c>
      <c r="BR151" s="23">
        <f>EXP(-LN(2)/2)*BR150+(1-EXP(-LN(2)/2))/(LN(2)/2)*BL151*BO151*VLOOKUP('Données projet'!$B$11,Paramètres!$A$1:$I$89,3,0)*0.475*44/12</f>
        <v>2.5864336097437923E-17</v>
      </c>
      <c r="BS151" s="24">
        <f t="shared" si="117"/>
        <v>0.34644169778439854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466.4945858005575</v>
      </c>
      <c r="CE151" s="62">
        <f t="shared" si="148"/>
        <v>294.45557293177131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0.37033422866608129</v>
      </c>
      <c r="CM151" s="23">
        <f>EXP(-LN(2)/2)*CM150+(1-EXP(-LN(2)/2))/(LN(2)/2)*CG151*CJ151*VLOOKUP('Données projet'!$B$12,Paramètres!$A$1:$I$89,3,0)*0.475*44/12</f>
        <v>2.7648083414502822E-17</v>
      </c>
      <c r="CN151" s="24">
        <f t="shared" si="120"/>
        <v>0.37033422866608129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335.83558218229564</v>
      </c>
      <c r="CZ151" s="62">
        <f t="shared" si="150"/>
        <v>217.08423061559648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0.31657603418229535</v>
      </c>
      <c r="DH151" s="23">
        <f>EXP(-LN(2)/2)*DH150+(1-EXP(-LN(2)/2))/(LN(2)/2)*DB151*DE151*VLOOKUP('Données projet'!$B$13,Paramètres!$A$1:$I$89,3,0)*0.475*44/12</f>
        <v>1.9175283658445506E-17</v>
      </c>
      <c r="DI151" s="24">
        <f t="shared" si="123"/>
        <v>0.31657603418229535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4.9658410716801891E-14</v>
      </c>
      <c r="P152" s="14">
        <f t="shared" si="141"/>
        <v>8.0934058173791862E-13</v>
      </c>
      <c r="Q152" s="22">
        <f t="shared" si="108"/>
        <v>1.4960899118586383E-12</v>
      </c>
      <c r="R152" s="62">
        <f t="shared" si="109"/>
        <v>293.33333333333479</v>
      </c>
      <c r="S152" s="62">
        <f ca="1">AVERAGE(OFFSET($R$3,0,0,'Données projet'!$E$9+1,1))-AVERAGE(OFFSET($H$3,0,0,'Données projet'!$E$9+1,1))</f>
        <v>321.62968871874483</v>
      </c>
      <c r="T152" s="62">
        <f t="shared" si="142"/>
        <v>389.91636841473559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0.94411333054919111</v>
      </c>
      <c r="AB152" s="23">
        <f>EXP(-LN(2)/2)*AB151+(1-EXP(-LN(2)/2))/(LN(2)/2)*V152*Y152*VLOOKUP('Données projet'!$B$9,Paramètres!$A$1:$I$89,3,0)*0.475*44/12</f>
        <v>2.240633327114179E-17</v>
      </c>
      <c r="AC152" s="24">
        <f t="shared" si="111"/>
        <v>0.94411333054919111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405.09126081846171</v>
      </c>
      <c r="AO152" s="62">
        <f t="shared" si="144"/>
        <v>534.22295841722166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2.4973791783920896</v>
      </c>
      <c r="AV152" s="23">
        <f>EXP(-LN(2)/25)*AV151+(1-EXP(-LN(2)/25))/(LN(2)/25)*Calculateur!AQ152*Calculateur!AS152*VLOOKUP('Données projet'!$B$10,Paramètres!$A$1:$I$89,3,0)*0.475*44/12</f>
        <v>0.88162935717350344</v>
      </c>
      <c r="AW152" s="23">
        <f>EXP(-LN(2)/2)*AW151+(1-EXP(-LN(2)/2))/(LN(2)/2)*AQ152*AT152*VLOOKUP('Données projet'!$B$10,Paramètres!$A$1:$I$89,3,0)*0.475*44/12</f>
        <v>1.4522305019444528E-17</v>
      </c>
      <c r="AX152" s="23">
        <f t="shared" si="114"/>
        <v>3.379008535565593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439.06700232017681</v>
      </c>
      <c r="BJ152" s="62">
        <f t="shared" si="146"/>
        <v>278.21741231699929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0.33696823133990705</v>
      </c>
      <c r="BR152" s="23">
        <f>EXP(-LN(2)/2)*BR151+(1-EXP(-LN(2)/2))/(LN(2)/2)*BL152*BO152*VLOOKUP('Données projet'!$B$11,Paramètres!$A$1:$I$89,3,0)*0.475*44/12</f>
        <v>1.828884744538636E-17</v>
      </c>
      <c r="BS152" s="24">
        <f t="shared" si="117"/>
        <v>0.33696823133990705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466.4945858005575</v>
      </c>
      <c r="CE152" s="62">
        <f t="shared" si="148"/>
        <v>294.45557293177131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0.3602074197081766</v>
      </c>
      <c r="CM152" s="23">
        <f>EXP(-LN(2)/2)*CM151+(1-EXP(-LN(2)/2))/(LN(2)/2)*CG152*CJ152*VLOOKUP('Données projet'!$B$12,Paramètres!$A$1:$I$89,3,0)*0.475*44/12</f>
        <v>1.9550147269206262E-17</v>
      </c>
      <c r="CN152" s="24">
        <f t="shared" si="120"/>
        <v>0.3602074197081766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335.83558218229564</v>
      </c>
      <c r="CZ152" s="62">
        <f t="shared" si="150"/>
        <v>217.08423061559648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0.30791924587957037</v>
      </c>
      <c r="DH152" s="23">
        <f>EXP(-LN(2)/2)*DH151+(1-EXP(-LN(2)/2))/(LN(2)/2)*DB152*DE152*VLOOKUP('Données projet'!$B$13,Paramètres!$A$1:$I$89,3,0)*0.475*44/12</f>
        <v>1.3558973106062408E-17</v>
      </c>
      <c r="DI152" s="24">
        <f t="shared" si="123"/>
        <v>0.30791924587957037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4.9658410716801891E-14</v>
      </c>
      <c r="P153" s="14">
        <f t="shared" si="141"/>
        <v>8.0934058173791862E-13</v>
      </c>
      <c r="Q153" s="22">
        <f t="shared" si="108"/>
        <v>1.4960899118586383E-12</v>
      </c>
      <c r="R153" s="62">
        <f t="shared" si="109"/>
        <v>293.33333333333479</v>
      </c>
      <c r="S153" s="62">
        <f ca="1">AVERAGE(OFFSET($R$3,0,0,'Données projet'!$E$9+1,1))-AVERAGE(OFFSET($H$3,0,0,'Données projet'!$E$9+1,1))</f>
        <v>321.62968871874483</v>
      </c>
      <c r="T153" s="62">
        <f t="shared" si="142"/>
        <v>389.91636841473559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0.9182965018765612</v>
      </c>
      <c r="AB153" s="23">
        <f>EXP(-LN(2)/2)*AB152+(1-EXP(-LN(2)/2))/(LN(2)/2)*V153*Y153*VLOOKUP('Données projet'!$B$9,Paramètres!$A$1:$I$89,3,0)*0.475*44/12</f>
        <v>1.5843670197550117E-17</v>
      </c>
      <c r="AC153" s="24">
        <f t="shared" si="111"/>
        <v>0.9182965018765612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405.09126081846171</v>
      </c>
      <c r="AO153" s="62">
        <f t="shared" si="144"/>
        <v>534.22295841722166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2.4484070959547108</v>
      </c>
      <c r="AV153" s="23">
        <f>EXP(-LN(2)/25)*AV152+(1-EXP(-LN(2)/25))/(LN(2)/25)*Calculateur!AQ153*Calculateur!AS153*VLOOKUP('Données projet'!$B$10,Paramètres!$A$1:$I$89,3,0)*0.475*44/12</f>
        <v>0.85752115603872103</v>
      </c>
      <c r="AW153" s="23">
        <f>EXP(-LN(2)/2)*AW152+(1-EXP(-LN(2)/2))/(LN(2)/2)*AQ153*AT153*VLOOKUP('Données projet'!$B$10,Paramètres!$A$1:$I$89,3,0)*0.475*44/12</f>
        <v>1.0268820357708663E-17</v>
      </c>
      <c r="AX153" s="23">
        <f t="shared" si="114"/>
        <v>3.3059282519934321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439.06700232017681</v>
      </c>
      <c r="BJ153" s="62">
        <f t="shared" si="146"/>
        <v>278.21741231699929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0.32775381733352815</v>
      </c>
      <c r="BR153" s="23">
        <f>EXP(-LN(2)/2)*BR152+(1-EXP(-LN(2)/2))/(LN(2)/2)*BL153*BO153*VLOOKUP('Données projet'!$B$11,Paramètres!$A$1:$I$89,3,0)*0.475*44/12</f>
        <v>1.2932168048718962E-17</v>
      </c>
      <c r="BS153" s="24">
        <f t="shared" si="117"/>
        <v>0.32775381733352815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466.4945858005575</v>
      </c>
      <c r="CE153" s="62">
        <f t="shared" si="148"/>
        <v>294.45557293177131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0.35035752887377158</v>
      </c>
      <c r="CM153" s="23">
        <f>EXP(-LN(2)/2)*CM152+(1-EXP(-LN(2)/2))/(LN(2)/2)*CG153*CJ153*VLOOKUP('Données projet'!$B$12,Paramètres!$A$1:$I$89,3,0)*0.475*44/12</f>
        <v>1.3824041707251412E-17</v>
      </c>
      <c r="CN153" s="24">
        <f t="shared" si="120"/>
        <v>0.35035752887377158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335.83558218229564</v>
      </c>
      <c r="CZ153" s="62">
        <f t="shared" si="150"/>
        <v>217.08423061559648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0.29949917790822411</v>
      </c>
      <c r="DH153" s="23">
        <f>EXP(-LN(2)/2)*DH152+(1-EXP(-LN(2)/2))/(LN(2)/2)*DB153*DE153*VLOOKUP('Données projet'!$B$13,Paramètres!$A$1:$I$89,3,0)*0.475*44/12</f>
        <v>9.5876418292227544E-18</v>
      </c>
      <c r="DI153" s="24">
        <f t="shared" si="123"/>
        <v>0.29949917790822411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4.9658410716801891E-14</v>
      </c>
      <c r="P154" s="14">
        <f t="shared" si="141"/>
        <v>8.0934058173791862E-13</v>
      </c>
      <c r="Q154" s="22">
        <f t="shared" ref="Q154:Q203" si="162">(O154+P154)*0.475*44/12</f>
        <v>1.4960899118586383E-12</v>
      </c>
      <c r="R154" s="62">
        <f t="shared" si="109"/>
        <v>293.33333333333479</v>
      </c>
      <c r="S154" s="62">
        <f ca="1">AVERAGE(OFFSET($R$3,0,0,'Données projet'!$E$9+1,1))-AVERAGE(OFFSET($H$3,0,0,'Données projet'!$E$9+1,1))</f>
        <v>321.62968871874483</v>
      </c>
      <c r="T154" s="62">
        <f t="shared" si="142"/>
        <v>389.91636841473559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0.89318563574163234</v>
      </c>
      <c r="AB154" s="23">
        <f>EXP(-LN(2)/2)*AB153+(1-EXP(-LN(2)/2))/(LN(2)/2)*V154*Y154*VLOOKUP('Données projet'!$B$9,Paramètres!$A$1:$I$89,3,0)*0.475*44/12</f>
        <v>1.1203166635570895E-17</v>
      </c>
      <c r="AC154" s="24">
        <f t="shared" ref="AC154:AC203" si="163">SUM(Z154:AB154)</f>
        <v>0.89318563574163234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405.09126081846171</v>
      </c>
      <c r="AO154" s="62">
        <f t="shared" si="144"/>
        <v>534.22295841722166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2.4003953261839084</v>
      </c>
      <c r="AV154" s="23">
        <f>EXP(-LN(2)/25)*AV153+(1-EXP(-LN(2)/25))/(LN(2)/25)*Calculateur!AQ154*Calculateur!AS154*VLOOKUP('Données projet'!$B$10,Paramètres!$A$1:$I$89,3,0)*0.475*44/12</f>
        <v>0.83407219493176454</v>
      </c>
      <c r="AW154" s="23">
        <f>EXP(-LN(2)/2)*AW153+(1-EXP(-LN(2)/2))/(LN(2)/2)*AQ154*AT154*VLOOKUP('Données projet'!$B$10,Paramètres!$A$1:$I$89,3,0)*0.475*44/12</f>
        <v>7.2611525097222642E-18</v>
      </c>
      <c r="AX154" s="23">
        <f t="shared" ref="AX154:AX203" si="166">SUM(AU154:AW154)</f>
        <v>3.2344675211156728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439.06700232017681</v>
      </c>
      <c r="BJ154" s="62">
        <f t="shared" si="146"/>
        <v>278.21741231699929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0.31879137196271867</v>
      </c>
      <c r="BR154" s="23">
        <f>EXP(-LN(2)/2)*BR153+(1-EXP(-LN(2)/2))/(LN(2)/2)*BL154*BO154*VLOOKUP('Données projet'!$B$11,Paramètres!$A$1:$I$89,3,0)*0.475*44/12</f>
        <v>9.1444237226931799E-18</v>
      </c>
      <c r="BS154" s="24">
        <f t="shared" ref="BS154:BS203" si="169">SUM(BP154:BR154)</f>
        <v>0.31879137196271867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466.4945858005575</v>
      </c>
      <c r="CE154" s="62">
        <f t="shared" si="148"/>
        <v>294.45557293177131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0.34077698382221661</v>
      </c>
      <c r="CM154" s="23">
        <f>EXP(-LN(2)/2)*CM153+(1-EXP(-LN(2)/2))/(LN(2)/2)*CG154*CJ154*VLOOKUP('Données projet'!$B$12,Paramètres!$A$1:$I$89,3,0)*0.475*44/12</f>
        <v>9.7750736346031324E-18</v>
      </c>
      <c r="CN154" s="24">
        <f t="shared" ref="CN154:CN203" si="172">SUM(CK154:CM154)</f>
        <v>0.34077698382221661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335.83558218229564</v>
      </c>
      <c r="CZ154" s="62">
        <f t="shared" si="150"/>
        <v>217.08423061559648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0.29130935713834649</v>
      </c>
      <c r="DH154" s="23">
        <f>EXP(-LN(2)/2)*DH153+(1-EXP(-LN(2)/2))/(LN(2)/2)*DB154*DE154*VLOOKUP('Données projet'!$B$13,Paramètres!$A$1:$I$89,3,0)*0.475*44/12</f>
        <v>6.7794865530312048E-18</v>
      </c>
      <c r="DI154" s="24">
        <f t="shared" ref="DI154:DI203" si="175">SUM(DF154:DH154)</f>
        <v>0.29130935713834649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4.9658410716801891E-14</v>
      </c>
      <c r="P155" s="14">
        <f t="shared" si="141"/>
        <v>8.0934058173791862E-13</v>
      </c>
      <c r="Q155" s="22">
        <f t="shared" si="162"/>
        <v>1.4960899118586383E-12</v>
      </c>
      <c r="R155" s="62">
        <f t="shared" si="109"/>
        <v>293.33333333333479</v>
      </c>
      <c r="S155" s="62">
        <f ca="1">AVERAGE(OFFSET($R$3,0,0,'Données projet'!$E$9+1,1))-AVERAGE(OFFSET($H$3,0,0,'Données projet'!$E$9+1,1))</f>
        <v>321.62968871874483</v>
      </c>
      <c r="T155" s="62">
        <f t="shared" si="142"/>
        <v>389.91636841473559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0.86876142756168617</v>
      </c>
      <c r="AB155" s="23">
        <f>EXP(-LN(2)/2)*AB154+(1-EXP(-LN(2)/2))/(LN(2)/2)*V155*Y155*VLOOKUP('Données projet'!$B$9,Paramètres!$A$1:$I$89,3,0)*0.475*44/12</f>
        <v>7.9218350987750585E-18</v>
      </c>
      <c r="AC155" s="24">
        <f t="shared" si="163"/>
        <v>0.86876142756168617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405.09126081846171</v>
      </c>
      <c r="AO155" s="62">
        <f t="shared" si="144"/>
        <v>534.22295841722166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2.3533250379340234</v>
      </c>
      <c r="AV155" s="23">
        <f>EXP(-LN(2)/25)*AV154+(1-EXP(-LN(2)/25))/(LN(2)/25)*Calculateur!AQ155*Calculateur!AS155*VLOOKUP('Données projet'!$B$10,Paramètres!$A$1:$I$89,3,0)*0.475*44/12</f>
        <v>0.81126444689940502</v>
      </c>
      <c r="AW155" s="23">
        <f>EXP(-LN(2)/2)*AW154+(1-EXP(-LN(2)/2))/(LN(2)/2)*AQ155*AT155*VLOOKUP('Données projet'!$B$10,Paramètres!$A$1:$I$89,3,0)*0.475*44/12</f>
        <v>5.1344101788543315E-18</v>
      </c>
      <c r="AX155" s="23">
        <f t="shared" si="166"/>
        <v>3.1645894848334284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439.06700232017681</v>
      </c>
      <c r="BJ155" s="62">
        <f t="shared" si="146"/>
        <v>278.21741231699929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0.31007400513188849</v>
      </c>
      <c r="BR155" s="23">
        <f>EXP(-LN(2)/2)*BR154+(1-EXP(-LN(2)/2))/(LN(2)/2)*BL155*BO155*VLOOKUP('Données projet'!$B$11,Paramètres!$A$1:$I$89,3,0)*0.475*44/12</f>
        <v>6.4660840243594808E-18</v>
      </c>
      <c r="BS155" s="24">
        <f t="shared" si="169"/>
        <v>0.31007400513188849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466.4945858005575</v>
      </c>
      <c r="CE155" s="62">
        <f t="shared" si="148"/>
        <v>294.45557293177131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0.33145841927891539</v>
      </c>
      <c r="CM155" s="23">
        <f>EXP(-LN(2)/2)*CM154+(1-EXP(-LN(2)/2))/(LN(2)/2)*CG155*CJ155*VLOOKUP('Données projet'!$B$12,Paramètres!$A$1:$I$89,3,0)*0.475*44/12</f>
        <v>6.9120208536257078E-18</v>
      </c>
      <c r="CN155" s="24">
        <f t="shared" si="172"/>
        <v>0.33145841927891539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335.83558218229564</v>
      </c>
      <c r="CZ155" s="62">
        <f t="shared" si="150"/>
        <v>217.08423061559648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0.28334348744810511</v>
      </c>
      <c r="DH155" s="23">
        <f>EXP(-LN(2)/2)*DH154+(1-EXP(-LN(2)/2))/(LN(2)/2)*DB155*DE155*VLOOKUP('Données projet'!$B$13,Paramètres!$A$1:$I$89,3,0)*0.475*44/12</f>
        <v>4.793820914611378E-18</v>
      </c>
      <c r="DI155" s="24">
        <f t="shared" si="175"/>
        <v>0.28334348744810511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4.9658410716801891E-14</v>
      </c>
      <c r="P156" s="14">
        <f t="shared" si="141"/>
        <v>8.0934058173791862E-13</v>
      </c>
      <c r="Q156" s="22">
        <f t="shared" si="162"/>
        <v>1.4960899118586383E-12</v>
      </c>
      <c r="R156" s="62">
        <f t="shared" si="109"/>
        <v>293.33333333333479</v>
      </c>
      <c r="S156" s="62">
        <f ca="1">AVERAGE(OFFSET($R$3,0,0,'Données projet'!$E$9+1,1))-AVERAGE(OFFSET($H$3,0,0,'Données projet'!$E$9+1,1))</f>
        <v>321.62968871874483</v>
      </c>
      <c r="T156" s="62">
        <f t="shared" si="142"/>
        <v>389.91636841473559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0.84500510063883394</v>
      </c>
      <c r="AB156" s="23">
        <f>EXP(-LN(2)/2)*AB155+(1-EXP(-LN(2)/2))/(LN(2)/2)*V156*Y156*VLOOKUP('Données projet'!$B$9,Paramètres!$A$1:$I$89,3,0)*0.475*44/12</f>
        <v>5.6015833177854475E-18</v>
      </c>
      <c r="AC156" s="24">
        <f t="shared" si="163"/>
        <v>0.84500510063883394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405.09126081846171</v>
      </c>
      <c r="AO156" s="62">
        <f t="shared" si="144"/>
        <v>534.22295841722166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2.3071777693266777</v>
      </c>
      <c r="AV156" s="23">
        <f>EXP(-LN(2)/25)*AV155+(1-EXP(-LN(2)/25))/(LN(2)/25)*Calculateur!AQ156*Calculateur!AS156*VLOOKUP('Données projet'!$B$10,Paramètres!$A$1:$I$89,3,0)*0.475*44/12</f>
        <v>0.78908037793639774</v>
      </c>
      <c r="AW156" s="23">
        <f>EXP(-LN(2)/2)*AW155+(1-EXP(-LN(2)/2))/(LN(2)/2)*AQ156*AT156*VLOOKUP('Données projet'!$B$10,Paramètres!$A$1:$I$89,3,0)*0.475*44/12</f>
        <v>3.6305762548611321E-18</v>
      </c>
      <c r="AX156" s="23">
        <f t="shared" si="166"/>
        <v>3.0962581472630752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439.06700232017681</v>
      </c>
      <c r="BJ156" s="62">
        <f t="shared" si="146"/>
        <v>278.21741231699929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0.30159501515547377</v>
      </c>
      <c r="BR156" s="23">
        <f>EXP(-LN(2)/2)*BR155+(1-EXP(-LN(2)/2))/(LN(2)/2)*BL156*BO156*VLOOKUP('Données projet'!$B$11,Paramètres!$A$1:$I$89,3,0)*0.475*44/12</f>
        <v>4.57221186134659E-18</v>
      </c>
      <c r="BS156" s="24">
        <f t="shared" si="169"/>
        <v>0.30159501515547377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466.4945858005575</v>
      </c>
      <c r="CE156" s="62">
        <f t="shared" si="148"/>
        <v>294.45557293177131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0.32239467137309274</v>
      </c>
      <c r="CM156" s="23">
        <f>EXP(-LN(2)/2)*CM155+(1-EXP(-LN(2)/2))/(LN(2)/2)*CG156*CJ156*VLOOKUP('Données projet'!$B$12,Paramètres!$A$1:$I$89,3,0)*0.475*44/12</f>
        <v>4.887536817301567E-18</v>
      </c>
      <c r="CN156" s="24">
        <f t="shared" si="172"/>
        <v>0.32239467137309274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335.83558218229564</v>
      </c>
      <c r="CZ156" s="62">
        <f t="shared" si="150"/>
        <v>217.08423061559648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0.27559544488345028</v>
      </c>
      <c r="DH156" s="23">
        <f>EXP(-LN(2)/2)*DH155+(1-EXP(-LN(2)/2))/(LN(2)/2)*DB156*DE156*VLOOKUP('Données projet'!$B$13,Paramètres!$A$1:$I$89,3,0)*0.475*44/12</f>
        <v>3.3897432765156028E-18</v>
      </c>
      <c r="DI156" s="24">
        <f t="shared" si="175"/>
        <v>0.27559544488345028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4.9658410716801891E-14</v>
      </c>
      <c r="P157" s="14">
        <f t="shared" si="141"/>
        <v>8.0934058173791862E-13</v>
      </c>
      <c r="Q157" s="22">
        <f t="shared" si="162"/>
        <v>1.4960899118586383E-12</v>
      </c>
      <c r="R157" s="62">
        <f t="shared" si="109"/>
        <v>293.33333333333479</v>
      </c>
      <c r="S157" s="62">
        <f ca="1">AVERAGE(OFFSET($R$3,0,0,'Données projet'!$E$9+1,1))-AVERAGE(OFFSET($H$3,0,0,'Données projet'!$E$9+1,1))</f>
        <v>321.62968871874483</v>
      </c>
      <c r="T157" s="62">
        <f t="shared" si="142"/>
        <v>389.91636841473559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0.82189839172497803</v>
      </c>
      <c r="AB157" s="23">
        <f>EXP(-LN(2)/2)*AB156+(1-EXP(-LN(2)/2))/(LN(2)/2)*V157*Y157*VLOOKUP('Données projet'!$B$9,Paramètres!$A$1:$I$89,3,0)*0.475*44/12</f>
        <v>3.9609175493875292E-18</v>
      </c>
      <c r="AC157" s="24">
        <f t="shared" si="163"/>
        <v>0.82189839172497803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405.09126081846171</v>
      </c>
      <c r="AO157" s="62">
        <f t="shared" si="144"/>
        <v>534.22295841722166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2.2619354205096673</v>
      </c>
      <c r="AV157" s="23">
        <f>EXP(-LN(2)/25)*AV156+(1-EXP(-LN(2)/25))/(LN(2)/25)*Calculateur!AQ157*Calculateur!AS157*VLOOKUP('Données projet'!$B$10,Paramètres!$A$1:$I$89,3,0)*0.475*44/12</f>
        <v>0.76750293350579335</v>
      </c>
      <c r="AW157" s="23">
        <f>EXP(-LN(2)/2)*AW156+(1-EXP(-LN(2)/2))/(LN(2)/2)*AQ157*AT157*VLOOKUP('Données projet'!$B$10,Paramètres!$A$1:$I$89,3,0)*0.475*44/12</f>
        <v>2.5672050894271658E-18</v>
      </c>
      <c r="AX157" s="23">
        <f t="shared" si="166"/>
        <v>3.0294383540154608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439.06700232017681</v>
      </c>
      <c r="BJ157" s="62">
        <f t="shared" si="146"/>
        <v>278.21741231699929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0.29334788360585479</v>
      </c>
      <c r="BR157" s="23">
        <f>EXP(-LN(2)/2)*BR156+(1-EXP(-LN(2)/2))/(LN(2)/2)*BL157*BO157*VLOOKUP('Données projet'!$B$11,Paramètres!$A$1:$I$89,3,0)*0.475*44/12</f>
        <v>3.2330420121797404E-18</v>
      </c>
      <c r="BS157" s="24">
        <f t="shared" si="169"/>
        <v>0.29334788360585479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466.4945858005575</v>
      </c>
      <c r="CE157" s="62">
        <f t="shared" si="148"/>
        <v>294.45557293177131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0.31357877213039659</v>
      </c>
      <c r="CM157" s="23">
        <f>EXP(-LN(2)/2)*CM156+(1-EXP(-LN(2)/2))/(LN(2)/2)*CG157*CJ157*VLOOKUP('Données projet'!$B$12,Paramètres!$A$1:$I$89,3,0)*0.475*44/12</f>
        <v>3.4560104268128543E-18</v>
      </c>
      <c r="CN157" s="24">
        <f t="shared" si="172"/>
        <v>0.31357877213039659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335.83558218229564</v>
      </c>
      <c r="CZ157" s="62">
        <f t="shared" si="150"/>
        <v>217.08423061559648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0.26805927295017778</v>
      </c>
      <c r="DH157" s="23">
        <f>EXP(-LN(2)/2)*DH156+(1-EXP(-LN(2)/2))/(LN(2)/2)*DB157*DE157*VLOOKUP('Données projet'!$B$13,Paramètres!$A$1:$I$89,3,0)*0.475*44/12</f>
        <v>2.396910457305689E-18</v>
      </c>
      <c r="DI157" s="24">
        <f t="shared" si="175"/>
        <v>0.26805927295017778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4.9658410716801891E-14</v>
      </c>
      <c r="P158" s="14">
        <f t="shared" si="141"/>
        <v>8.0934058173791862E-13</v>
      </c>
      <c r="Q158" s="22">
        <f t="shared" si="162"/>
        <v>1.4960899118586383E-12</v>
      </c>
      <c r="R158" s="62">
        <f t="shared" si="109"/>
        <v>293.33333333333479</v>
      </c>
      <c r="S158" s="62">
        <f ca="1">AVERAGE(OFFSET($R$3,0,0,'Données projet'!$E$9+1,1))-AVERAGE(OFFSET($H$3,0,0,'Données projet'!$E$9+1,1))</f>
        <v>321.62968871874483</v>
      </c>
      <c r="T158" s="62">
        <f t="shared" si="142"/>
        <v>389.91636841473559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0.79942353698150059</v>
      </c>
      <c r="AB158" s="23">
        <f>EXP(-LN(2)/2)*AB157+(1-EXP(-LN(2)/2))/(LN(2)/2)*V158*Y158*VLOOKUP('Données projet'!$B$9,Paramètres!$A$1:$I$89,3,0)*0.475*44/12</f>
        <v>2.8007916588927237E-18</v>
      </c>
      <c r="AC158" s="24">
        <f t="shared" si="163"/>
        <v>0.79942353698150059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405.09126081846171</v>
      </c>
      <c r="AO158" s="62">
        <f t="shared" si="144"/>
        <v>534.22295841722166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2.2175802465578509</v>
      </c>
      <c r="AV158" s="23">
        <f>EXP(-LN(2)/25)*AV157+(1-EXP(-LN(2)/25))/(LN(2)/25)*Calculateur!AQ158*Calculateur!AS158*VLOOKUP('Données projet'!$B$10,Paramètres!$A$1:$I$89,3,0)*0.475*44/12</f>
        <v>0.74651552542785227</v>
      </c>
      <c r="AW158" s="23">
        <f>EXP(-LN(2)/2)*AW157+(1-EXP(-LN(2)/2))/(LN(2)/2)*AQ158*AT158*VLOOKUP('Données projet'!$B$10,Paramètres!$A$1:$I$89,3,0)*0.475*44/12</f>
        <v>1.8152881274305661E-18</v>
      </c>
      <c r="AX158" s="23">
        <f t="shared" si="166"/>
        <v>2.9640957719857033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439.06700232017681</v>
      </c>
      <c r="BJ158" s="62">
        <f t="shared" si="146"/>
        <v>278.21741231699929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0.28532627030215796</v>
      </c>
      <c r="BR158" s="23">
        <f>EXP(-LN(2)/2)*BR157+(1-EXP(-LN(2)/2))/(LN(2)/2)*BL158*BO158*VLOOKUP('Données projet'!$B$11,Paramètres!$A$1:$I$89,3,0)*0.475*44/12</f>
        <v>2.286105930673295E-18</v>
      </c>
      <c r="BS158" s="24">
        <f t="shared" si="169"/>
        <v>0.28532627030215796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466.4945858005575</v>
      </c>
      <c r="CE158" s="62">
        <f t="shared" si="148"/>
        <v>294.45557293177131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0.30500394411609993</v>
      </c>
      <c r="CM158" s="23">
        <f>EXP(-LN(2)/2)*CM157+(1-EXP(-LN(2)/2))/(LN(2)/2)*CG158*CJ158*VLOOKUP('Données projet'!$B$12,Paramètres!$A$1:$I$89,3,0)*0.475*44/12</f>
        <v>2.4437684086507839E-18</v>
      </c>
      <c r="CN158" s="24">
        <f t="shared" si="172"/>
        <v>0.30500394411609993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335.83558218229564</v>
      </c>
      <c r="CZ158" s="62">
        <f t="shared" si="150"/>
        <v>217.08423061559648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0.26072917803473067</v>
      </c>
      <c r="DH158" s="23">
        <f>EXP(-LN(2)/2)*DH157+(1-EXP(-LN(2)/2))/(LN(2)/2)*DB158*DE158*VLOOKUP('Données projet'!$B$13,Paramètres!$A$1:$I$89,3,0)*0.475*44/12</f>
        <v>1.6948716382578014E-18</v>
      </c>
      <c r="DI158" s="24">
        <f t="shared" si="175"/>
        <v>0.26072917803473067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4.9658410716801891E-14</v>
      </c>
      <c r="P159" s="14">
        <f t="shared" si="141"/>
        <v>8.0934058173791862E-13</v>
      </c>
      <c r="Q159" s="22">
        <f t="shared" si="162"/>
        <v>1.4960899118586383E-12</v>
      </c>
      <c r="R159" s="62">
        <f t="shared" si="109"/>
        <v>293.33333333333479</v>
      </c>
      <c r="S159" s="62">
        <f ca="1">AVERAGE(OFFSET($R$3,0,0,'Données projet'!$E$9+1,1))-AVERAGE(OFFSET($H$3,0,0,'Données projet'!$E$9+1,1))</f>
        <v>321.62968871874483</v>
      </c>
      <c r="T159" s="62">
        <f t="shared" si="142"/>
        <v>389.91636841473559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0.77756325832288475</v>
      </c>
      <c r="AB159" s="23">
        <f>EXP(-LN(2)/2)*AB158+(1-EXP(-LN(2)/2))/(LN(2)/2)*V159*Y159*VLOOKUP('Données projet'!$B$9,Paramètres!$A$1:$I$89,3,0)*0.475*44/12</f>
        <v>1.9804587746937646E-18</v>
      </c>
      <c r="AC159" s="24">
        <f t="shared" si="163"/>
        <v>0.77756325832288475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405.09126081846171</v>
      </c>
      <c r="AO159" s="62">
        <f t="shared" si="144"/>
        <v>534.22295841722166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2.1740948505132445</v>
      </c>
      <c r="AV159" s="23">
        <f>EXP(-LN(2)/25)*AV158+(1-EXP(-LN(2)/25))/(LN(2)/25)*Calculateur!AQ159*Calculateur!AS159*VLOOKUP('Données projet'!$B$10,Paramètres!$A$1:$I$89,3,0)*0.475*44/12</f>
        <v>0.7261020191274824</v>
      </c>
      <c r="AW159" s="23">
        <f>EXP(-LN(2)/2)*AW158+(1-EXP(-LN(2)/2))/(LN(2)/2)*AQ159*AT159*VLOOKUP('Données projet'!$B$10,Paramètres!$A$1:$I$89,3,0)*0.475*44/12</f>
        <v>1.2836025447135829E-18</v>
      </c>
      <c r="AX159" s="23">
        <f t="shared" si="166"/>
        <v>2.9001968696407268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439.06700232017681</v>
      </c>
      <c r="BJ159" s="62">
        <f t="shared" si="146"/>
        <v>278.21741231699929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0.27752400843608904</v>
      </c>
      <c r="BR159" s="23">
        <f>EXP(-LN(2)/2)*BR158+(1-EXP(-LN(2)/2))/(LN(2)/2)*BL159*BO159*VLOOKUP('Données projet'!$B$11,Paramètres!$A$1:$I$89,3,0)*0.475*44/12</f>
        <v>1.6165210060898702E-18</v>
      </c>
      <c r="BS159" s="24">
        <f t="shared" si="169"/>
        <v>0.27752400843608904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466.4945858005575</v>
      </c>
      <c r="CE159" s="62">
        <f t="shared" si="148"/>
        <v>294.45557293177131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0.29666359522478486</v>
      </c>
      <c r="CM159" s="23">
        <f>EXP(-LN(2)/2)*CM158+(1-EXP(-LN(2)/2))/(LN(2)/2)*CG159*CJ159*VLOOKUP('Données projet'!$B$12,Paramètres!$A$1:$I$89,3,0)*0.475*44/12</f>
        <v>1.7280052134064273E-18</v>
      </c>
      <c r="CN159" s="24">
        <f t="shared" si="172"/>
        <v>0.29666359522478486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335.83558218229564</v>
      </c>
      <c r="CZ159" s="62">
        <f t="shared" si="150"/>
        <v>217.08423061559648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0.25359952495021937</v>
      </c>
      <c r="DH159" s="23">
        <f>EXP(-LN(2)/2)*DH158+(1-EXP(-LN(2)/2))/(LN(2)/2)*DB159*DE159*VLOOKUP('Données projet'!$B$13,Paramètres!$A$1:$I$89,3,0)*0.475*44/12</f>
        <v>1.1984552286528445E-18</v>
      </c>
      <c r="DI159" s="24">
        <f t="shared" si="175"/>
        <v>0.25359952495021937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4.9658410716801891E-14</v>
      </c>
      <c r="P160" s="14">
        <f t="shared" si="141"/>
        <v>8.0934058173791862E-13</v>
      </c>
      <c r="Q160" s="22">
        <f t="shared" si="162"/>
        <v>1.4960899118586383E-12</v>
      </c>
      <c r="R160" s="62">
        <f t="shared" si="109"/>
        <v>293.33333333333479</v>
      </c>
      <c r="S160" s="62">
        <f ca="1">AVERAGE(OFFSET($R$3,0,0,'Données projet'!$E$9+1,1))-AVERAGE(OFFSET($H$3,0,0,'Données projet'!$E$9+1,1))</f>
        <v>321.62968871874483</v>
      </c>
      <c r="T160" s="62">
        <f t="shared" si="142"/>
        <v>389.91636841473559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0.75630075013377085</v>
      </c>
      <c r="AB160" s="23">
        <f>EXP(-LN(2)/2)*AB159+(1-EXP(-LN(2)/2))/(LN(2)/2)*V160*Y160*VLOOKUP('Données projet'!$B$9,Paramètres!$A$1:$I$89,3,0)*0.475*44/12</f>
        <v>1.4003958294463619E-18</v>
      </c>
      <c r="AC160" s="24">
        <f t="shared" si="163"/>
        <v>0.75630075013377085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405.09126081846171</v>
      </c>
      <c r="AO160" s="62">
        <f t="shared" si="144"/>
        <v>534.22295841722166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2.1314621765616004</v>
      </c>
      <c r="AV160" s="23">
        <f>EXP(-LN(2)/25)*AV159+(1-EXP(-LN(2)/25))/(LN(2)/25)*Calculateur!AQ160*Calculateur!AS160*VLOOKUP('Données projet'!$B$10,Paramètres!$A$1:$I$89,3,0)*0.475*44/12</f>
        <v>0.70624672123039578</v>
      </c>
      <c r="AW160" s="23">
        <f>EXP(-LN(2)/2)*AW159+(1-EXP(-LN(2)/2))/(LN(2)/2)*AQ160*AT160*VLOOKUP('Données projet'!$B$10,Paramètres!$A$1:$I$89,3,0)*0.475*44/12</f>
        <v>9.0764406371528303E-19</v>
      </c>
      <c r="AX160" s="23">
        <f t="shared" si="166"/>
        <v>2.8377088977919964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439.06700232017681</v>
      </c>
      <c r="BJ160" s="62">
        <f t="shared" si="146"/>
        <v>278.21741231699929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0.26993509983105085</v>
      </c>
      <c r="BR160" s="23">
        <f>EXP(-LN(2)/2)*BR159+(1-EXP(-LN(2)/2))/(LN(2)/2)*BL160*BO160*VLOOKUP('Données projet'!$B$11,Paramètres!$A$1:$I$89,3,0)*0.475*44/12</f>
        <v>1.1430529653366475E-18</v>
      </c>
      <c r="BS160" s="24">
        <f t="shared" si="169"/>
        <v>0.26993509983105085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466.4945858005575</v>
      </c>
      <c r="CE160" s="62">
        <f t="shared" si="148"/>
        <v>294.45557293177131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0.28855131361250269</v>
      </c>
      <c r="CM160" s="23">
        <f>EXP(-LN(2)/2)*CM159+(1-EXP(-LN(2)/2))/(LN(2)/2)*CG160*CJ160*VLOOKUP('Données projet'!$B$12,Paramètres!$A$1:$I$89,3,0)*0.475*44/12</f>
        <v>1.2218842043253921E-18</v>
      </c>
      <c r="CN160" s="24">
        <f t="shared" si="172"/>
        <v>0.28855131361250269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335.83558218229564</v>
      </c>
      <c r="CZ160" s="62">
        <f t="shared" si="150"/>
        <v>217.08423061559648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0.24666483260423622</v>
      </c>
      <c r="DH160" s="23">
        <f>EXP(-LN(2)/2)*DH159+(1-EXP(-LN(2)/2))/(LN(2)/2)*DB160*DE160*VLOOKUP('Données projet'!$B$13,Paramètres!$A$1:$I$89,3,0)*0.475*44/12</f>
        <v>8.474358191289007E-19</v>
      </c>
      <c r="DI160" s="24">
        <f t="shared" si="175"/>
        <v>0.24666483260423622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4.9658410716801891E-14</v>
      </c>
      <c r="P161" s="14">
        <f t="shared" si="141"/>
        <v>8.0934058173791862E-13</v>
      </c>
      <c r="Q161" s="22">
        <f t="shared" si="162"/>
        <v>1.4960899118586383E-12</v>
      </c>
      <c r="R161" s="62">
        <f t="shared" si="109"/>
        <v>293.33333333333479</v>
      </c>
      <c r="S161" s="62">
        <f ca="1">AVERAGE(OFFSET($R$3,0,0,'Données projet'!$E$9+1,1))-AVERAGE(OFFSET($H$3,0,0,'Données projet'!$E$9+1,1))</f>
        <v>321.62968871874483</v>
      </c>
      <c r="T161" s="62">
        <f t="shared" si="142"/>
        <v>389.91636841473559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0.73561966634923504</v>
      </c>
      <c r="AB161" s="23">
        <f>EXP(-LN(2)/2)*AB160+(1-EXP(-LN(2)/2))/(LN(2)/2)*V161*Y161*VLOOKUP('Données projet'!$B$9,Paramètres!$A$1:$I$89,3,0)*0.475*44/12</f>
        <v>9.9022938734688231E-19</v>
      </c>
      <c r="AC161" s="24">
        <f t="shared" si="163"/>
        <v>0.73561966634923504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405.09126081846171</v>
      </c>
      <c r="AO161" s="62">
        <f t="shared" si="144"/>
        <v>534.22295841722166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2.0896655033427844</v>
      </c>
      <c r="AV161" s="23">
        <f>EXP(-LN(2)/25)*AV160+(1-EXP(-LN(2)/25))/(LN(2)/25)*Calculateur!AQ161*Calculateur!AS161*VLOOKUP('Données projet'!$B$10,Paramètres!$A$1:$I$89,3,0)*0.475*44/12</f>
        <v>0.68693436749844972</v>
      </c>
      <c r="AW161" s="23">
        <f>EXP(-LN(2)/2)*AW160+(1-EXP(-LN(2)/2))/(LN(2)/2)*AQ161*AT161*VLOOKUP('Données projet'!$B$10,Paramètres!$A$1:$I$89,3,0)*0.475*44/12</f>
        <v>6.4180127235679144E-19</v>
      </c>
      <c r="AX161" s="23">
        <f t="shared" si="166"/>
        <v>2.7765998708412343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439.06700232017681</v>
      </c>
      <c r="BJ161" s="62">
        <f t="shared" si="146"/>
        <v>278.21741231699929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0.2625537103309008</v>
      </c>
      <c r="BR161" s="23">
        <f>EXP(-LN(2)/2)*BR160+(1-EXP(-LN(2)/2))/(LN(2)/2)*BL161*BO161*VLOOKUP('Données projet'!$B$11,Paramètres!$A$1:$I$89,3,0)*0.475*44/12</f>
        <v>8.082605030449351E-19</v>
      </c>
      <c r="BS161" s="24">
        <f t="shared" si="169"/>
        <v>0.2625537103309008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466.4945858005575</v>
      </c>
      <c r="CE161" s="62">
        <f t="shared" si="148"/>
        <v>294.45557293177131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0.28066086276751473</v>
      </c>
      <c r="CM161" s="23">
        <f>EXP(-LN(2)/2)*CM160+(1-EXP(-LN(2)/2))/(LN(2)/2)*CG161*CJ161*VLOOKUP('Données projet'!$B$12,Paramètres!$A$1:$I$89,3,0)*0.475*44/12</f>
        <v>8.6400260670321385E-19</v>
      </c>
      <c r="CN161" s="24">
        <f t="shared" si="172"/>
        <v>0.28066086276751473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335.83558218229564</v>
      </c>
      <c r="CZ161" s="62">
        <f t="shared" si="150"/>
        <v>217.08423061559648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0.2399197697851336</v>
      </c>
      <c r="DH161" s="23">
        <f>EXP(-LN(2)/2)*DH160+(1-EXP(-LN(2)/2))/(LN(2)/2)*DB161*DE161*VLOOKUP('Données projet'!$B$13,Paramètres!$A$1:$I$89,3,0)*0.475*44/12</f>
        <v>5.9922761432642225E-19</v>
      </c>
      <c r="DI161" s="24">
        <f t="shared" si="175"/>
        <v>0.2399197697851336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4.9658410716801891E-14</v>
      </c>
      <c r="P162" s="14">
        <f t="shared" si="141"/>
        <v>8.0934058173791862E-13</v>
      </c>
      <c r="Q162" s="22">
        <f t="shared" si="162"/>
        <v>1.4960899118586383E-12</v>
      </c>
      <c r="R162" s="62">
        <f t="shared" si="109"/>
        <v>293.33333333333479</v>
      </c>
      <c r="S162" s="62">
        <f ca="1">AVERAGE(OFFSET($R$3,0,0,'Données projet'!$E$9+1,1))-AVERAGE(OFFSET($H$3,0,0,'Données projet'!$E$9+1,1))</f>
        <v>321.62968871874483</v>
      </c>
      <c r="T162" s="62">
        <f t="shared" si="142"/>
        <v>389.91636841473559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0.71550410788835828</v>
      </c>
      <c r="AB162" s="23">
        <f>EXP(-LN(2)/2)*AB161+(1-EXP(-LN(2)/2))/(LN(2)/2)*V162*Y162*VLOOKUP('Données projet'!$B$9,Paramètres!$A$1:$I$89,3,0)*0.475*44/12</f>
        <v>7.0019791472318094E-19</v>
      </c>
      <c r="AC162" s="24">
        <f t="shared" si="163"/>
        <v>0.71550410788835828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405.09126081846171</v>
      </c>
      <c r="AO162" s="62">
        <f t="shared" si="144"/>
        <v>534.22295841722166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2.048688437392336</v>
      </c>
      <c r="AV162" s="23">
        <f>EXP(-LN(2)/25)*AV161+(1-EXP(-LN(2)/25))/(LN(2)/25)*Calculateur!AQ162*Calculateur!AS162*VLOOKUP('Données projet'!$B$10,Paramètres!$A$1:$I$89,3,0)*0.475*44/12</f>
        <v>0.66815011109489619</v>
      </c>
      <c r="AW162" s="23">
        <f>EXP(-LN(2)/2)*AW161+(1-EXP(-LN(2)/2))/(LN(2)/2)*AQ162*AT162*VLOOKUP('Données projet'!$B$10,Paramètres!$A$1:$I$89,3,0)*0.475*44/12</f>
        <v>4.5382203185764151E-19</v>
      </c>
      <c r="AX162" s="23">
        <f t="shared" si="166"/>
        <v>2.7168385484872322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439.06700232017681</v>
      </c>
      <c r="BJ162" s="62">
        <f t="shared" si="146"/>
        <v>278.21741231699929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0.25537416531480278</v>
      </c>
      <c r="BR162" s="23">
        <f>EXP(-LN(2)/2)*BR161+(1-EXP(-LN(2)/2))/(LN(2)/2)*BL162*BO162*VLOOKUP('Données projet'!$B$11,Paramètres!$A$1:$I$89,3,0)*0.475*44/12</f>
        <v>5.7152648266832375E-19</v>
      </c>
      <c r="BS162" s="24">
        <f t="shared" si="169"/>
        <v>0.25537416531480278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466.4945858005575</v>
      </c>
      <c r="CE162" s="62">
        <f t="shared" si="148"/>
        <v>294.45557293177131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0.2729861767158237</v>
      </c>
      <c r="CM162" s="23">
        <f>EXP(-LN(2)/2)*CM161+(1-EXP(-LN(2)/2))/(LN(2)/2)*CG162*CJ162*VLOOKUP('Données projet'!$B$12,Paramètres!$A$1:$I$89,3,0)*0.475*44/12</f>
        <v>6.1094210216269616E-19</v>
      </c>
      <c r="CN162" s="24">
        <f t="shared" si="172"/>
        <v>0.2729861767158237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335.83558218229564</v>
      </c>
      <c r="CZ162" s="62">
        <f t="shared" si="150"/>
        <v>217.08423061559648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0.23335915106352678</v>
      </c>
      <c r="DH162" s="23">
        <f>EXP(-LN(2)/2)*DH161+(1-EXP(-LN(2)/2))/(LN(2)/2)*DB162*DE162*VLOOKUP('Données projet'!$B$13,Paramètres!$A$1:$I$89,3,0)*0.475*44/12</f>
        <v>4.2371790956445035E-19</v>
      </c>
      <c r="DI162" s="24">
        <f t="shared" si="175"/>
        <v>0.23335915106352678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4.9658410716801891E-14</v>
      </c>
      <c r="P163" s="14">
        <f t="shared" si="141"/>
        <v>8.0934058173791862E-13</v>
      </c>
      <c r="Q163" s="22">
        <f t="shared" si="162"/>
        <v>1.4960899118586383E-12</v>
      </c>
      <c r="R163" s="62">
        <f t="shared" si="109"/>
        <v>293.33333333333479</v>
      </c>
      <c r="S163" s="62">
        <f ca="1">AVERAGE(OFFSET($R$3,0,0,'Données projet'!$E$9+1,1))-AVERAGE(OFFSET($H$3,0,0,'Données projet'!$E$9+1,1))</f>
        <v>321.62968871874483</v>
      </c>
      <c r="T163" s="62">
        <f t="shared" si="142"/>
        <v>389.91636841473559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0.69593861043142535</v>
      </c>
      <c r="AB163" s="23">
        <f>EXP(-LN(2)/2)*AB162+(1-EXP(-LN(2)/2))/(LN(2)/2)*V163*Y163*VLOOKUP('Données projet'!$B$9,Paramètres!$A$1:$I$89,3,0)*0.475*44/12</f>
        <v>4.9511469367344115E-19</v>
      </c>
      <c r="AC163" s="24">
        <f t="shared" si="163"/>
        <v>0.69593861043142535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405.09126081846171</v>
      </c>
      <c r="AO163" s="62">
        <f t="shared" si="144"/>
        <v>534.22295841722166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2.0085149067116337</v>
      </c>
      <c r="AV163" s="23">
        <f>EXP(-LN(2)/25)*AV162+(1-EXP(-LN(2)/25))/(LN(2)/25)*Calculateur!AQ163*Calculateur!AS163*VLOOKUP('Données projet'!$B$10,Paramètres!$A$1:$I$89,3,0)*0.475*44/12</f>
        <v>0.64987951117051901</v>
      </c>
      <c r="AW163" s="23">
        <f>EXP(-LN(2)/2)*AW162+(1-EXP(-LN(2)/2))/(LN(2)/2)*AQ163*AT163*VLOOKUP('Données projet'!$B$10,Paramètres!$A$1:$I$89,3,0)*0.475*44/12</f>
        <v>3.2090063617839572E-19</v>
      </c>
      <c r="AX163" s="23">
        <f t="shared" si="166"/>
        <v>2.6583944178821528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439.06700232017681</v>
      </c>
      <c r="BJ163" s="62">
        <f t="shared" si="146"/>
        <v>278.21741231699929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0.2483909453347258</v>
      </c>
      <c r="BR163" s="23">
        <f>EXP(-LN(2)/2)*BR162+(1-EXP(-LN(2)/2))/(LN(2)/2)*BL163*BO163*VLOOKUP('Données projet'!$B$11,Paramètres!$A$1:$I$89,3,0)*0.475*44/12</f>
        <v>4.0413025152246755E-19</v>
      </c>
      <c r="BS163" s="24">
        <f t="shared" si="169"/>
        <v>0.2483909453347258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466.4945858005575</v>
      </c>
      <c r="CE163" s="62">
        <f t="shared" si="148"/>
        <v>294.45557293177131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0.26552135535781041</v>
      </c>
      <c r="CM163" s="23">
        <f>EXP(-LN(2)/2)*CM162+(1-EXP(-LN(2)/2))/(LN(2)/2)*CG163*CJ163*VLOOKUP('Données projet'!$B$12,Paramètres!$A$1:$I$89,3,0)*0.475*44/12</f>
        <v>4.3200130335160698E-19</v>
      </c>
      <c r="CN163" s="24">
        <f t="shared" si="172"/>
        <v>0.26552135535781041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335.83558218229564</v>
      </c>
      <c r="CZ163" s="62">
        <f t="shared" si="150"/>
        <v>217.08423061559648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0.22697793280587023</v>
      </c>
      <c r="DH163" s="23">
        <f>EXP(-LN(2)/2)*DH162+(1-EXP(-LN(2)/2))/(LN(2)/2)*DB163*DE163*VLOOKUP('Données projet'!$B$13,Paramètres!$A$1:$I$89,3,0)*0.475*44/12</f>
        <v>2.9961380716321112E-19</v>
      </c>
      <c r="DI163" s="24">
        <f t="shared" si="175"/>
        <v>0.22697793280587023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4.9658410716801891E-14</v>
      </c>
      <c r="P164" s="14">
        <f t="shared" si="141"/>
        <v>8.0934058173791862E-13</v>
      </c>
      <c r="Q164" s="22">
        <f t="shared" si="162"/>
        <v>1.4960899118586383E-12</v>
      </c>
      <c r="R164" s="62">
        <f t="shared" si="109"/>
        <v>293.33333333333479</v>
      </c>
      <c r="S164" s="62">
        <f ca="1">AVERAGE(OFFSET($R$3,0,0,'Données projet'!$E$9+1,1))-AVERAGE(OFFSET($H$3,0,0,'Données projet'!$E$9+1,1))</f>
        <v>321.62968871874483</v>
      </c>
      <c r="T164" s="62">
        <f t="shared" si="142"/>
        <v>389.91636841473559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0.67690813253135707</v>
      </c>
      <c r="AB164" s="23">
        <f>EXP(-LN(2)/2)*AB163+(1-EXP(-LN(2)/2))/(LN(2)/2)*V164*Y164*VLOOKUP('Données projet'!$B$9,Paramètres!$A$1:$I$89,3,0)*0.475*44/12</f>
        <v>3.5009895736159047E-19</v>
      </c>
      <c r="AC164" s="24">
        <f t="shared" si="163"/>
        <v>0.67690813253135707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405.09126081846171</v>
      </c>
      <c r="AO164" s="62">
        <f t="shared" si="144"/>
        <v>534.22295841722166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1.9691291544641458</v>
      </c>
      <c r="AV164" s="23">
        <f>EXP(-LN(2)/25)*AV163+(1-EXP(-LN(2)/25))/(LN(2)/25)*Calculateur!AQ164*Calculateur!AS164*VLOOKUP('Données projet'!$B$10,Paramètres!$A$1:$I$89,3,0)*0.475*44/12</f>
        <v>0.63210852176188304</v>
      </c>
      <c r="AW164" s="23">
        <f>EXP(-LN(2)/2)*AW163+(1-EXP(-LN(2)/2))/(LN(2)/2)*AQ164*AT164*VLOOKUP('Données projet'!$B$10,Paramètres!$A$1:$I$89,3,0)*0.475*44/12</f>
        <v>2.2691101592882076E-19</v>
      </c>
      <c r="AX164" s="23">
        <f t="shared" si="166"/>
        <v>2.6012376762260287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439.06700232017681</v>
      </c>
      <c r="BJ164" s="62">
        <f t="shared" si="146"/>
        <v>278.21741231699929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0.24159868187223563</v>
      </c>
      <c r="BR164" s="23">
        <f>EXP(-LN(2)/2)*BR163+(1-EXP(-LN(2)/2))/(LN(2)/2)*BL164*BO164*VLOOKUP('Données projet'!$B$11,Paramètres!$A$1:$I$89,3,0)*0.475*44/12</f>
        <v>2.8576324133416187E-19</v>
      </c>
      <c r="BS164" s="24">
        <f t="shared" si="169"/>
        <v>0.24159868187223563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466.4945858005575</v>
      </c>
      <c r="CE164" s="62">
        <f t="shared" si="148"/>
        <v>294.45557293177131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0.25826065993238984</v>
      </c>
      <c r="CM164" s="23">
        <f>EXP(-LN(2)/2)*CM163+(1-EXP(-LN(2)/2))/(LN(2)/2)*CG164*CJ164*VLOOKUP('Données projet'!$B$12,Paramètres!$A$1:$I$89,3,0)*0.475*44/12</f>
        <v>3.0547105108134813E-19</v>
      </c>
      <c r="CN164" s="24">
        <f t="shared" si="172"/>
        <v>0.25826065993238984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335.83558218229564</v>
      </c>
      <c r="CZ164" s="62">
        <f t="shared" si="150"/>
        <v>217.08423061559648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0.22077120929704297</v>
      </c>
      <c r="DH164" s="23">
        <f>EXP(-LN(2)/2)*DH163+(1-EXP(-LN(2)/2))/(LN(2)/2)*DB164*DE164*VLOOKUP('Données projet'!$B$13,Paramètres!$A$1:$I$89,3,0)*0.475*44/12</f>
        <v>2.1185895478222518E-19</v>
      </c>
      <c r="DI164" s="24">
        <f t="shared" si="175"/>
        <v>0.22077120929704297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4.9658410716801891E-14</v>
      </c>
      <c r="P165" s="14">
        <f t="shared" si="141"/>
        <v>8.0934058173791862E-13</v>
      </c>
      <c r="Q165" s="22">
        <f t="shared" si="162"/>
        <v>1.4960899118586383E-12</v>
      </c>
      <c r="R165" s="62">
        <f t="shared" si="109"/>
        <v>293.33333333333479</v>
      </c>
      <c r="S165" s="62">
        <f ca="1">AVERAGE(OFFSET($R$3,0,0,'Données projet'!$E$9+1,1))-AVERAGE(OFFSET($H$3,0,0,'Données projet'!$E$9+1,1))</f>
        <v>321.62968871874483</v>
      </c>
      <c r="T165" s="62">
        <f t="shared" si="142"/>
        <v>389.91636841473559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0.6583980440502355</v>
      </c>
      <c r="AB165" s="23">
        <f>EXP(-LN(2)/2)*AB164+(1-EXP(-LN(2)/2))/(LN(2)/2)*V165*Y165*VLOOKUP('Données projet'!$B$9,Paramètres!$A$1:$I$89,3,0)*0.475*44/12</f>
        <v>2.4755734683672058E-19</v>
      </c>
      <c r="AC165" s="24">
        <f t="shared" si="163"/>
        <v>0.6583980440502355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405.09126081846171</v>
      </c>
      <c r="AO165" s="62">
        <f t="shared" si="144"/>
        <v>534.22295841722166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1.9305157327952942</v>
      </c>
      <c r="AV165" s="23">
        <f>EXP(-LN(2)/25)*AV164+(1-EXP(-LN(2)/25))/(LN(2)/25)*Calculateur!AQ165*Calculateur!AS165*VLOOKUP('Données projet'!$B$10,Paramètres!$A$1:$I$89,3,0)*0.475*44/12</f>
        <v>0.61482348099316186</v>
      </c>
      <c r="AW165" s="23">
        <f>EXP(-LN(2)/2)*AW164+(1-EXP(-LN(2)/2))/(LN(2)/2)*AQ165*AT165*VLOOKUP('Données projet'!$B$10,Paramètres!$A$1:$I$89,3,0)*0.475*44/12</f>
        <v>1.6045031808919786E-19</v>
      </c>
      <c r="AX165" s="23">
        <f t="shared" si="166"/>
        <v>2.5453392137884561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439.06700232017681</v>
      </c>
      <c r="BJ165" s="62">
        <f t="shared" si="146"/>
        <v>278.21741231699929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0.23499215321131683</v>
      </c>
      <c r="BR165" s="23">
        <f>EXP(-LN(2)/2)*BR164+(1-EXP(-LN(2)/2))/(LN(2)/2)*BL165*BO165*VLOOKUP('Données projet'!$B$11,Paramètres!$A$1:$I$89,3,0)*0.475*44/12</f>
        <v>2.0206512576123377E-19</v>
      </c>
      <c r="BS165" s="24">
        <f t="shared" si="169"/>
        <v>0.23499215321131683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466.4945858005575</v>
      </c>
      <c r="CE165" s="62">
        <f t="shared" si="148"/>
        <v>294.45557293177131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0.25119850860520077</v>
      </c>
      <c r="CM165" s="23">
        <f>EXP(-LN(2)/2)*CM164+(1-EXP(-LN(2)/2))/(LN(2)/2)*CG165*CJ165*VLOOKUP('Données projet'!$B$12,Paramètres!$A$1:$I$89,3,0)*0.475*44/12</f>
        <v>2.1600065167580354E-19</v>
      </c>
      <c r="CN165" s="24">
        <f t="shared" si="172"/>
        <v>0.25119850860520077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335.83558218229564</v>
      </c>
      <c r="CZ165" s="62">
        <f t="shared" si="150"/>
        <v>217.08423061559648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0.214734208968962</v>
      </c>
      <c r="DH165" s="23">
        <f>EXP(-LN(2)/2)*DH164+(1-EXP(-LN(2)/2))/(LN(2)/2)*DB165*DE165*VLOOKUP('Données projet'!$B$13,Paramètres!$A$1:$I$89,3,0)*0.475*44/12</f>
        <v>1.4980690358160556E-19</v>
      </c>
      <c r="DI165" s="24">
        <f t="shared" si="175"/>
        <v>0.214734208968962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4.9658410716801891E-14</v>
      </c>
      <c r="P166" s="14">
        <f t="shared" si="141"/>
        <v>8.0934058173791862E-13</v>
      </c>
      <c r="Q166" s="22">
        <f t="shared" si="162"/>
        <v>1.4960899118586383E-12</v>
      </c>
      <c r="R166" s="62">
        <f t="shared" si="109"/>
        <v>293.33333333333479</v>
      </c>
      <c r="S166" s="62">
        <f ca="1">AVERAGE(OFFSET($R$3,0,0,'Données projet'!$E$9+1,1))-AVERAGE(OFFSET($H$3,0,0,'Données projet'!$E$9+1,1))</f>
        <v>321.62968871874483</v>
      </c>
      <c r="T166" s="62">
        <f t="shared" si="142"/>
        <v>389.91636841473559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0.64039411491203346</v>
      </c>
      <c r="AB166" s="23">
        <f>EXP(-LN(2)/2)*AB165+(1-EXP(-LN(2)/2))/(LN(2)/2)*V166*Y166*VLOOKUP('Données projet'!$B$9,Paramètres!$A$1:$I$89,3,0)*0.475*44/12</f>
        <v>1.7504947868079523E-19</v>
      </c>
      <c r="AC166" s="24">
        <f t="shared" si="163"/>
        <v>0.64039411491203346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405.09126081846171</v>
      </c>
      <c r="AO166" s="62">
        <f t="shared" si="144"/>
        <v>534.22295841722166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1.8926594967735071</v>
      </c>
      <c r="AV166" s="23">
        <f>EXP(-LN(2)/25)*AV165+(1-EXP(-LN(2)/25))/(LN(2)/25)*Calculateur!AQ166*Calculateur!AS166*VLOOKUP('Données projet'!$B$10,Paramètres!$A$1:$I$89,3,0)*0.475*44/12</f>
        <v>0.59801110057324214</v>
      </c>
      <c r="AW166" s="23">
        <f>EXP(-LN(2)/2)*AW165+(1-EXP(-LN(2)/2))/(LN(2)/2)*AQ166*AT166*VLOOKUP('Données projet'!$B$10,Paramètres!$A$1:$I$89,3,0)*0.475*44/12</f>
        <v>1.1345550796441038E-19</v>
      </c>
      <c r="AX166" s="23">
        <f t="shared" si="166"/>
        <v>2.4906705973467491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439.06700232017681</v>
      </c>
      <c r="BJ166" s="62">
        <f t="shared" si="146"/>
        <v>278.21741231699929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0.22856628042405311</v>
      </c>
      <c r="BR166" s="23">
        <f>EXP(-LN(2)/2)*BR165+(1-EXP(-LN(2)/2))/(LN(2)/2)*BL166*BO166*VLOOKUP('Données projet'!$B$11,Paramètres!$A$1:$I$89,3,0)*0.475*44/12</f>
        <v>1.4288162066708094E-19</v>
      </c>
      <c r="BS166" s="24">
        <f t="shared" si="169"/>
        <v>0.22856628042405311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466.4945858005575</v>
      </c>
      <c r="CE166" s="62">
        <f t="shared" si="148"/>
        <v>294.45557293177131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0.24432947217743611</v>
      </c>
      <c r="CM166" s="23">
        <f>EXP(-LN(2)/2)*CM165+(1-EXP(-LN(2)/2))/(LN(2)/2)*CG166*CJ166*VLOOKUP('Données projet'!$B$12,Paramètres!$A$1:$I$89,3,0)*0.475*44/12</f>
        <v>1.5273552554067409E-19</v>
      </c>
      <c r="CN166" s="24">
        <f t="shared" si="172"/>
        <v>0.24432947217743611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335.83558218229564</v>
      </c>
      <c r="CZ166" s="62">
        <f t="shared" si="150"/>
        <v>217.08423061559648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0.20886229073232446</v>
      </c>
      <c r="DH166" s="23">
        <f>EXP(-LN(2)/2)*DH165+(1-EXP(-LN(2)/2))/(LN(2)/2)*DB166*DE166*VLOOKUP('Données projet'!$B$13,Paramètres!$A$1:$I$89,3,0)*0.475*44/12</f>
        <v>1.0592947739111259E-19</v>
      </c>
      <c r="DI166" s="24">
        <f t="shared" si="175"/>
        <v>0.20886229073232446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4.9658410716801891E-14</v>
      </c>
      <c r="P167" s="14">
        <f t="shared" si="141"/>
        <v>8.0934058173791862E-13</v>
      </c>
      <c r="Q167" s="22">
        <f t="shared" si="162"/>
        <v>1.4960899118586383E-12</v>
      </c>
      <c r="R167" s="62">
        <f t="shared" si="109"/>
        <v>293.33333333333479</v>
      </c>
      <c r="S167" s="62">
        <f ca="1">AVERAGE(OFFSET($R$3,0,0,'Données projet'!$E$9+1,1))-AVERAGE(OFFSET($H$3,0,0,'Données projet'!$E$9+1,1))</f>
        <v>321.62968871874483</v>
      </c>
      <c r="T167" s="62">
        <f t="shared" si="142"/>
        <v>389.91636841473559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0.62288250416290103</v>
      </c>
      <c r="AB167" s="23">
        <f>EXP(-LN(2)/2)*AB166+(1-EXP(-LN(2)/2))/(LN(2)/2)*V167*Y167*VLOOKUP('Données projet'!$B$9,Paramètres!$A$1:$I$89,3,0)*0.475*44/12</f>
        <v>1.2377867341836029E-19</v>
      </c>
      <c r="AC167" s="24">
        <f t="shared" si="163"/>
        <v>0.62288250416290103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405.09126081846171</v>
      </c>
      <c r="AO167" s="62">
        <f t="shared" si="144"/>
        <v>534.22295841722166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1.8555455984500833</v>
      </c>
      <c r="AV167" s="23">
        <f>EXP(-LN(2)/25)*AV166+(1-EXP(-LN(2)/25))/(LN(2)/25)*Calculateur!AQ167*Calculateur!AS167*VLOOKUP('Données projet'!$B$10,Paramètres!$A$1:$I$89,3,0)*0.475*44/12</f>
        <v>0.58165845558002982</v>
      </c>
      <c r="AW167" s="23">
        <f>EXP(-LN(2)/2)*AW166+(1-EXP(-LN(2)/2))/(LN(2)/2)*AQ167*AT167*VLOOKUP('Données projet'!$B$10,Paramètres!$A$1:$I$89,3,0)*0.475*44/12</f>
        <v>8.022515904459893E-20</v>
      </c>
      <c r="AX167" s="23">
        <f t="shared" si="166"/>
        <v>2.4372040540301132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439.06700232017681</v>
      </c>
      <c r="BJ167" s="62">
        <f t="shared" si="146"/>
        <v>278.21741231699929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0.2223161234660791</v>
      </c>
      <c r="BR167" s="23">
        <f>EXP(-LN(2)/2)*BR166+(1-EXP(-LN(2)/2))/(LN(2)/2)*BL167*BO167*VLOOKUP('Données projet'!$B$11,Paramètres!$A$1:$I$89,3,0)*0.475*44/12</f>
        <v>1.0103256288061689E-19</v>
      </c>
      <c r="BS167" s="24">
        <f t="shared" si="169"/>
        <v>0.2223161234660791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466.4945858005575</v>
      </c>
      <c r="CE167" s="62">
        <f t="shared" si="148"/>
        <v>294.45557293177131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0.2376482699120156</v>
      </c>
      <c r="CM167" s="23">
        <f>EXP(-LN(2)/2)*CM166+(1-EXP(-LN(2)/2))/(LN(2)/2)*CG167*CJ167*VLOOKUP('Données projet'!$B$12,Paramètres!$A$1:$I$89,3,0)*0.475*44/12</f>
        <v>1.0800032583790178E-19</v>
      </c>
      <c r="CN167" s="24">
        <f t="shared" si="172"/>
        <v>0.2376482699120156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335.83558218229564</v>
      </c>
      <c r="CZ167" s="62">
        <f t="shared" si="150"/>
        <v>217.08423061559648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0.20315094040865853</v>
      </c>
      <c r="DH167" s="23">
        <f>EXP(-LN(2)/2)*DH166+(1-EXP(-LN(2)/2))/(LN(2)/2)*DB167*DE167*VLOOKUP('Données projet'!$B$13,Paramètres!$A$1:$I$89,3,0)*0.475*44/12</f>
        <v>7.4903451790802781E-20</v>
      </c>
      <c r="DI167" s="24">
        <f t="shared" si="175"/>
        <v>0.20315094040865853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4.9658410716801891E-14</v>
      </c>
      <c r="P168" s="14">
        <f t="shared" si="141"/>
        <v>8.0934058173791862E-13</v>
      </c>
      <c r="Q168" s="22">
        <f t="shared" si="162"/>
        <v>1.4960899118586383E-12</v>
      </c>
      <c r="R168" s="62">
        <f t="shared" si="109"/>
        <v>293.33333333333479</v>
      </c>
      <c r="S168" s="62">
        <f ca="1">AVERAGE(OFFSET($R$3,0,0,'Données projet'!$E$9+1,1))-AVERAGE(OFFSET($H$3,0,0,'Données projet'!$E$9+1,1))</f>
        <v>321.62968871874483</v>
      </c>
      <c r="T168" s="62">
        <f t="shared" si="142"/>
        <v>389.91636841473559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0.60584974933059921</v>
      </c>
      <c r="AB168" s="23">
        <f>EXP(-LN(2)/2)*AB167+(1-EXP(-LN(2)/2))/(LN(2)/2)*V168*Y168*VLOOKUP('Données projet'!$B$9,Paramètres!$A$1:$I$89,3,0)*0.475*44/12</f>
        <v>8.7524739340397617E-20</v>
      </c>
      <c r="AC168" s="24">
        <f t="shared" si="163"/>
        <v>0.60584974933059921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405.09126081846171</v>
      </c>
      <c r="AO168" s="62">
        <f t="shared" si="144"/>
        <v>534.22295841722166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1.8191594810355391</v>
      </c>
      <c r="AV168" s="23">
        <f>EXP(-LN(2)/25)*AV167+(1-EXP(-LN(2)/25))/(LN(2)/25)*Calculateur!AQ168*Calculateur!AS168*VLOOKUP('Données projet'!$B$10,Paramètres!$A$1:$I$89,3,0)*0.475*44/12</f>
        <v>0.56575297452410511</v>
      </c>
      <c r="AW168" s="23">
        <f>EXP(-LN(2)/2)*AW167+(1-EXP(-LN(2)/2))/(LN(2)/2)*AQ168*AT168*VLOOKUP('Données projet'!$B$10,Paramètres!$A$1:$I$89,3,0)*0.475*44/12</f>
        <v>5.6727753982205189E-20</v>
      </c>
      <c r="AX168" s="23">
        <f t="shared" si="166"/>
        <v>2.3849124555596442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439.06700232017681</v>
      </c>
      <c r="BJ168" s="62">
        <f t="shared" si="146"/>
        <v>278.21741231699929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0.21623687737880234</v>
      </c>
      <c r="BR168" s="23">
        <f>EXP(-LN(2)/2)*BR167+(1-EXP(-LN(2)/2))/(LN(2)/2)*BL168*BO168*VLOOKUP('Données projet'!$B$11,Paramètres!$A$1:$I$89,3,0)*0.475*44/12</f>
        <v>7.1440810333540468E-20</v>
      </c>
      <c r="BS168" s="24">
        <f t="shared" si="169"/>
        <v>0.21623687737880234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466.4945858005575</v>
      </c>
      <c r="CE168" s="62">
        <f t="shared" si="148"/>
        <v>294.45557293177131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0.23114976547389215</v>
      </c>
      <c r="CM168" s="23">
        <f>EXP(-LN(2)/2)*CM167+(1-EXP(-LN(2)/2))/(LN(2)/2)*CG168*CJ168*VLOOKUP('Données projet'!$B$12,Paramètres!$A$1:$I$89,3,0)*0.475*44/12</f>
        <v>7.6367762770337056E-20</v>
      </c>
      <c r="CN168" s="24">
        <f t="shared" si="172"/>
        <v>0.23114976547389215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335.83558218229564</v>
      </c>
      <c r="CZ168" s="62">
        <f t="shared" si="150"/>
        <v>217.08423061559648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0.1975957672599401</v>
      </c>
      <c r="DH168" s="23">
        <f>EXP(-LN(2)/2)*DH167+(1-EXP(-LN(2)/2))/(LN(2)/2)*DB168*DE168*VLOOKUP('Données projet'!$B$13,Paramètres!$A$1:$I$89,3,0)*0.475*44/12</f>
        <v>5.2964738695556294E-20</v>
      </c>
      <c r="DI168" s="24">
        <f t="shared" si="175"/>
        <v>0.1975957672599401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4.9658410716801891E-14</v>
      </c>
      <c r="P169" s="14">
        <f t="shared" si="141"/>
        <v>8.0934058173791862E-13</v>
      </c>
      <c r="Q169" s="22">
        <f t="shared" si="162"/>
        <v>1.4960899118586383E-12</v>
      </c>
      <c r="R169" s="62">
        <f t="shared" si="109"/>
        <v>293.33333333333479</v>
      </c>
      <c r="S169" s="62">
        <f ca="1">AVERAGE(OFFSET($R$3,0,0,'Données projet'!$E$9+1,1))-AVERAGE(OFFSET($H$3,0,0,'Données projet'!$E$9+1,1))</f>
        <v>321.62968871874483</v>
      </c>
      <c r="T169" s="62">
        <f t="shared" si="142"/>
        <v>389.91636841473559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0.58928275607490033</v>
      </c>
      <c r="AB169" s="23">
        <f>EXP(-LN(2)/2)*AB168+(1-EXP(-LN(2)/2))/(LN(2)/2)*V169*Y169*VLOOKUP('Données projet'!$B$9,Paramètres!$A$1:$I$89,3,0)*0.475*44/12</f>
        <v>6.1889336709180144E-20</v>
      </c>
      <c r="AC169" s="24">
        <f t="shared" si="163"/>
        <v>0.58928275607490033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405.09126081846171</v>
      </c>
      <c r="AO169" s="62">
        <f t="shared" si="144"/>
        <v>534.22295841722166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1.7834868731901539</v>
      </c>
      <c r="AV169" s="23">
        <f>EXP(-LN(2)/25)*AV168+(1-EXP(-LN(2)/25))/(LN(2)/25)*Calculateur!AQ169*Calculateur!AS169*VLOOKUP('Données projet'!$B$10,Paramètres!$A$1:$I$89,3,0)*0.475*44/12</f>
        <v>0.55028242968408758</v>
      </c>
      <c r="AW169" s="23">
        <f>EXP(-LN(2)/2)*AW168+(1-EXP(-LN(2)/2))/(LN(2)/2)*AQ169*AT169*VLOOKUP('Données projet'!$B$10,Paramètres!$A$1:$I$89,3,0)*0.475*44/12</f>
        <v>4.0112579522299465E-20</v>
      </c>
      <c r="AX169" s="23">
        <f t="shared" si="166"/>
        <v>2.3337693028742414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439.06700232017681</v>
      </c>
      <c r="BJ169" s="62">
        <f t="shared" si="146"/>
        <v>278.21741231699929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0.21032386859547583</v>
      </c>
      <c r="BR169" s="23">
        <f>EXP(-LN(2)/2)*BR168+(1-EXP(-LN(2)/2))/(LN(2)/2)*BL169*BO169*VLOOKUP('Données projet'!$B$11,Paramètres!$A$1:$I$89,3,0)*0.475*44/12</f>
        <v>5.0516281440308444E-20</v>
      </c>
      <c r="BS169" s="24">
        <f t="shared" si="169"/>
        <v>0.21032386859547583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466.4945858005575</v>
      </c>
      <c r="CE169" s="62">
        <f t="shared" si="148"/>
        <v>294.45557293177131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0.2248289629813707</v>
      </c>
      <c r="CM169" s="23">
        <f>EXP(-LN(2)/2)*CM168+(1-EXP(-LN(2)/2))/(LN(2)/2)*CG169*CJ169*VLOOKUP('Données projet'!$B$12,Paramètres!$A$1:$I$89,3,0)*0.475*44/12</f>
        <v>5.4000162918950896E-20</v>
      </c>
      <c r="CN169" s="24">
        <f t="shared" si="172"/>
        <v>0.2248289629813707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335.83558218229564</v>
      </c>
      <c r="CZ169" s="62">
        <f t="shared" si="150"/>
        <v>217.08423061559648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0.19219250061310725</v>
      </c>
      <c r="DH169" s="23">
        <f>EXP(-LN(2)/2)*DH168+(1-EXP(-LN(2)/2))/(LN(2)/2)*DB169*DE169*VLOOKUP('Données projet'!$B$13,Paramètres!$A$1:$I$89,3,0)*0.475*44/12</f>
        <v>3.745172589540139E-20</v>
      </c>
      <c r="DI169" s="24">
        <f t="shared" si="175"/>
        <v>0.19219250061310725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4.9658410716801891E-14</v>
      </c>
      <c r="P170" s="14">
        <f t="shared" si="141"/>
        <v>8.0934058173791862E-13</v>
      </c>
      <c r="Q170" s="22">
        <f t="shared" si="162"/>
        <v>1.4960899118586383E-12</v>
      </c>
      <c r="R170" s="62">
        <f t="shared" si="109"/>
        <v>293.33333333333479</v>
      </c>
      <c r="S170" s="62">
        <f ca="1">AVERAGE(OFFSET($R$3,0,0,'Données projet'!$E$9+1,1))-AVERAGE(OFFSET($H$3,0,0,'Données projet'!$E$9+1,1))</f>
        <v>321.62968871874483</v>
      </c>
      <c r="T170" s="62">
        <f t="shared" si="142"/>
        <v>389.91636841473559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0.57316878812099881</v>
      </c>
      <c r="AB170" s="23">
        <f>EXP(-LN(2)/2)*AB169+(1-EXP(-LN(2)/2))/(LN(2)/2)*V170*Y170*VLOOKUP('Données projet'!$B$9,Paramètres!$A$1:$I$89,3,0)*0.475*44/12</f>
        <v>4.3762369670198808E-20</v>
      </c>
      <c r="AC170" s="24">
        <f t="shared" si="163"/>
        <v>0.57316878812099881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405.09126081846171</v>
      </c>
      <c r="AO170" s="62">
        <f t="shared" si="144"/>
        <v>534.22295841722166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1.7485137834264743</v>
      </c>
      <c r="AV170" s="23">
        <f>EXP(-LN(2)/25)*AV169+(1-EXP(-LN(2)/25))/(LN(2)/25)*Calculateur!AQ170*Calculateur!AS170*VLOOKUP('Données projet'!$B$10,Paramètres!$A$1:$I$89,3,0)*0.475*44/12</f>
        <v>0.53523492770628089</v>
      </c>
      <c r="AW170" s="23">
        <f>EXP(-LN(2)/2)*AW169+(1-EXP(-LN(2)/2))/(LN(2)/2)*AQ170*AT170*VLOOKUP('Données projet'!$B$10,Paramètres!$A$1:$I$89,3,0)*0.475*44/12</f>
        <v>2.8363876991102595E-20</v>
      </c>
      <c r="AX170" s="23">
        <f t="shared" si="166"/>
        <v>2.2837487111327555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439.06700232017681</v>
      </c>
      <c r="BJ170" s="62">
        <f t="shared" si="146"/>
        <v>278.21741231699929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0.20457255134828101</v>
      </c>
      <c r="BR170" s="23">
        <f>EXP(-LN(2)/2)*BR169+(1-EXP(-LN(2)/2))/(LN(2)/2)*BL170*BO170*VLOOKUP('Données projet'!$B$11,Paramètres!$A$1:$I$89,3,0)*0.475*44/12</f>
        <v>3.5720405166770234E-20</v>
      </c>
      <c r="BS170" s="24">
        <f t="shared" si="169"/>
        <v>0.20457255134828101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466.4945858005575</v>
      </c>
      <c r="CE170" s="62">
        <f t="shared" si="148"/>
        <v>294.45557293177131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0.21868100316540381</v>
      </c>
      <c r="CM170" s="23">
        <f>EXP(-LN(2)/2)*CM169+(1-EXP(-LN(2)/2))/(LN(2)/2)*CG170*CJ170*VLOOKUP('Données projet'!$B$12,Paramètres!$A$1:$I$89,3,0)*0.475*44/12</f>
        <v>3.8183881385168534E-20</v>
      </c>
      <c r="CN170" s="24">
        <f t="shared" si="172"/>
        <v>0.21868100316540381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335.83558218229564</v>
      </c>
      <c r="CZ170" s="62">
        <f t="shared" si="150"/>
        <v>217.08423061559648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0.18693698657687749</v>
      </c>
      <c r="DH170" s="23">
        <f>EXP(-LN(2)/2)*DH169+(1-EXP(-LN(2)/2))/(LN(2)/2)*DB170*DE170*VLOOKUP('Données projet'!$B$13,Paramètres!$A$1:$I$89,3,0)*0.475*44/12</f>
        <v>2.6482369347778147E-20</v>
      </c>
      <c r="DI170" s="24">
        <f t="shared" si="175"/>
        <v>0.18693698657687749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4.9658410716801891E-14</v>
      </c>
      <c r="P171" s="14">
        <f t="shared" si="141"/>
        <v>8.0934058173791862E-13</v>
      </c>
      <c r="Q171" s="22">
        <f t="shared" si="162"/>
        <v>1.4960899118586383E-12</v>
      </c>
      <c r="R171" s="62">
        <f t="shared" si="109"/>
        <v>293.33333333333479</v>
      </c>
      <c r="S171" s="62">
        <f ca="1">AVERAGE(OFFSET($R$3,0,0,'Données projet'!$E$9+1,1))-AVERAGE(OFFSET($H$3,0,0,'Données projet'!$E$9+1,1))</f>
        <v>321.62968871874483</v>
      </c>
      <c r="T171" s="62">
        <f t="shared" si="142"/>
        <v>389.91636841473559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0.55749545746819351</v>
      </c>
      <c r="AB171" s="23">
        <f>EXP(-LN(2)/2)*AB170+(1-EXP(-LN(2)/2))/(LN(2)/2)*V171*Y171*VLOOKUP('Données projet'!$B$9,Paramètres!$A$1:$I$89,3,0)*0.475*44/12</f>
        <v>3.0944668354590072E-20</v>
      </c>
      <c r="AC171" s="24">
        <f t="shared" si="163"/>
        <v>0.55749545746819351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405.09126081846171</v>
      </c>
      <c r="AO171" s="62">
        <f t="shared" si="144"/>
        <v>534.22295841722166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1.7142264946215822</v>
      </c>
      <c r="AV171" s="23">
        <f>EXP(-LN(2)/25)*AV170+(1-EXP(-LN(2)/25))/(LN(2)/25)*Calculateur!AQ171*Calculateur!AS171*VLOOKUP('Données projet'!$B$10,Paramètres!$A$1:$I$89,3,0)*0.475*44/12</f>
        <v>0.52059890046137114</v>
      </c>
      <c r="AW171" s="23">
        <f>EXP(-LN(2)/2)*AW170+(1-EXP(-LN(2)/2))/(LN(2)/2)*AQ171*AT171*VLOOKUP('Données projet'!$B$10,Paramètres!$A$1:$I$89,3,0)*0.475*44/12</f>
        <v>2.0056289761149732E-20</v>
      </c>
      <c r="AX171" s="23">
        <f t="shared" si="166"/>
        <v>2.2348253950829533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439.06700232017681</v>
      </c>
      <c r="BJ171" s="62">
        <f t="shared" si="146"/>
        <v>278.21741231699929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0.19897850417365934</v>
      </c>
      <c r="BR171" s="23">
        <f>EXP(-LN(2)/2)*BR170+(1-EXP(-LN(2)/2))/(LN(2)/2)*BL171*BO171*VLOOKUP('Données projet'!$B$11,Paramètres!$A$1:$I$89,3,0)*0.475*44/12</f>
        <v>2.5258140720154222E-20</v>
      </c>
      <c r="BS171" s="24">
        <f t="shared" si="169"/>
        <v>0.19897850417365934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466.4945858005575</v>
      </c>
      <c r="CE171" s="62">
        <f t="shared" si="148"/>
        <v>294.45557293177131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0.2127011596339117</v>
      </c>
      <c r="CM171" s="23">
        <f>EXP(-LN(2)/2)*CM170+(1-EXP(-LN(2)/2))/(LN(2)/2)*CG171*CJ171*VLOOKUP('Données projet'!$B$12,Paramètres!$A$1:$I$89,3,0)*0.475*44/12</f>
        <v>2.7000081459475454E-20</v>
      </c>
      <c r="CN171" s="24">
        <f t="shared" si="172"/>
        <v>0.2127011596339117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335.83558218229564</v>
      </c>
      <c r="CZ171" s="62">
        <f t="shared" si="150"/>
        <v>217.08423061559648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0.1818251848483439</v>
      </c>
      <c r="DH171" s="23">
        <f>EXP(-LN(2)/2)*DH170+(1-EXP(-LN(2)/2))/(LN(2)/2)*DB171*DE171*VLOOKUP('Données projet'!$B$13,Paramètres!$A$1:$I$89,3,0)*0.475*44/12</f>
        <v>1.8725862947700695E-20</v>
      </c>
      <c r="DI171" s="24">
        <f t="shared" si="175"/>
        <v>0.1818251848483439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4.9658410716801891E-14</v>
      </c>
      <c r="P172" s="14">
        <f t="shared" si="141"/>
        <v>8.0934058173791862E-13</v>
      </c>
      <c r="Q172" s="22">
        <f t="shared" si="162"/>
        <v>1.4960899118586383E-12</v>
      </c>
      <c r="R172" s="62">
        <f t="shared" si="109"/>
        <v>293.33333333333479</v>
      </c>
      <c r="S172" s="62">
        <f ca="1">AVERAGE(OFFSET($R$3,0,0,'Données projet'!$E$9+1,1))-AVERAGE(OFFSET($H$3,0,0,'Données projet'!$E$9+1,1))</f>
        <v>321.62968871874483</v>
      </c>
      <c r="T172" s="62">
        <f t="shared" si="142"/>
        <v>389.91636841473559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0.54225071486631382</v>
      </c>
      <c r="AB172" s="23">
        <f>EXP(-LN(2)/2)*AB171+(1-EXP(-LN(2)/2))/(LN(2)/2)*V172*Y172*VLOOKUP('Données projet'!$B$9,Paramètres!$A$1:$I$89,3,0)*0.475*44/12</f>
        <v>2.1881184835099404E-20</v>
      </c>
      <c r="AC172" s="24">
        <f t="shared" si="163"/>
        <v>0.54225071486631382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405.09126081846171</v>
      </c>
      <c r="AO172" s="62">
        <f t="shared" si="144"/>
        <v>534.22295841722166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1.6806115586369728</v>
      </c>
      <c r="AV172" s="23">
        <f>EXP(-LN(2)/25)*AV171+(1-EXP(-LN(2)/25))/(LN(2)/25)*Calculateur!AQ172*Calculateur!AS172*VLOOKUP('Données projet'!$B$10,Paramètres!$A$1:$I$89,3,0)*0.475*44/12</f>
        <v>0.50636309615114861</v>
      </c>
      <c r="AW172" s="23">
        <f>EXP(-LN(2)/2)*AW171+(1-EXP(-LN(2)/2))/(LN(2)/2)*AQ172*AT172*VLOOKUP('Données projet'!$B$10,Paramètres!$A$1:$I$89,3,0)*0.475*44/12</f>
        <v>1.4181938495551297E-20</v>
      </c>
      <c r="AX172" s="23">
        <f t="shared" si="166"/>
        <v>2.1869746547881213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439.06700232017681</v>
      </c>
      <c r="BJ172" s="62">
        <f t="shared" si="146"/>
        <v>278.21741231699929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0.19353742651320585</v>
      </c>
      <c r="BR172" s="23">
        <f>EXP(-LN(2)/2)*BR171+(1-EXP(-LN(2)/2))/(LN(2)/2)*BL172*BO172*VLOOKUP('Données projet'!$B$11,Paramètres!$A$1:$I$89,3,0)*0.475*44/12</f>
        <v>1.7860202583385117E-20</v>
      </c>
      <c r="BS172" s="24">
        <f t="shared" si="169"/>
        <v>0.19353742651320585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466.4945858005575</v>
      </c>
      <c r="CE172" s="62">
        <f t="shared" si="148"/>
        <v>294.45557293177131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0.20688483523825454</v>
      </c>
      <c r="CM172" s="23">
        <f>EXP(-LN(2)/2)*CM171+(1-EXP(-LN(2)/2))/(LN(2)/2)*CG172*CJ172*VLOOKUP('Données projet'!$B$12,Paramètres!$A$1:$I$89,3,0)*0.475*44/12</f>
        <v>1.909194069258427E-20</v>
      </c>
      <c r="CN172" s="24">
        <f t="shared" si="172"/>
        <v>0.20688483523825454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335.83558218229564</v>
      </c>
      <c r="CZ172" s="62">
        <f t="shared" si="150"/>
        <v>217.08423061559648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0.17685316560689504</v>
      </c>
      <c r="DH172" s="23">
        <f>EXP(-LN(2)/2)*DH171+(1-EXP(-LN(2)/2))/(LN(2)/2)*DB172*DE172*VLOOKUP('Données projet'!$B$13,Paramètres!$A$1:$I$89,3,0)*0.475*44/12</f>
        <v>1.3241184673889073E-20</v>
      </c>
      <c r="DI172" s="24">
        <f t="shared" si="175"/>
        <v>0.17685316560689504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4.9658410716801891E-14</v>
      </c>
      <c r="P173" s="14">
        <f t="shared" si="141"/>
        <v>8.0934058173791862E-13</v>
      </c>
      <c r="Q173" s="22">
        <f t="shared" si="162"/>
        <v>1.4960899118586383E-12</v>
      </c>
      <c r="R173" s="62">
        <f t="shared" si="109"/>
        <v>293.33333333333479</v>
      </c>
      <c r="S173" s="62">
        <f ca="1">AVERAGE(OFFSET($R$3,0,0,'Données projet'!$E$9+1,1))-AVERAGE(OFFSET($H$3,0,0,'Données projet'!$E$9+1,1))</f>
        <v>321.62968871874483</v>
      </c>
      <c r="T173" s="62">
        <f t="shared" si="142"/>
        <v>389.91636841473559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0.52742284055256872</v>
      </c>
      <c r="AB173" s="23">
        <f>EXP(-LN(2)/2)*AB172+(1-EXP(-LN(2)/2))/(LN(2)/2)*V173*Y173*VLOOKUP('Données projet'!$B$9,Paramètres!$A$1:$I$89,3,0)*0.475*44/12</f>
        <v>1.5472334177295036E-20</v>
      </c>
      <c r="AC173" s="24">
        <f t="shared" si="163"/>
        <v>0.52742284055256872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405.09126081846171</v>
      </c>
      <c r="AO173" s="62">
        <f t="shared" si="144"/>
        <v>534.22295841722166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1.6476557910439351</v>
      </c>
      <c r="AV173" s="23">
        <f>EXP(-LN(2)/25)*AV172+(1-EXP(-LN(2)/25))/(LN(2)/25)*Calculateur!AQ173*Calculateur!AS173*VLOOKUP('Données projet'!$B$10,Paramètres!$A$1:$I$89,3,0)*0.475*44/12</f>
        <v>0.49251657065841753</v>
      </c>
      <c r="AW173" s="23">
        <f>EXP(-LN(2)/2)*AW172+(1-EXP(-LN(2)/2))/(LN(2)/2)*AQ173*AT173*VLOOKUP('Données projet'!$B$10,Paramètres!$A$1:$I$89,3,0)*0.475*44/12</f>
        <v>1.0028144880574866E-20</v>
      </c>
      <c r="AX173" s="23">
        <f t="shared" si="166"/>
        <v>2.1401723617023527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439.06700232017681</v>
      </c>
      <c r="BJ173" s="62">
        <f t="shared" si="146"/>
        <v>278.21741231699929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0.18824513540751131</v>
      </c>
      <c r="BR173" s="23">
        <f>EXP(-LN(2)/2)*BR172+(1-EXP(-LN(2)/2))/(LN(2)/2)*BL173*BO173*VLOOKUP('Données projet'!$B$11,Paramètres!$A$1:$I$89,3,0)*0.475*44/12</f>
        <v>1.2629070360077111E-20</v>
      </c>
      <c r="BS173" s="24">
        <f t="shared" si="169"/>
        <v>0.18824513540751131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466.4945858005575</v>
      </c>
      <c r="CE173" s="62">
        <f t="shared" si="148"/>
        <v>294.45557293177131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0.20122755853906382</v>
      </c>
      <c r="CM173" s="23">
        <f>EXP(-LN(2)/2)*CM172+(1-EXP(-LN(2)/2))/(LN(2)/2)*CG173*CJ173*VLOOKUP('Données projet'!$B$12,Paramètres!$A$1:$I$89,3,0)*0.475*44/12</f>
        <v>1.3500040729737729E-20</v>
      </c>
      <c r="CN173" s="24">
        <f t="shared" si="172"/>
        <v>0.20122755853906382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335.83558218229564</v>
      </c>
      <c r="CZ173" s="62">
        <f t="shared" si="150"/>
        <v>217.08423061559648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0.17201710649307073</v>
      </c>
      <c r="DH173" s="23">
        <f>EXP(-LN(2)/2)*DH172+(1-EXP(-LN(2)/2))/(LN(2)/2)*DB173*DE173*VLOOKUP('Données projet'!$B$13,Paramètres!$A$1:$I$89,3,0)*0.475*44/12</f>
        <v>9.3629314738503476E-21</v>
      </c>
      <c r="DI173" s="24">
        <f t="shared" si="175"/>
        <v>0.17201710649307073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4.9658410716801891E-14</v>
      </c>
      <c r="P174" s="14">
        <f t="shared" si="141"/>
        <v>8.0934058173791862E-13</v>
      </c>
      <c r="Q174" s="22">
        <f t="shared" si="162"/>
        <v>1.4960899118586383E-12</v>
      </c>
      <c r="R174" s="62">
        <f t="shared" si="109"/>
        <v>293.33333333333479</v>
      </c>
      <c r="S174" s="62">
        <f ca="1">AVERAGE(OFFSET($R$3,0,0,'Données projet'!$E$9+1,1))-AVERAGE(OFFSET($H$3,0,0,'Données projet'!$E$9+1,1))</f>
        <v>321.62968871874483</v>
      </c>
      <c r="T174" s="62">
        <f t="shared" si="142"/>
        <v>389.91636841473559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0.51300043524169703</v>
      </c>
      <c r="AB174" s="23">
        <f>EXP(-LN(2)/2)*AB173+(1-EXP(-LN(2)/2))/(LN(2)/2)*V174*Y174*VLOOKUP('Données projet'!$B$9,Paramètres!$A$1:$I$89,3,0)*0.475*44/12</f>
        <v>1.0940592417549702E-20</v>
      </c>
      <c r="AC174" s="24">
        <f t="shared" si="163"/>
        <v>0.51300043524169703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405.09126081846171</v>
      </c>
      <c r="AO174" s="62">
        <f t="shared" si="144"/>
        <v>534.22295841722166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1.6153462659523634</v>
      </c>
      <c r="AV174" s="23">
        <f>EXP(-LN(2)/25)*AV173+(1-EXP(-LN(2)/25))/(LN(2)/25)*Calculateur!AQ174*Calculateur!AS174*VLOOKUP('Données projet'!$B$10,Paramètres!$A$1:$I$89,3,0)*0.475*44/12</f>
        <v>0.47904867913344229</v>
      </c>
      <c r="AW174" s="23">
        <f>EXP(-LN(2)/2)*AW173+(1-EXP(-LN(2)/2))/(LN(2)/2)*AQ174*AT174*VLOOKUP('Données projet'!$B$10,Paramètres!$A$1:$I$89,3,0)*0.475*44/12</f>
        <v>7.0909692477756487E-21</v>
      </c>
      <c r="AX174" s="23">
        <f t="shared" si="166"/>
        <v>2.0943949450858055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439.06700232017681</v>
      </c>
      <c r="BJ174" s="62">
        <f t="shared" si="146"/>
        <v>278.21741231699929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0.18309756228041149</v>
      </c>
      <c r="BR174" s="23">
        <f>EXP(-LN(2)/2)*BR173+(1-EXP(-LN(2)/2))/(LN(2)/2)*BL174*BO174*VLOOKUP('Données projet'!$B$11,Paramètres!$A$1:$I$89,3,0)*0.475*44/12</f>
        <v>8.9301012916925585E-21</v>
      </c>
      <c r="BS174" s="24">
        <f t="shared" si="169"/>
        <v>0.18309756228041149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466.4945858005575</v>
      </c>
      <c r="CE174" s="62">
        <f t="shared" si="148"/>
        <v>294.45557293177131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0.19572498036871572</v>
      </c>
      <c r="CM174" s="23">
        <f>EXP(-LN(2)/2)*CM173+(1-EXP(-LN(2)/2))/(LN(2)/2)*CG174*CJ174*VLOOKUP('Données projet'!$B$12,Paramètres!$A$1:$I$89,3,0)*0.475*44/12</f>
        <v>9.5459703462921366E-21</v>
      </c>
      <c r="CN174" s="24">
        <f t="shared" si="172"/>
        <v>0.19572498036871572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335.83558218229564</v>
      </c>
      <c r="CZ174" s="62">
        <f t="shared" si="150"/>
        <v>217.08423061559648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0.16731328967003123</v>
      </c>
      <c r="DH174" s="23">
        <f>EXP(-LN(2)/2)*DH173+(1-EXP(-LN(2)/2))/(LN(2)/2)*DB174*DE174*VLOOKUP('Données projet'!$B$13,Paramètres!$A$1:$I$89,3,0)*0.475*44/12</f>
        <v>6.6205923369445367E-21</v>
      </c>
      <c r="DI174" s="24">
        <f t="shared" si="175"/>
        <v>0.16731328967003123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4.9658410716801891E-14</v>
      </c>
      <c r="P175" s="14">
        <f t="shared" si="141"/>
        <v>8.0934058173791862E-13</v>
      </c>
      <c r="Q175" s="22">
        <f t="shared" si="162"/>
        <v>1.4960899118586383E-12</v>
      </c>
      <c r="R175" s="62">
        <f t="shared" si="109"/>
        <v>293.33333333333479</v>
      </c>
      <c r="S175" s="62">
        <f ca="1">AVERAGE(OFFSET($R$3,0,0,'Données projet'!$E$9+1,1))-AVERAGE(OFFSET($H$3,0,0,'Données projet'!$E$9+1,1))</f>
        <v>321.62968871874483</v>
      </c>
      <c r="T175" s="62">
        <f t="shared" si="142"/>
        <v>389.91636841473559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0.49897241136249243</v>
      </c>
      <c r="AB175" s="23">
        <f>EXP(-LN(2)/2)*AB174+(1-EXP(-LN(2)/2))/(LN(2)/2)*V175*Y175*VLOOKUP('Données projet'!$B$9,Paramètres!$A$1:$I$89,3,0)*0.475*44/12</f>
        <v>7.736167088647518E-21</v>
      </c>
      <c r="AC175" s="24">
        <f t="shared" si="163"/>
        <v>0.49897241136249243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405.09126081846171</v>
      </c>
      <c r="AO175" s="62">
        <f t="shared" si="144"/>
        <v>534.22295841722166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1.5836703109409731</v>
      </c>
      <c r="AV175" s="23">
        <f>EXP(-LN(2)/25)*AV174+(1-EXP(-LN(2)/25))/(LN(2)/25)*Calculateur!AQ175*Calculateur!AS175*VLOOKUP('Données projet'!$B$10,Paramètres!$A$1:$I$89,3,0)*0.475*44/12</f>
        <v>0.46594906781046314</v>
      </c>
      <c r="AW175" s="23">
        <f>EXP(-LN(2)/2)*AW174+(1-EXP(-LN(2)/2))/(LN(2)/2)*AQ175*AT175*VLOOKUP('Données projet'!$B$10,Paramètres!$A$1:$I$89,3,0)*0.475*44/12</f>
        <v>5.0140724402874331E-21</v>
      </c>
      <c r="AX175" s="23">
        <f t="shared" si="166"/>
        <v>2.0496193787514363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439.06700232017681</v>
      </c>
      <c r="BJ175" s="62">
        <f t="shared" si="146"/>
        <v>278.21741231699929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0.17809074981117132</v>
      </c>
      <c r="BR175" s="23">
        <f>EXP(-LN(2)/2)*BR174+(1-EXP(-LN(2)/2))/(LN(2)/2)*BL175*BO175*VLOOKUP('Données projet'!$B$11,Paramètres!$A$1:$I$89,3,0)*0.475*44/12</f>
        <v>6.3145351800385555E-21</v>
      </c>
      <c r="BS175" s="24">
        <f t="shared" si="169"/>
        <v>0.17809074981117132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466.4945858005575</v>
      </c>
      <c r="CE175" s="62">
        <f t="shared" si="148"/>
        <v>294.45557293177131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0.1903728704878038</v>
      </c>
      <c r="CM175" s="23">
        <f>EXP(-LN(2)/2)*CM174+(1-EXP(-LN(2)/2))/(LN(2)/2)*CG175*CJ175*VLOOKUP('Données projet'!$B$12,Paramètres!$A$1:$I$89,3,0)*0.475*44/12</f>
        <v>6.7500203648688658E-21</v>
      </c>
      <c r="CN175" s="24">
        <f t="shared" si="172"/>
        <v>0.1903728704878038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335.83558218229564</v>
      </c>
      <c r="CZ175" s="62">
        <f t="shared" si="150"/>
        <v>217.08423061559648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0.16273809896538072</v>
      </c>
      <c r="DH175" s="23">
        <f>EXP(-LN(2)/2)*DH174+(1-EXP(-LN(2)/2))/(LN(2)/2)*DB175*DE175*VLOOKUP('Données projet'!$B$13,Paramètres!$A$1:$I$89,3,0)*0.475*44/12</f>
        <v>4.6814657369251738E-21</v>
      </c>
      <c r="DI175" s="24">
        <f t="shared" si="175"/>
        <v>0.16273809896538072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4.9658410716801891E-14</v>
      </c>
      <c r="P176" s="14">
        <f t="shared" si="141"/>
        <v>8.0934058173791862E-13</v>
      </c>
      <c r="Q176" s="22">
        <f t="shared" si="162"/>
        <v>1.4960899118586383E-12</v>
      </c>
      <c r="R176" s="62">
        <f t="shared" si="109"/>
        <v>293.33333333333479</v>
      </c>
      <c r="S176" s="62">
        <f ca="1">AVERAGE(OFFSET($R$3,0,0,'Données projet'!$E$9+1,1))-AVERAGE(OFFSET($H$3,0,0,'Données projet'!$E$9+1,1))</f>
        <v>321.62968871874483</v>
      </c>
      <c r="T176" s="62">
        <f t="shared" si="142"/>
        <v>389.91636841473559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0.48532798453396636</v>
      </c>
      <c r="AB176" s="23">
        <f>EXP(-LN(2)/2)*AB175+(1-EXP(-LN(2)/2))/(LN(2)/2)*V176*Y176*VLOOKUP('Données projet'!$B$9,Paramètres!$A$1:$I$89,3,0)*0.475*44/12</f>
        <v>5.4702962087748511E-21</v>
      </c>
      <c r="AC176" s="24">
        <f t="shared" si="163"/>
        <v>0.48532798453396636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405.09126081846171</v>
      </c>
      <c r="AO176" s="62">
        <f t="shared" si="144"/>
        <v>534.22295841722166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1.5526155020869312</v>
      </c>
      <c r="AV176" s="23">
        <f>EXP(-LN(2)/25)*AV175+(1-EXP(-LN(2)/25))/(LN(2)/25)*Calculateur!AQ176*Calculateur!AS176*VLOOKUP('Données projet'!$B$10,Paramètres!$A$1:$I$89,3,0)*0.475*44/12</f>
        <v>0.45320766604798951</v>
      </c>
      <c r="AW176" s="23">
        <f>EXP(-LN(2)/2)*AW175+(1-EXP(-LN(2)/2))/(LN(2)/2)*AQ176*AT176*VLOOKUP('Données projet'!$B$10,Paramètres!$A$1:$I$89,3,0)*0.475*44/12</f>
        <v>3.5454846238878243E-21</v>
      </c>
      <c r="AX176" s="23">
        <f t="shared" si="166"/>
        <v>2.0058231681349206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439.06700232017681</v>
      </c>
      <c r="BJ176" s="62">
        <f t="shared" si="146"/>
        <v>278.21741231699929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0.17322084889219933</v>
      </c>
      <c r="BR176" s="23">
        <f>EXP(-LN(2)/2)*BR175+(1-EXP(-LN(2)/2))/(LN(2)/2)*BL176*BO176*VLOOKUP('Données projet'!$B$11,Paramètres!$A$1:$I$89,3,0)*0.475*44/12</f>
        <v>4.4650506458462793E-21</v>
      </c>
      <c r="BS176" s="24">
        <f t="shared" si="169"/>
        <v>0.17322084889219933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466.4945858005575</v>
      </c>
      <c r="CE176" s="62">
        <f t="shared" si="148"/>
        <v>294.45557293177131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0.18516711433304064</v>
      </c>
      <c r="CM176" s="23">
        <f>EXP(-LN(2)/2)*CM175+(1-EXP(-LN(2)/2))/(LN(2)/2)*CG176*CJ176*VLOOKUP('Données projet'!$B$12,Paramètres!$A$1:$I$89,3,0)*0.475*44/12</f>
        <v>4.772985173146069E-21</v>
      </c>
      <c r="CN176" s="24">
        <f t="shared" si="172"/>
        <v>0.18516711433304064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335.83558218229564</v>
      </c>
      <c r="CZ176" s="62">
        <f t="shared" si="150"/>
        <v>217.08423061559648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0.1582880170911477</v>
      </c>
      <c r="DH176" s="23">
        <f>EXP(-LN(2)/2)*DH175+(1-EXP(-LN(2)/2))/(LN(2)/2)*DB176*DE176*VLOOKUP('Données projet'!$B$13,Paramètres!$A$1:$I$89,3,0)*0.475*44/12</f>
        <v>3.3102961684722684E-21</v>
      </c>
      <c r="DI176" s="24">
        <f t="shared" si="175"/>
        <v>0.1582880170911477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4.9658410716801891E-14</v>
      </c>
      <c r="P177" s="14">
        <f t="shared" si="141"/>
        <v>8.0934058173791862E-13</v>
      </c>
      <c r="Q177" s="22">
        <f t="shared" si="162"/>
        <v>1.4960899118586383E-12</v>
      </c>
      <c r="R177" s="62">
        <f t="shared" si="109"/>
        <v>293.33333333333479</v>
      </c>
      <c r="S177" s="62">
        <f ca="1">AVERAGE(OFFSET($R$3,0,0,'Données projet'!$E$9+1,1))-AVERAGE(OFFSET($H$3,0,0,'Données projet'!$E$9+1,1))</f>
        <v>321.62968871874483</v>
      </c>
      <c r="T177" s="62">
        <f t="shared" si="142"/>
        <v>389.91636841473559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0.47205666527459555</v>
      </c>
      <c r="AB177" s="23">
        <f>EXP(-LN(2)/2)*AB176+(1-EXP(-LN(2)/2))/(LN(2)/2)*V177*Y177*VLOOKUP('Données projet'!$B$9,Paramètres!$A$1:$I$89,3,0)*0.475*44/12</f>
        <v>3.868083544323759E-21</v>
      </c>
      <c r="AC177" s="24">
        <f t="shared" si="163"/>
        <v>0.47205666527459555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405.09126081846171</v>
      </c>
      <c r="AO177" s="62">
        <f t="shared" si="144"/>
        <v>534.22295841722166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1.5221696590929541</v>
      </c>
      <c r="AV177" s="23">
        <f>EXP(-LN(2)/25)*AV176+(1-EXP(-LN(2)/25))/(LN(2)/25)*Calculateur!AQ177*Calculateur!AS177*VLOOKUP('Données projet'!$B$10,Paramètres!$A$1:$I$89,3,0)*0.475*44/12</f>
        <v>0.44081467858675188</v>
      </c>
      <c r="AW177" s="23">
        <f>EXP(-LN(2)/2)*AW176+(1-EXP(-LN(2)/2))/(LN(2)/2)*AQ177*AT177*VLOOKUP('Données projet'!$B$10,Paramètres!$A$1:$I$89,3,0)*0.475*44/12</f>
        <v>2.5070362201437166E-21</v>
      </c>
      <c r="AX177" s="23">
        <f t="shared" si="166"/>
        <v>1.962984337679706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439.06700232017681</v>
      </c>
      <c r="BJ177" s="62">
        <f t="shared" si="146"/>
        <v>278.21741231699929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0.16848411566995358</v>
      </c>
      <c r="BR177" s="23">
        <f>EXP(-LN(2)/2)*BR176+(1-EXP(-LN(2)/2))/(LN(2)/2)*BL177*BO177*VLOOKUP('Données projet'!$B$11,Paramètres!$A$1:$I$89,3,0)*0.475*44/12</f>
        <v>3.1572675900192777E-21</v>
      </c>
      <c r="BS177" s="24">
        <f t="shared" si="169"/>
        <v>0.16848411566995358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466.4945858005575</v>
      </c>
      <c r="CE177" s="62">
        <f t="shared" si="148"/>
        <v>294.45557293177131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0.1801037098540883</v>
      </c>
      <c r="CM177" s="23">
        <f>EXP(-LN(2)/2)*CM176+(1-EXP(-LN(2)/2))/(LN(2)/2)*CG177*CJ177*VLOOKUP('Données projet'!$B$12,Paramètres!$A$1:$I$89,3,0)*0.475*44/12</f>
        <v>3.3750101824344333E-21</v>
      </c>
      <c r="CN177" s="24">
        <f t="shared" si="172"/>
        <v>0.1801037098540883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335.83558218229564</v>
      </c>
      <c r="CZ177" s="62">
        <f t="shared" si="150"/>
        <v>217.08423061559648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0.15395962293978521</v>
      </c>
      <c r="DH177" s="23">
        <f>EXP(-LN(2)/2)*DH176+(1-EXP(-LN(2)/2))/(LN(2)/2)*DB177*DE177*VLOOKUP('Données projet'!$B$13,Paramètres!$A$1:$I$89,3,0)*0.475*44/12</f>
        <v>2.3407328684625869E-21</v>
      </c>
      <c r="DI177" s="24">
        <f t="shared" si="175"/>
        <v>0.15395962293978521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4.9658410716801891E-14</v>
      </c>
      <c r="P178" s="14">
        <f t="shared" si="141"/>
        <v>8.0934058173791862E-13</v>
      </c>
      <c r="Q178" s="22">
        <f t="shared" si="162"/>
        <v>1.4960899118586383E-12</v>
      </c>
      <c r="R178" s="62">
        <f t="shared" si="109"/>
        <v>293.33333333333479</v>
      </c>
      <c r="S178" s="62">
        <f ca="1">AVERAGE(OFFSET($R$3,0,0,'Données projet'!$E$9+1,1))-AVERAGE(OFFSET($H$3,0,0,'Données projet'!$E$9+1,1))</f>
        <v>321.62968871874483</v>
      </c>
      <c r="T178" s="62">
        <f t="shared" si="142"/>
        <v>389.91636841473559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0.4591482509382806</v>
      </c>
      <c r="AB178" s="23">
        <f>EXP(-LN(2)/2)*AB177+(1-EXP(-LN(2)/2))/(LN(2)/2)*V178*Y178*VLOOKUP('Données projet'!$B$9,Paramètres!$A$1:$I$89,3,0)*0.475*44/12</f>
        <v>2.7351481043874255E-21</v>
      </c>
      <c r="AC178" s="24">
        <f t="shared" si="163"/>
        <v>0.4591482509382806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405.09126081846171</v>
      </c>
      <c r="AO178" s="62">
        <f t="shared" si="144"/>
        <v>534.22295841722166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1.4923208405099584</v>
      </c>
      <c r="AV178" s="23">
        <f>EXP(-LN(2)/25)*AV177+(1-EXP(-LN(2)/25))/(LN(2)/25)*Calculateur!AQ178*Calculateur!AS178*VLOOKUP('Données projet'!$B$10,Paramètres!$A$1:$I$89,3,0)*0.475*44/12</f>
        <v>0.42876057801936068</v>
      </c>
      <c r="AW178" s="23">
        <f>EXP(-LN(2)/2)*AW177+(1-EXP(-LN(2)/2))/(LN(2)/2)*AQ178*AT178*VLOOKUP('Données projet'!$B$10,Paramètres!$A$1:$I$89,3,0)*0.475*44/12</f>
        <v>1.7727423119439122E-21</v>
      </c>
      <c r="AX178" s="23">
        <f t="shared" si="166"/>
        <v>1.921081418529319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439.06700232017681</v>
      </c>
      <c r="BJ178" s="62">
        <f t="shared" si="146"/>
        <v>278.21741231699929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0.16387690866676413</v>
      </c>
      <c r="BR178" s="23">
        <f>EXP(-LN(2)/2)*BR177+(1-EXP(-LN(2)/2))/(LN(2)/2)*BL178*BO178*VLOOKUP('Données projet'!$B$11,Paramètres!$A$1:$I$89,3,0)*0.475*44/12</f>
        <v>2.2325253229231396E-21</v>
      </c>
      <c r="BS178" s="24">
        <f t="shared" si="169"/>
        <v>0.16387690866676413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466.4945858005575</v>
      </c>
      <c r="CE178" s="62">
        <f t="shared" si="148"/>
        <v>294.45557293177131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0.17517876443688579</v>
      </c>
      <c r="CM178" s="23">
        <f>EXP(-LN(2)/2)*CM177+(1-EXP(-LN(2)/2))/(LN(2)/2)*CG178*CJ178*VLOOKUP('Données projet'!$B$12,Paramètres!$A$1:$I$89,3,0)*0.475*44/12</f>
        <v>2.3864925865730349E-21</v>
      </c>
      <c r="CN178" s="24">
        <f t="shared" si="172"/>
        <v>0.17517876443688579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335.83558218229564</v>
      </c>
      <c r="CZ178" s="62">
        <f t="shared" si="150"/>
        <v>217.08423061559648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0.14974958895411208</v>
      </c>
      <c r="DH178" s="23">
        <f>EXP(-LN(2)/2)*DH177+(1-EXP(-LN(2)/2))/(LN(2)/2)*DB178*DE178*VLOOKUP('Données projet'!$B$13,Paramètres!$A$1:$I$89,3,0)*0.475*44/12</f>
        <v>1.6551480842361342E-21</v>
      </c>
      <c r="DI178" s="24">
        <f t="shared" si="175"/>
        <v>0.14974958895411208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4.9658410716801891E-14</v>
      </c>
      <c r="P179" s="14">
        <f t="shared" si="141"/>
        <v>8.0934058173791862E-13</v>
      </c>
      <c r="Q179" s="22">
        <f t="shared" si="162"/>
        <v>1.4960899118586383E-12</v>
      </c>
      <c r="R179" s="62">
        <f t="shared" si="109"/>
        <v>293.33333333333479</v>
      </c>
      <c r="S179" s="62">
        <f ca="1">AVERAGE(OFFSET($R$3,0,0,'Données projet'!$E$9+1,1))-AVERAGE(OFFSET($H$3,0,0,'Données projet'!$E$9+1,1))</f>
        <v>321.62968871874483</v>
      </c>
      <c r="T179" s="62">
        <f t="shared" si="142"/>
        <v>389.91636841473559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0.44659281787081617</v>
      </c>
      <c r="AB179" s="23">
        <f>EXP(-LN(2)/2)*AB178+(1-EXP(-LN(2)/2))/(LN(2)/2)*V179*Y179*VLOOKUP('Données projet'!$B$9,Paramètres!$A$1:$I$89,3,0)*0.475*44/12</f>
        <v>1.9340417721618795E-21</v>
      </c>
      <c r="AC179" s="24">
        <f t="shared" si="163"/>
        <v>0.44659281787081617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405.09126081846171</v>
      </c>
      <c r="AO179" s="62">
        <f t="shared" si="144"/>
        <v>534.22295841722166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1.4630573390533934</v>
      </c>
      <c r="AV179" s="23">
        <f>EXP(-LN(2)/25)*AV178+(1-EXP(-LN(2)/25))/(LN(2)/25)*Calculateur!AQ179*Calculateur!AS179*VLOOKUP('Données projet'!$B$10,Paramètres!$A$1:$I$89,3,0)*0.475*44/12</f>
        <v>0.41703609746588244</v>
      </c>
      <c r="AW179" s="23">
        <f>EXP(-LN(2)/2)*AW178+(1-EXP(-LN(2)/2))/(LN(2)/2)*AQ179*AT179*VLOOKUP('Données projet'!$B$10,Paramètres!$A$1:$I$89,3,0)*0.475*44/12</f>
        <v>1.2535181100718583E-21</v>
      </c>
      <c r="AX179" s="23">
        <f t="shared" si="166"/>
        <v>1.8800934365192759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439.06700232017681</v>
      </c>
      <c r="BJ179" s="62">
        <f t="shared" si="146"/>
        <v>278.21741231699929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0.15939568598135939</v>
      </c>
      <c r="BR179" s="23">
        <f>EXP(-LN(2)/2)*BR178+(1-EXP(-LN(2)/2))/(LN(2)/2)*BL179*BO179*VLOOKUP('Données projet'!$B$11,Paramètres!$A$1:$I$89,3,0)*0.475*44/12</f>
        <v>1.5786337950096389E-21</v>
      </c>
      <c r="BS179" s="24">
        <f t="shared" si="169"/>
        <v>0.15939568598135939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466.4945858005575</v>
      </c>
      <c r="CE179" s="62">
        <f t="shared" si="148"/>
        <v>294.45557293177131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0.1703884919111083</v>
      </c>
      <c r="CM179" s="23">
        <f>EXP(-LN(2)/2)*CM178+(1-EXP(-LN(2)/2))/(LN(2)/2)*CG179*CJ179*VLOOKUP('Données projet'!$B$12,Paramètres!$A$1:$I$89,3,0)*0.475*44/12</f>
        <v>1.687505091217217E-21</v>
      </c>
      <c r="CN179" s="24">
        <f t="shared" si="172"/>
        <v>0.1703884919111083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335.83558218229564</v>
      </c>
      <c r="CZ179" s="62">
        <f t="shared" si="150"/>
        <v>217.08423061559648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0.14565467856917327</v>
      </c>
      <c r="DH179" s="23">
        <f>EXP(-LN(2)/2)*DH178+(1-EXP(-LN(2)/2))/(LN(2)/2)*DB179*DE179*VLOOKUP('Données projet'!$B$13,Paramètres!$A$1:$I$89,3,0)*0.475*44/12</f>
        <v>1.1703664342312934E-21</v>
      </c>
      <c r="DI179" s="24">
        <f t="shared" si="175"/>
        <v>0.14565467856917327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4.9658410716801891E-14</v>
      </c>
      <c r="P180" s="14">
        <f t="shared" si="141"/>
        <v>8.0934058173791862E-13</v>
      </c>
      <c r="Q180" s="22">
        <f t="shared" si="162"/>
        <v>1.4960899118586383E-12</v>
      </c>
      <c r="R180" s="62">
        <f t="shared" si="109"/>
        <v>293.33333333333479</v>
      </c>
      <c r="S180" s="62">
        <f ca="1">AVERAGE(OFFSET($R$3,0,0,'Données projet'!$E$9+1,1))-AVERAGE(OFFSET($H$3,0,0,'Données projet'!$E$9+1,1))</f>
        <v>321.62968871874483</v>
      </c>
      <c r="T180" s="62">
        <f t="shared" si="142"/>
        <v>389.91636841473559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0.43438071378084309</v>
      </c>
      <c r="AB180" s="23">
        <f>EXP(-LN(2)/2)*AB179+(1-EXP(-LN(2)/2))/(LN(2)/2)*V180*Y180*VLOOKUP('Données projet'!$B$9,Paramètres!$A$1:$I$89,3,0)*0.475*44/12</f>
        <v>1.3675740521937128E-21</v>
      </c>
      <c r="AC180" s="24">
        <f t="shared" si="163"/>
        <v>0.43438071378084309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405.09126081846171</v>
      </c>
      <c r="AO180" s="62">
        <f t="shared" si="144"/>
        <v>534.22295841722166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1.4343676770114182</v>
      </c>
      <c r="AV180" s="23">
        <f>EXP(-LN(2)/25)*AV179+(1-EXP(-LN(2)/25))/(LN(2)/25)*Calculateur!AQ180*Calculateur!AS180*VLOOKUP('Données projet'!$B$10,Paramètres!$A$1:$I$89,3,0)*0.475*44/12</f>
        <v>0.40563222344970268</v>
      </c>
      <c r="AW180" s="23">
        <f>EXP(-LN(2)/2)*AW179+(1-EXP(-LN(2)/2))/(LN(2)/2)*AQ180*AT180*VLOOKUP('Données projet'!$B$10,Paramètres!$A$1:$I$89,3,0)*0.475*44/12</f>
        <v>8.8637115597195608E-22</v>
      </c>
      <c r="AX180" s="23">
        <f t="shared" si="166"/>
        <v>1.8399999004611209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439.06700232017681</v>
      </c>
      <c r="BJ180" s="62">
        <f t="shared" si="146"/>
        <v>278.21741231699929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0.1550370025659443</v>
      </c>
      <c r="BR180" s="23">
        <f>EXP(-LN(2)/2)*BR179+(1-EXP(-LN(2)/2))/(LN(2)/2)*BL180*BO180*VLOOKUP('Données projet'!$B$11,Paramètres!$A$1:$I$89,3,0)*0.475*44/12</f>
        <v>1.1162626614615698E-21</v>
      </c>
      <c r="BS180" s="24">
        <f t="shared" si="169"/>
        <v>0.1550370025659443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466.4945858005575</v>
      </c>
      <c r="CE180" s="62">
        <f t="shared" si="148"/>
        <v>294.45557293177131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0.1657292096394577</v>
      </c>
      <c r="CM180" s="23">
        <f>EXP(-LN(2)/2)*CM179+(1-EXP(-LN(2)/2))/(LN(2)/2)*CG180*CJ180*VLOOKUP('Données projet'!$B$12,Paramètres!$A$1:$I$89,3,0)*0.475*44/12</f>
        <v>1.1932462932865176E-21</v>
      </c>
      <c r="CN180" s="24">
        <f t="shared" si="172"/>
        <v>0.1657292096394577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335.83558218229564</v>
      </c>
      <c r="CZ180" s="62">
        <f t="shared" si="150"/>
        <v>217.08423061559648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0.14167174372405258</v>
      </c>
      <c r="DH180" s="23">
        <f>EXP(-LN(2)/2)*DH179+(1-EXP(-LN(2)/2))/(LN(2)/2)*DB180*DE180*VLOOKUP('Données projet'!$B$13,Paramètres!$A$1:$I$89,3,0)*0.475*44/12</f>
        <v>8.2757404211806709E-22</v>
      </c>
      <c r="DI180" s="24">
        <f t="shared" si="175"/>
        <v>0.14167174372405258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4.9658410716801891E-14</v>
      </c>
      <c r="P181" s="14">
        <f t="shared" si="141"/>
        <v>8.0934058173791862E-13</v>
      </c>
      <c r="Q181" s="22">
        <f t="shared" si="162"/>
        <v>1.4960899118586383E-12</v>
      </c>
      <c r="R181" s="62">
        <f t="shared" si="109"/>
        <v>293.33333333333479</v>
      </c>
      <c r="S181" s="62">
        <f ca="1">AVERAGE(OFFSET($R$3,0,0,'Données projet'!$E$9+1,1))-AVERAGE(OFFSET($H$3,0,0,'Données projet'!$E$9+1,1))</f>
        <v>321.62968871874483</v>
      </c>
      <c r="T181" s="62">
        <f t="shared" si="142"/>
        <v>389.91636841473559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0.42250255031941697</v>
      </c>
      <c r="AB181" s="23">
        <f>EXP(-LN(2)/2)*AB180+(1-EXP(-LN(2)/2))/(LN(2)/2)*V181*Y181*VLOOKUP('Données projet'!$B$9,Paramètres!$A$1:$I$89,3,0)*0.475*44/12</f>
        <v>9.6702088608093975E-22</v>
      </c>
      <c r="AC181" s="24">
        <f t="shared" si="163"/>
        <v>0.42250255031941697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405.09126081846171</v>
      </c>
      <c r="AO181" s="62">
        <f t="shared" si="144"/>
        <v>534.22295841722166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1.4062406017431202</v>
      </c>
      <c r="AV181" s="23">
        <f>EXP(-LN(2)/25)*AV180+(1-EXP(-LN(2)/25))/(LN(2)/25)*Calculateur!AQ181*Calculateur!AS181*VLOOKUP('Données projet'!$B$10,Paramètres!$A$1:$I$89,3,0)*0.475*44/12</f>
        <v>0.39454018896819903</v>
      </c>
      <c r="AW181" s="23">
        <f>EXP(-LN(2)/2)*AW180+(1-EXP(-LN(2)/2))/(LN(2)/2)*AQ181*AT181*VLOOKUP('Données projet'!$B$10,Paramètres!$A$1:$I$89,3,0)*0.475*44/12</f>
        <v>6.2675905503592914E-22</v>
      </c>
      <c r="AX181" s="23">
        <f t="shared" si="166"/>
        <v>1.8007807907113191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439.06700232017681</v>
      </c>
      <c r="BJ181" s="62">
        <f t="shared" si="146"/>
        <v>278.21741231699929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0.15079750757773694</v>
      </c>
      <c r="BR181" s="23">
        <f>EXP(-LN(2)/2)*BR180+(1-EXP(-LN(2)/2))/(LN(2)/2)*BL181*BO181*VLOOKUP('Données projet'!$B$11,Paramètres!$A$1:$I$89,3,0)*0.475*44/12</f>
        <v>7.8931689750481943E-22</v>
      </c>
      <c r="BS181" s="24">
        <f t="shared" si="169"/>
        <v>0.15079750757773694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466.4945858005575</v>
      </c>
      <c r="CE181" s="62">
        <f t="shared" si="148"/>
        <v>294.45557293177131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0.16119733568654637</v>
      </c>
      <c r="CM181" s="23">
        <f>EXP(-LN(2)/2)*CM180+(1-EXP(-LN(2)/2))/(LN(2)/2)*CG181*CJ181*VLOOKUP('Données projet'!$B$12,Paramètres!$A$1:$I$89,3,0)*0.475*44/12</f>
        <v>8.437525456086086E-22</v>
      </c>
      <c r="CN181" s="24">
        <f t="shared" si="172"/>
        <v>0.16119733568654637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335.83558218229564</v>
      </c>
      <c r="CZ181" s="62">
        <f t="shared" si="150"/>
        <v>217.08423061559648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0.13779772244172517</v>
      </c>
      <c r="DH181" s="23">
        <f>EXP(-LN(2)/2)*DH180+(1-EXP(-LN(2)/2))/(LN(2)/2)*DB181*DE181*VLOOKUP('Données projet'!$B$13,Paramètres!$A$1:$I$89,3,0)*0.475*44/12</f>
        <v>5.8518321711564672E-22</v>
      </c>
      <c r="DI181" s="24">
        <f t="shared" si="175"/>
        <v>0.13779772244172517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4.9658410716801891E-14</v>
      </c>
      <c r="P182" s="14">
        <f t="shared" si="141"/>
        <v>8.0934058173791862E-13</v>
      </c>
      <c r="Q182" s="22">
        <f t="shared" si="162"/>
        <v>1.4960899118586383E-12</v>
      </c>
      <c r="R182" s="62">
        <f t="shared" si="109"/>
        <v>293.33333333333479</v>
      </c>
      <c r="S182" s="62">
        <f ca="1">AVERAGE(OFFSET($R$3,0,0,'Données projet'!$E$9+1,1))-AVERAGE(OFFSET($H$3,0,0,'Données projet'!$E$9+1,1))</f>
        <v>321.62968871874483</v>
      </c>
      <c r="T182" s="62">
        <f t="shared" si="142"/>
        <v>389.91636841473559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0.41094919586248901</v>
      </c>
      <c r="AB182" s="23">
        <f>EXP(-LN(2)/2)*AB181+(1-EXP(-LN(2)/2))/(LN(2)/2)*V182*Y182*VLOOKUP('Données projet'!$B$9,Paramètres!$A$1:$I$89,3,0)*0.475*44/12</f>
        <v>6.8378702609685638E-22</v>
      </c>
      <c r="AC182" s="24">
        <f t="shared" si="163"/>
        <v>0.41094919586248901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405.09126081846171</v>
      </c>
      <c r="AO182" s="62">
        <f t="shared" si="144"/>
        <v>534.22295841722166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1.3786650812650116</v>
      </c>
      <c r="AV182" s="23">
        <f>EXP(-LN(2)/25)*AV181+(1-EXP(-LN(2)/25))/(LN(2)/25)*Calculateur!AQ182*Calculateur!AS182*VLOOKUP('Données projet'!$B$10,Paramètres!$A$1:$I$89,3,0)*0.475*44/12</f>
        <v>0.38375146675289684</v>
      </c>
      <c r="AW182" s="23">
        <f>EXP(-LN(2)/2)*AW181+(1-EXP(-LN(2)/2))/(LN(2)/2)*AQ182*AT182*VLOOKUP('Données projet'!$B$10,Paramètres!$A$1:$I$89,3,0)*0.475*44/12</f>
        <v>4.4318557798597804E-22</v>
      </c>
      <c r="AX182" s="23">
        <f t="shared" si="166"/>
        <v>1.7624165480179084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439.06700232017681</v>
      </c>
      <c r="BJ182" s="62">
        <f t="shared" si="146"/>
        <v>278.21741231699929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0.14667394180292745</v>
      </c>
      <c r="BR182" s="23">
        <f>EXP(-LN(2)/2)*BR181+(1-EXP(-LN(2)/2))/(LN(2)/2)*BL182*BO182*VLOOKUP('Données projet'!$B$11,Paramètres!$A$1:$I$89,3,0)*0.475*44/12</f>
        <v>5.5813133073078491E-22</v>
      </c>
      <c r="BS182" s="24">
        <f t="shared" si="169"/>
        <v>0.14667394180292745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466.4945858005575</v>
      </c>
      <c r="CE182" s="62">
        <f t="shared" si="148"/>
        <v>294.45557293177131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0.15678938606519829</v>
      </c>
      <c r="CM182" s="23">
        <f>EXP(-LN(2)/2)*CM181+(1-EXP(-LN(2)/2))/(LN(2)/2)*CG182*CJ182*VLOOKUP('Données projet'!$B$12,Paramètres!$A$1:$I$89,3,0)*0.475*44/12</f>
        <v>5.9662314664325891E-22</v>
      </c>
      <c r="CN182" s="24">
        <f t="shared" si="172"/>
        <v>0.15678938606519829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335.83558218229564</v>
      </c>
      <c r="CZ182" s="62">
        <f t="shared" si="150"/>
        <v>217.08423061559648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0.13402963647508892</v>
      </c>
      <c r="DH182" s="23">
        <f>EXP(-LN(2)/2)*DH181+(1-EXP(-LN(2)/2))/(LN(2)/2)*DB182*DE182*VLOOKUP('Données projet'!$B$13,Paramètres!$A$1:$I$89,3,0)*0.475*44/12</f>
        <v>4.1378702105903355E-22</v>
      </c>
      <c r="DI182" s="24">
        <f t="shared" si="175"/>
        <v>0.13402963647508892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4.9658410716801891E-14</v>
      </c>
      <c r="P183" s="14">
        <f t="shared" si="141"/>
        <v>8.0934058173791862E-13</v>
      </c>
      <c r="Q183" s="22">
        <f t="shared" si="162"/>
        <v>1.4960899118586383E-12</v>
      </c>
      <c r="R183" s="62">
        <f t="shared" si="109"/>
        <v>293.33333333333479</v>
      </c>
      <c r="S183" s="62">
        <f ca="1">AVERAGE(OFFSET($R$3,0,0,'Données projet'!$E$9+1,1))-AVERAGE(OFFSET($H$3,0,0,'Données projet'!$E$9+1,1))</f>
        <v>321.62968871874483</v>
      </c>
      <c r="T183" s="62">
        <f t="shared" si="142"/>
        <v>389.91636841473559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0.3997117684907503</v>
      </c>
      <c r="AB183" s="23">
        <f>EXP(-LN(2)/2)*AB182+(1-EXP(-LN(2)/2))/(LN(2)/2)*V183*Y183*VLOOKUP('Données projet'!$B$9,Paramètres!$A$1:$I$89,3,0)*0.475*44/12</f>
        <v>4.8351044304046988E-22</v>
      </c>
      <c r="AC183" s="24">
        <f t="shared" si="163"/>
        <v>0.3997117684907503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405.09126081846171</v>
      </c>
      <c r="AO183" s="62">
        <f t="shared" si="144"/>
        <v>534.22295841722166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1.3516302999240721</v>
      </c>
      <c r="AV183" s="23">
        <f>EXP(-LN(2)/25)*AV182+(1-EXP(-LN(2)/25))/(LN(2)/25)*Calculateur!AQ183*Calculateur!AS183*VLOOKUP('Données projet'!$B$10,Paramètres!$A$1:$I$89,3,0)*0.475*44/12</f>
        <v>0.3732577627139263</v>
      </c>
      <c r="AW183" s="23">
        <f>EXP(-LN(2)/2)*AW182+(1-EXP(-LN(2)/2))/(LN(2)/2)*AQ183*AT183*VLOOKUP('Données projet'!$B$10,Paramètres!$A$1:$I$89,3,0)*0.475*44/12</f>
        <v>3.1337952751796457E-22</v>
      </c>
      <c r="AX183" s="23">
        <f t="shared" si="166"/>
        <v>1.7248880626379983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439.06700232017681</v>
      </c>
      <c r="BJ183" s="62">
        <f t="shared" si="146"/>
        <v>278.21741231699929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0.14266313515107903</v>
      </c>
      <c r="BR183" s="23">
        <f>EXP(-LN(2)/2)*BR182+(1-EXP(-LN(2)/2))/(LN(2)/2)*BL183*BO183*VLOOKUP('Données projet'!$B$11,Paramètres!$A$1:$I$89,3,0)*0.475*44/12</f>
        <v>3.9465844875240972E-22</v>
      </c>
      <c r="BS183" s="24">
        <f t="shared" si="169"/>
        <v>0.14266313515107903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466.4945858005575</v>
      </c>
      <c r="CE183" s="62">
        <f t="shared" si="148"/>
        <v>294.45557293177131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0.15250197205804997</v>
      </c>
      <c r="CM183" s="23">
        <f>EXP(-LN(2)/2)*CM182+(1-EXP(-LN(2)/2))/(LN(2)/2)*CG183*CJ183*VLOOKUP('Données projet'!$B$12,Paramètres!$A$1:$I$89,3,0)*0.475*44/12</f>
        <v>4.2187627280430435E-22</v>
      </c>
      <c r="CN183" s="24">
        <f t="shared" si="172"/>
        <v>0.15250197205804997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335.83558218229564</v>
      </c>
      <c r="CZ183" s="62">
        <f t="shared" si="150"/>
        <v>217.08423061559648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0.13036458901736536</v>
      </c>
      <c r="DH183" s="23">
        <f>EXP(-LN(2)/2)*DH182+(1-EXP(-LN(2)/2))/(LN(2)/2)*DB183*DE183*VLOOKUP('Données projet'!$B$13,Paramètres!$A$1:$I$89,3,0)*0.475*44/12</f>
        <v>2.9259160855782336E-22</v>
      </c>
      <c r="DI183" s="24">
        <f t="shared" si="175"/>
        <v>0.13036458901736536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4.9658410716801891E-14</v>
      </c>
      <c r="P184" s="14">
        <f t="shared" si="141"/>
        <v>8.0934058173791862E-13</v>
      </c>
      <c r="Q184" s="22">
        <f t="shared" si="162"/>
        <v>1.4960899118586383E-12</v>
      </c>
      <c r="R184" s="62">
        <f t="shared" si="109"/>
        <v>293.33333333333479</v>
      </c>
      <c r="S184" s="62">
        <f ca="1">AVERAGE(OFFSET($R$3,0,0,'Données projet'!$E$9+1,1))-AVERAGE(OFFSET($H$3,0,0,'Données projet'!$E$9+1,1))</f>
        <v>321.62968871874483</v>
      </c>
      <c r="T184" s="62">
        <f t="shared" si="142"/>
        <v>389.91636841473559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0.38878162916144238</v>
      </c>
      <c r="AB184" s="23">
        <f>EXP(-LN(2)/2)*AB183+(1-EXP(-LN(2)/2))/(LN(2)/2)*V184*Y184*VLOOKUP('Données projet'!$B$9,Paramètres!$A$1:$I$89,3,0)*0.475*44/12</f>
        <v>3.4189351304842819E-22</v>
      </c>
      <c r="AC184" s="24">
        <f t="shared" si="163"/>
        <v>0.38878162916144238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405.09126081846171</v>
      </c>
      <c r="AO184" s="62">
        <f t="shared" si="144"/>
        <v>534.22295841722166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1.32512565415564</v>
      </c>
      <c r="AV184" s="23">
        <f>EXP(-LN(2)/25)*AV183+(1-EXP(-LN(2)/25))/(LN(2)/25)*Calculateur!AQ184*Calculateur!AS184*VLOOKUP('Données projet'!$B$10,Paramètres!$A$1:$I$89,3,0)*0.475*44/12</f>
        <v>0.36305100956374131</v>
      </c>
      <c r="AW184" s="23">
        <f>EXP(-LN(2)/2)*AW183+(1-EXP(-LN(2)/2))/(LN(2)/2)*AQ184*AT184*VLOOKUP('Données projet'!$B$10,Paramètres!$A$1:$I$89,3,0)*0.475*44/12</f>
        <v>2.2159278899298902E-22</v>
      </c>
      <c r="AX184" s="23">
        <f t="shared" si="166"/>
        <v>1.6881766637193814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439.06700232017681</v>
      </c>
      <c r="BJ184" s="62">
        <f t="shared" si="146"/>
        <v>278.21741231699929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0.13876200421804455</v>
      </c>
      <c r="BR184" s="23">
        <f>EXP(-LN(2)/2)*BR183+(1-EXP(-LN(2)/2))/(LN(2)/2)*BL184*BO184*VLOOKUP('Données projet'!$B$11,Paramètres!$A$1:$I$89,3,0)*0.475*44/12</f>
        <v>2.7906566536539245E-22</v>
      </c>
      <c r="BS184" s="24">
        <f t="shared" si="169"/>
        <v>0.13876200421804455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466.4945858005575</v>
      </c>
      <c r="CE184" s="62">
        <f t="shared" si="148"/>
        <v>294.45557293177131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0.14833179761239243</v>
      </c>
      <c r="CM184" s="23">
        <f>EXP(-LN(2)/2)*CM183+(1-EXP(-LN(2)/2))/(LN(2)/2)*CG184*CJ184*VLOOKUP('Données projet'!$B$12,Paramètres!$A$1:$I$89,3,0)*0.475*44/12</f>
        <v>2.983115733216295E-22</v>
      </c>
      <c r="CN184" s="24">
        <f t="shared" si="172"/>
        <v>0.14833179761239243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335.83558218229564</v>
      </c>
      <c r="CZ184" s="62">
        <f t="shared" si="150"/>
        <v>217.08423061559648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0.12679976247510971</v>
      </c>
      <c r="DH184" s="23">
        <f>EXP(-LN(2)/2)*DH183+(1-EXP(-LN(2)/2))/(LN(2)/2)*DB184*DE184*VLOOKUP('Données projet'!$B$13,Paramètres!$A$1:$I$89,3,0)*0.475*44/12</f>
        <v>2.0689351052951677E-22</v>
      </c>
      <c r="DI184" s="24">
        <f t="shared" si="175"/>
        <v>0.12679976247510971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4.9658410716801891E-14</v>
      </c>
      <c r="P185" s="14">
        <f t="shared" si="141"/>
        <v>8.0934058173791862E-13</v>
      </c>
      <c r="Q185" s="22">
        <f t="shared" si="162"/>
        <v>1.4960899118586383E-12</v>
      </c>
      <c r="R185" s="62">
        <f t="shared" si="109"/>
        <v>293.33333333333479</v>
      </c>
      <c r="S185" s="62">
        <f ca="1">AVERAGE(OFFSET($R$3,0,0,'Données projet'!$E$9+1,1))-AVERAGE(OFFSET($H$3,0,0,'Données projet'!$E$9+1,1))</f>
        <v>321.62968871874483</v>
      </c>
      <c r="T185" s="62">
        <f t="shared" si="142"/>
        <v>389.91636841473559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0.37815037506688542</v>
      </c>
      <c r="AB185" s="23">
        <f>EXP(-LN(2)/2)*AB184+(1-EXP(-LN(2)/2))/(LN(2)/2)*V185*Y185*VLOOKUP('Données projet'!$B$9,Paramètres!$A$1:$I$89,3,0)*0.475*44/12</f>
        <v>2.4175522152023494E-22</v>
      </c>
      <c r="AC185" s="24">
        <f t="shared" si="163"/>
        <v>0.37815037506688542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405.09126081846171</v>
      </c>
      <c r="AO185" s="62">
        <f t="shared" si="144"/>
        <v>534.22295841722166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1.2991407483244892</v>
      </c>
      <c r="AV185" s="23">
        <f>EXP(-LN(2)/25)*AV184+(1-EXP(-LN(2)/25))/(LN(2)/25)*Calculateur!AQ185*Calculateur!AS185*VLOOKUP('Données projet'!$B$10,Paramètres!$A$1:$I$89,3,0)*0.475*44/12</f>
        <v>0.353123360615198</v>
      </c>
      <c r="AW185" s="23">
        <f>EXP(-LN(2)/2)*AW184+(1-EXP(-LN(2)/2))/(LN(2)/2)*AQ185*AT185*VLOOKUP('Données projet'!$B$10,Paramètres!$A$1:$I$89,3,0)*0.475*44/12</f>
        <v>1.5668976375898229E-22</v>
      </c>
      <c r="AX185" s="23">
        <f t="shared" si="166"/>
        <v>1.6522641089396872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439.06700232017681</v>
      </c>
      <c r="BJ185" s="62">
        <f t="shared" si="146"/>
        <v>278.21741231699929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0.13496754991552545</v>
      </c>
      <c r="BR185" s="23">
        <f>EXP(-LN(2)/2)*BR184+(1-EXP(-LN(2)/2))/(LN(2)/2)*BL185*BO185*VLOOKUP('Données projet'!$B$11,Paramètres!$A$1:$I$89,3,0)*0.475*44/12</f>
        <v>1.9732922437620486E-22</v>
      </c>
      <c r="BS185" s="24">
        <f t="shared" si="169"/>
        <v>0.13496754991552545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466.4945858005575</v>
      </c>
      <c r="CE185" s="62">
        <f t="shared" si="148"/>
        <v>294.45557293177131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0.14427565680625135</v>
      </c>
      <c r="CM185" s="23">
        <f>EXP(-LN(2)/2)*CM184+(1-EXP(-LN(2)/2))/(LN(2)/2)*CG185*CJ185*VLOOKUP('Données projet'!$B$12,Paramètres!$A$1:$I$89,3,0)*0.475*44/12</f>
        <v>2.1093813640215222E-22</v>
      </c>
      <c r="CN185" s="24">
        <f t="shared" si="172"/>
        <v>0.14427565680625135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335.83558218229564</v>
      </c>
      <c r="CZ185" s="62">
        <f t="shared" si="150"/>
        <v>217.08423061559648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0.12333241630211814</v>
      </c>
      <c r="DH185" s="23">
        <f>EXP(-LN(2)/2)*DH184+(1-EXP(-LN(2)/2))/(LN(2)/2)*DB185*DE185*VLOOKUP('Données projet'!$B$13,Paramètres!$A$1:$I$89,3,0)*0.475*44/12</f>
        <v>1.4629580427891168E-22</v>
      </c>
      <c r="DI185" s="24">
        <f t="shared" si="175"/>
        <v>0.12333241630211814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4.9658410716801891E-14</v>
      </c>
      <c r="P186" s="14">
        <f t="shared" si="141"/>
        <v>8.0934058173791862E-13</v>
      </c>
      <c r="Q186" s="22">
        <f t="shared" si="162"/>
        <v>1.4960899118586383E-12</v>
      </c>
      <c r="R186" s="62">
        <f t="shared" si="109"/>
        <v>293.33333333333479</v>
      </c>
      <c r="S186" s="62">
        <f ca="1">AVERAGE(OFFSET($R$3,0,0,'Données projet'!$E$9+1,1))-AVERAGE(OFFSET($H$3,0,0,'Données projet'!$E$9+1,1))</f>
        <v>321.62968871874483</v>
      </c>
      <c r="T186" s="62">
        <f t="shared" si="142"/>
        <v>389.91636841473559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0.36780983317461752</v>
      </c>
      <c r="AB186" s="23">
        <f>EXP(-LN(2)/2)*AB185+(1-EXP(-LN(2)/2))/(LN(2)/2)*V186*Y186*VLOOKUP('Données projet'!$B$9,Paramètres!$A$1:$I$89,3,0)*0.475*44/12</f>
        <v>1.709467565242141E-22</v>
      </c>
      <c r="AC186" s="24">
        <f t="shared" si="163"/>
        <v>0.36780983317461752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405.09126081846171</v>
      </c>
      <c r="AO186" s="62">
        <f t="shared" si="144"/>
        <v>534.22295841722166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1.2736653906474598</v>
      </c>
      <c r="AV186" s="23">
        <f>EXP(-LN(2)/25)*AV185+(1-EXP(-LN(2)/25))/(LN(2)/25)*Calculateur!AQ186*Calculateur!AS186*VLOOKUP('Données projet'!$B$10,Paramètres!$A$1:$I$89,3,0)*0.475*44/12</f>
        <v>0.34346718374922497</v>
      </c>
      <c r="AW186" s="23">
        <f>EXP(-LN(2)/2)*AW185+(1-EXP(-LN(2)/2))/(LN(2)/2)*AQ186*AT186*VLOOKUP('Données projet'!$B$10,Paramètres!$A$1:$I$89,3,0)*0.475*44/12</f>
        <v>1.1079639449649451E-22</v>
      </c>
      <c r="AX186" s="23">
        <f t="shared" si="166"/>
        <v>1.6171325743966847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439.06700232017681</v>
      </c>
      <c r="BJ186" s="62">
        <f t="shared" si="146"/>
        <v>278.21741231699929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0.13127685516545043</v>
      </c>
      <c r="BR186" s="23">
        <f>EXP(-LN(2)/2)*BR185+(1-EXP(-LN(2)/2))/(LN(2)/2)*BL186*BO186*VLOOKUP('Données projet'!$B$11,Paramètres!$A$1:$I$89,3,0)*0.475*44/12</f>
        <v>1.3953283268269623E-22</v>
      </c>
      <c r="BS186" s="24">
        <f t="shared" si="169"/>
        <v>0.13127685516545043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466.4945858005575</v>
      </c>
      <c r="CE186" s="62">
        <f t="shared" si="148"/>
        <v>294.45557293177131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0.14033043138375736</v>
      </c>
      <c r="CM186" s="23">
        <f>EXP(-LN(2)/2)*CM185+(1-EXP(-LN(2)/2))/(LN(2)/2)*CG186*CJ186*VLOOKUP('Données projet'!$B$12,Paramètres!$A$1:$I$89,3,0)*0.475*44/12</f>
        <v>1.4915578666081477E-22</v>
      </c>
      <c r="CN186" s="24">
        <f t="shared" si="172"/>
        <v>0.14033043138375736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335.83558218229564</v>
      </c>
      <c r="CZ186" s="62">
        <f t="shared" si="150"/>
        <v>217.08423061559648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0.11995988489256683</v>
      </c>
      <c r="DH186" s="23">
        <f>EXP(-LN(2)/2)*DH185+(1-EXP(-LN(2)/2))/(LN(2)/2)*DB186*DE186*VLOOKUP('Données projet'!$B$13,Paramètres!$A$1:$I$89,3,0)*0.475*44/12</f>
        <v>1.0344675526475839E-22</v>
      </c>
      <c r="DI186" s="24">
        <f t="shared" si="175"/>
        <v>0.11995988489256683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4.9658410716801891E-14</v>
      </c>
      <c r="P187" s="14">
        <f t="shared" si="141"/>
        <v>8.0934058173791862E-13</v>
      </c>
      <c r="Q187" s="22">
        <f t="shared" si="162"/>
        <v>1.4960899118586383E-12</v>
      </c>
      <c r="R187" s="62">
        <f t="shared" si="109"/>
        <v>293.33333333333479</v>
      </c>
      <c r="S187" s="62">
        <f ca="1">AVERAGE(OFFSET($R$3,0,0,'Données projet'!$E$9+1,1))-AVERAGE(OFFSET($H$3,0,0,'Données projet'!$E$9+1,1))</f>
        <v>321.62968871874483</v>
      </c>
      <c r="T187" s="62">
        <f t="shared" si="142"/>
        <v>389.91636841473559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0.35775205394417914</v>
      </c>
      <c r="AB187" s="23">
        <f>EXP(-LN(2)/2)*AB186+(1-EXP(-LN(2)/2))/(LN(2)/2)*V187*Y187*VLOOKUP('Données projet'!$B$9,Paramètres!$A$1:$I$89,3,0)*0.475*44/12</f>
        <v>1.2087761076011747E-22</v>
      </c>
      <c r="AC187" s="24">
        <f t="shared" si="163"/>
        <v>0.35775205394417914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405.09126081846171</v>
      </c>
      <c r="AO187" s="62">
        <f t="shared" si="144"/>
        <v>534.22295841722166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1.248689589196043</v>
      </c>
      <c r="AV187" s="23">
        <f>EXP(-LN(2)/25)*AV186+(1-EXP(-LN(2)/25))/(LN(2)/25)*Calculateur!AQ187*Calculateur!AS187*VLOOKUP('Données projet'!$B$10,Paramètres!$A$1:$I$89,3,0)*0.475*44/12</f>
        <v>0.33407505554744821</v>
      </c>
      <c r="AW187" s="23">
        <f>EXP(-LN(2)/2)*AW186+(1-EXP(-LN(2)/2))/(LN(2)/2)*AQ187*AT187*VLOOKUP('Données projet'!$B$10,Paramètres!$A$1:$I$89,3,0)*0.475*44/12</f>
        <v>7.8344881879491143E-23</v>
      </c>
      <c r="AX187" s="23">
        <f t="shared" si="166"/>
        <v>1.5827646447434911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439.06700232017681</v>
      </c>
      <c r="BJ187" s="62">
        <f t="shared" si="146"/>
        <v>278.21741231699929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0.12768708265740142</v>
      </c>
      <c r="BR187" s="23">
        <f>EXP(-LN(2)/2)*BR186+(1-EXP(-LN(2)/2))/(LN(2)/2)*BL187*BO187*VLOOKUP('Données projet'!$B$11,Paramètres!$A$1:$I$89,3,0)*0.475*44/12</f>
        <v>9.8664612188102429E-23</v>
      </c>
      <c r="BS187" s="24">
        <f t="shared" si="169"/>
        <v>0.12768708265740142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466.4945858005575</v>
      </c>
      <c r="CE187" s="62">
        <f t="shared" si="148"/>
        <v>294.45557293177131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0.13649308835791185</v>
      </c>
      <c r="CM187" s="23">
        <f>EXP(-LN(2)/2)*CM186+(1-EXP(-LN(2)/2))/(LN(2)/2)*CG187*CJ187*VLOOKUP('Données projet'!$B$12,Paramètres!$A$1:$I$89,3,0)*0.475*44/12</f>
        <v>1.0546906820107612E-22</v>
      </c>
      <c r="CN187" s="24">
        <f t="shared" si="172"/>
        <v>0.13649308835791185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335.83558218229564</v>
      </c>
      <c r="CZ187" s="62">
        <f t="shared" si="150"/>
        <v>217.08423061559648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0.11667957553176342</v>
      </c>
      <c r="DH187" s="23">
        <f>EXP(-LN(2)/2)*DH186+(1-EXP(-LN(2)/2))/(LN(2)/2)*DB187*DE187*VLOOKUP('Données projet'!$B$13,Paramètres!$A$1:$I$89,3,0)*0.475*44/12</f>
        <v>7.3147902139455841E-23</v>
      </c>
      <c r="DI187" s="24">
        <f t="shared" si="175"/>
        <v>0.11667957553176342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4.9658410716801891E-14</v>
      </c>
      <c r="P188" s="14">
        <f t="shared" si="141"/>
        <v>8.0934058173791862E-13</v>
      </c>
      <c r="Q188" s="22">
        <f t="shared" si="162"/>
        <v>1.4960899118586383E-12</v>
      </c>
      <c r="R188" s="62">
        <f t="shared" si="109"/>
        <v>293.33333333333479</v>
      </c>
      <c r="S188" s="62">
        <f ca="1">AVERAGE(OFFSET($R$3,0,0,'Données projet'!$E$9+1,1))-AVERAGE(OFFSET($H$3,0,0,'Données projet'!$E$9+1,1))</f>
        <v>321.62968871874483</v>
      </c>
      <c r="T188" s="62">
        <f t="shared" si="142"/>
        <v>389.91636841473559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0.34796930521571268</v>
      </c>
      <c r="AB188" s="23">
        <f>EXP(-LN(2)/2)*AB187+(1-EXP(-LN(2)/2))/(LN(2)/2)*V188*Y188*VLOOKUP('Données projet'!$B$9,Paramètres!$A$1:$I$89,3,0)*0.475*44/12</f>
        <v>8.5473378262107048E-23</v>
      </c>
      <c r="AC188" s="24">
        <f t="shared" si="163"/>
        <v>0.34796930521571268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405.09126081846171</v>
      </c>
      <c r="AO188" s="62">
        <f t="shared" si="144"/>
        <v>534.22295841722166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1.2242035479773536</v>
      </c>
      <c r="AV188" s="23">
        <f>EXP(-LN(2)/25)*AV187+(1-EXP(-LN(2)/25))/(LN(2)/25)*Calculateur!AQ188*Calculateur!AS188*VLOOKUP('Données projet'!$B$10,Paramètres!$A$1:$I$89,3,0)*0.475*44/12</f>
        <v>0.32493975558525962</v>
      </c>
      <c r="AW188" s="23">
        <f>EXP(-LN(2)/2)*AW187+(1-EXP(-LN(2)/2))/(LN(2)/2)*AQ188*AT188*VLOOKUP('Données projet'!$B$10,Paramètres!$A$1:$I$89,3,0)*0.475*44/12</f>
        <v>5.5398197248247255E-23</v>
      </c>
      <c r="AX188" s="23">
        <f t="shared" si="166"/>
        <v>1.5491433035626132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439.06700232017681</v>
      </c>
      <c r="BJ188" s="62">
        <f t="shared" si="146"/>
        <v>278.21741231699929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0.12419547266736293</v>
      </c>
      <c r="BR188" s="23">
        <f>EXP(-LN(2)/2)*BR187+(1-EXP(-LN(2)/2))/(LN(2)/2)*BL188*BO188*VLOOKUP('Données projet'!$B$11,Paramètres!$A$1:$I$89,3,0)*0.475*44/12</f>
        <v>6.9766416341348114E-23</v>
      </c>
      <c r="BS188" s="24">
        <f t="shared" si="169"/>
        <v>0.12419547266736293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466.4945858005575</v>
      </c>
      <c r="CE188" s="62">
        <f t="shared" si="148"/>
        <v>294.45557293177131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0.1327606776789052</v>
      </c>
      <c r="CM188" s="23">
        <f>EXP(-LN(2)/2)*CM187+(1-EXP(-LN(2)/2))/(LN(2)/2)*CG188*CJ188*VLOOKUP('Données projet'!$B$12,Paramètres!$A$1:$I$89,3,0)*0.475*44/12</f>
        <v>7.4577893330407399E-23</v>
      </c>
      <c r="CN188" s="24">
        <f t="shared" si="172"/>
        <v>0.1327606776789052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335.83558218229564</v>
      </c>
      <c r="CZ188" s="62">
        <f t="shared" si="150"/>
        <v>217.08423061559648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0.11348896640293514</v>
      </c>
      <c r="DH188" s="23">
        <f>EXP(-LN(2)/2)*DH187+(1-EXP(-LN(2)/2))/(LN(2)/2)*DB188*DE188*VLOOKUP('Données projet'!$B$13,Paramètres!$A$1:$I$89,3,0)*0.475*44/12</f>
        <v>5.1723377632379193E-23</v>
      </c>
      <c r="DI188" s="24">
        <f t="shared" si="175"/>
        <v>0.11348896640293514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4.9658410716801891E-14</v>
      </c>
      <c r="P189" s="14">
        <f t="shared" si="141"/>
        <v>8.0934058173791862E-13</v>
      </c>
      <c r="Q189" s="22">
        <f t="shared" si="162"/>
        <v>1.4960899118586383E-12</v>
      </c>
      <c r="R189" s="62">
        <f t="shared" si="109"/>
        <v>293.33333333333479</v>
      </c>
      <c r="S189" s="62">
        <f ca="1">AVERAGE(OFFSET($R$3,0,0,'Données projet'!$E$9+1,1))-AVERAGE(OFFSET($H$3,0,0,'Données projet'!$E$9+1,1))</f>
        <v>321.62968871874483</v>
      </c>
      <c r="T189" s="62">
        <f t="shared" si="142"/>
        <v>389.91636841473559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0.33845406626567853</v>
      </c>
      <c r="AB189" s="23">
        <f>EXP(-LN(2)/2)*AB188+(1-EXP(-LN(2)/2))/(LN(2)/2)*V189*Y189*VLOOKUP('Données projet'!$B$9,Paramètres!$A$1:$I$89,3,0)*0.475*44/12</f>
        <v>6.0438805380058735E-23</v>
      </c>
      <c r="AC189" s="24">
        <f t="shared" si="163"/>
        <v>0.33845406626567853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405.09126081846171</v>
      </c>
      <c r="AO189" s="62">
        <f t="shared" si="144"/>
        <v>534.22295841722166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1.2001976630919524</v>
      </c>
      <c r="AV189" s="23">
        <f>EXP(-LN(2)/25)*AV188+(1-EXP(-LN(2)/25))/(LN(2)/25)*Calculateur!AQ189*Calculateur!AS189*VLOOKUP('Données projet'!$B$10,Paramètres!$A$1:$I$89,3,0)*0.475*44/12</f>
        <v>0.31605426088094163</v>
      </c>
      <c r="AW189" s="23">
        <f>EXP(-LN(2)/2)*AW188+(1-EXP(-LN(2)/2))/(LN(2)/2)*AQ189*AT189*VLOOKUP('Données projet'!$B$10,Paramètres!$A$1:$I$89,3,0)*0.475*44/12</f>
        <v>3.9172440939745571E-23</v>
      </c>
      <c r="AX189" s="23">
        <f t="shared" si="166"/>
        <v>1.516251923972894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439.06700232017681</v>
      </c>
      <c r="BJ189" s="62">
        <f t="shared" si="146"/>
        <v>278.21741231699929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0.12079934093611784</v>
      </c>
      <c r="BR189" s="23">
        <f>EXP(-LN(2)/2)*BR188+(1-EXP(-LN(2)/2))/(LN(2)/2)*BL189*BO189*VLOOKUP('Données projet'!$B$11,Paramètres!$A$1:$I$89,3,0)*0.475*44/12</f>
        <v>4.9332306094051215E-23</v>
      </c>
      <c r="BS189" s="24">
        <f t="shared" si="169"/>
        <v>0.12079934093611784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466.4945858005575</v>
      </c>
      <c r="CE189" s="62">
        <f t="shared" si="148"/>
        <v>294.45557293177131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0.12913032996619492</v>
      </c>
      <c r="CM189" s="23">
        <f>EXP(-LN(2)/2)*CM188+(1-EXP(-LN(2)/2))/(LN(2)/2)*CG189*CJ189*VLOOKUP('Données projet'!$B$12,Paramètres!$A$1:$I$89,3,0)*0.475*44/12</f>
        <v>5.2734534100538073E-23</v>
      </c>
      <c r="CN189" s="24">
        <f t="shared" si="172"/>
        <v>0.12913032996619492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335.83558218229564</v>
      </c>
      <c r="CZ189" s="62">
        <f t="shared" si="150"/>
        <v>217.08423061559648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0.11038560464852151</v>
      </c>
      <c r="DH189" s="23">
        <f>EXP(-LN(2)/2)*DH188+(1-EXP(-LN(2)/2))/(LN(2)/2)*DB189*DE189*VLOOKUP('Données projet'!$B$13,Paramètres!$A$1:$I$89,3,0)*0.475*44/12</f>
        <v>3.657395106972792E-23</v>
      </c>
      <c r="DI189" s="24">
        <f t="shared" si="175"/>
        <v>0.11038560464852151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4.9658410716801891E-14</v>
      </c>
      <c r="P190" s="14">
        <f t="shared" si="141"/>
        <v>8.0934058173791862E-13</v>
      </c>
      <c r="Q190" s="22">
        <f t="shared" si="162"/>
        <v>1.4960899118586383E-12</v>
      </c>
      <c r="R190" s="62">
        <f t="shared" si="109"/>
        <v>293.33333333333479</v>
      </c>
      <c r="S190" s="62">
        <f ca="1">AVERAGE(OFFSET($R$3,0,0,'Données projet'!$E$9+1,1))-AVERAGE(OFFSET($H$3,0,0,'Données projet'!$E$9+1,1))</f>
        <v>321.62968871874483</v>
      </c>
      <c r="T190" s="62">
        <f t="shared" si="142"/>
        <v>389.91636841473559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0.32919902202511775</v>
      </c>
      <c r="AB190" s="23">
        <f>EXP(-LN(2)/2)*AB189+(1-EXP(-LN(2)/2))/(LN(2)/2)*V190*Y190*VLOOKUP('Données projet'!$B$9,Paramètres!$A$1:$I$89,3,0)*0.475*44/12</f>
        <v>4.2736689131053524E-23</v>
      </c>
      <c r="AC190" s="24">
        <f t="shared" si="163"/>
        <v>0.32919902202511775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405.09126081846171</v>
      </c>
      <c r="AO190" s="62">
        <f t="shared" si="144"/>
        <v>534.22295841722166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1.1766625189670099</v>
      </c>
      <c r="AV190" s="23">
        <f>EXP(-LN(2)/25)*AV189+(1-EXP(-LN(2)/25))/(LN(2)/25)*Calculateur!AQ190*Calculateur!AS190*VLOOKUP('Données projet'!$B$10,Paramètres!$A$1:$I$89,3,0)*0.475*44/12</f>
        <v>0.30741174049658104</v>
      </c>
      <c r="AW190" s="23">
        <f>EXP(-LN(2)/2)*AW189+(1-EXP(-LN(2)/2))/(LN(2)/2)*AQ190*AT190*VLOOKUP('Données projet'!$B$10,Paramètres!$A$1:$I$89,3,0)*0.475*44/12</f>
        <v>2.7699098624123628E-23</v>
      </c>
      <c r="AX190" s="23">
        <f t="shared" si="166"/>
        <v>1.484074259463591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439.06700232017681</v>
      </c>
      <c r="BJ190" s="62">
        <f t="shared" si="146"/>
        <v>278.21741231699929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0.11749607660565844</v>
      </c>
      <c r="BR190" s="23">
        <f>EXP(-LN(2)/2)*BR189+(1-EXP(-LN(2)/2))/(LN(2)/2)*BL190*BO190*VLOOKUP('Données projet'!$B$11,Paramètres!$A$1:$I$89,3,0)*0.475*44/12</f>
        <v>3.4883208170674057E-23</v>
      </c>
      <c r="BS190" s="24">
        <f t="shared" si="169"/>
        <v>0.11749607660565844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466.4945858005575</v>
      </c>
      <c r="CE190" s="62">
        <f t="shared" si="148"/>
        <v>294.45557293177131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0.12559925430260038</v>
      </c>
      <c r="CM190" s="23">
        <f>EXP(-LN(2)/2)*CM189+(1-EXP(-LN(2)/2))/(LN(2)/2)*CG190*CJ190*VLOOKUP('Données projet'!$B$12,Paramètres!$A$1:$I$89,3,0)*0.475*44/12</f>
        <v>3.7288946665203705E-23</v>
      </c>
      <c r="CN190" s="24">
        <f t="shared" si="172"/>
        <v>0.12559925430260038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335.83558218229564</v>
      </c>
      <c r="CZ190" s="62">
        <f t="shared" si="150"/>
        <v>217.08423061559648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0.10736710448448103</v>
      </c>
      <c r="DH190" s="23">
        <f>EXP(-LN(2)/2)*DH189+(1-EXP(-LN(2)/2))/(LN(2)/2)*DB190*DE190*VLOOKUP('Données projet'!$B$13,Paramètres!$A$1:$I$89,3,0)*0.475*44/12</f>
        <v>2.5861688816189597E-23</v>
      </c>
      <c r="DI190" s="24">
        <f t="shared" si="175"/>
        <v>0.10736710448448103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4.9658410716801891E-14</v>
      </c>
      <c r="P191" s="14">
        <f t="shared" si="141"/>
        <v>8.0934058173791862E-13</v>
      </c>
      <c r="Q191" s="22">
        <f t="shared" si="162"/>
        <v>1.4960899118586383E-12</v>
      </c>
      <c r="R191" s="62">
        <f t="shared" si="109"/>
        <v>293.33333333333479</v>
      </c>
      <c r="S191" s="62">
        <f ca="1">AVERAGE(OFFSET($R$3,0,0,'Données projet'!$E$9+1,1))-AVERAGE(OFFSET($H$3,0,0,'Données projet'!$E$9+1,1))</f>
        <v>321.62968871874483</v>
      </c>
      <c r="T191" s="62">
        <f t="shared" si="142"/>
        <v>389.91636841473559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0.32019705745601673</v>
      </c>
      <c r="AB191" s="23">
        <f>EXP(-LN(2)/2)*AB190+(1-EXP(-LN(2)/2))/(LN(2)/2)*V191*Y191*VLOOKUP('Données projet'!$B$9,Paramètres!$A$1:$I$89,3,0)*0.475*44/12</f>
        <v>3.0219402690029367E-23</v>
      </c>
      <c r="AC191" s="24">
        <f t="shared" si="163"/>
        <v>0.32019705745601673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405.09126081846171</v>
      </c>
      <c r="AO191" s="62">
        <f t="shared" si="144"/>
        <v>534.22295841722166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1.1535888846633371</v>
      </c>
      <c r="AV191" s="23">
        <f>EXP(-LN(2)/25)*AV190+(1-EXP(-LN(2)/25))/(LN(2)/25)*Calculateur!AQ191*Calculateur!AS191*VLOOKUP('Données projet'!$B$10,Paramètres!$A$1:$I$89,3,0)*0.475*44/12</f>
        <v>0.29900555028662118</v>
      </c>
      <c r="AW191" s="23">
        <f>EXP(-LN(2)/2)*AW190+(1-EXP(-LN(2)/2))/(LN(2)/2)*AQ191*AT191*VLOOKUP('Données projet'!$B$10,Paramètres!$A$1:$I$89,3,0)*0.475*44/12</f>
        <v>1.9586220469872786E-23</v>
      </c>
      <c r="AX191" s="23">
        <f t="shared" si="166"/>
        <v>1.4525944349499582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439.06700232017681</v>
      </c>
      <c r="BJ191" s="62">
        <f t="shared" si="146"/>
        <v>278.21741231699929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0.11428314021202658</v>
      </c>
      <c r="BR191" s="23">
        <f>EXP(-LN(2)/2)*BR190+(1-EXP(-LN(2)/2))/(LN(2)/2)*BL191*BO191*VLOOKUP('Données projet'!$B$11,Paramètres!$A$1:$I$89,3,0)*0.475*44/12</f>
        <v>2.4666153047025607E-23</v>
      </c>
      <c r="BS191" s="24">
        <f t="shared" si="169"/>
        <v>0.11428314021202658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466.4945858005575</v>
      </c>
      <c r="CE191" s="62">
        <f t="shared" si="148"/>
        <v>294.45557293177131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0.12216473608871806</v>
      </c>
      <c r="CM191" s="23">
        <f>EXP(-LN(2)/2)*CM190+(1-EXP(-LN(2)/2))/(LN(2)/2)*CG191*CJ191*VLOOKUP('Données projet'!$B$12,Paramètres!$A$1:$I$89,3,0)*0.475*44/12</f>
        <v>2.6367267050269039E-23</v>
      </c>
      <c r="CN191" s="24">
        <f t="shared" si="172"/>
        <v>0.12216473608871806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335.83558218229564</v>
      </c>
      <c r="CZ191" s="62">
        <f t="shared" si="150"/>
        <v>217.08423061559648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0.10443114536616226</v>
      </c>
      <c r="DH191" s="23">
        <f>EXP(-LN(2)/2)*DH190+(1-EXP(-LN(2)/2))/(LN(2)/2)*DB191*DE191*VLOOKUP('Données projet'!$B$13,Paramètres!$A$1:$I$89,3,0)*0.475*44/12</f>
        <v>1.828697553486396E-23</v>
      </c>
      <c r="DI191" s="24">
        <f t="shared" si="175"/>
        <v>0.10443114536616226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4.9658410716801891E-14</v>
      </c>
      <c r="P192" s="14">
        <f t="shared" si="141"/>
        <v>8.0934058173791862E-13</v>
      </c>
      <c r="Q192" s="22">
        <f t="shared" si="162"/>
        <v>1.4960899118586383E-12</v>
      </c>
      <c r="R192" s="62">
        <f t="shared" si="109"/>
        <v>293.33333333333479</v>
      </c>
      <c r="S192" s="62">
        <f ca="1">AVERAGE(OFFSET($R$3,0,0,'Données projet'!$E$9+1,1))-AVERAGE(OFFSET($H$3,0,0,'Données projet'!$E$9+1,1))</f>
        <v>321.62968871874483</v>
      </c>
      <c r="T192" s="62">
        <f t="shared" si="142"/>
        <v>389.91636841473559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0.31144125208145051</v>
      </c>
      <c r="AB192" s="23">
        <f>EXP(-LN(2)/2)*AB191+(1-EXP(-LN(2)/2))/(LN(2)/2)*V192*Y192*VLOOKUP('Données projet'!$B$9,Paramètres!$A$1:$I$89,3,0)*0.475*44/12</f>
        <v>2.1368344565526762E-23</v>
      </c>
      <c r="AC192" s="24">
        <f t="shared" si="163"/>
        <v>0.31144125208145051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405.09126081846171</v>
      </c>
      <c r="AO192" s="62">
        <f t="shared" si="144"/>
        <v>534.22295841722166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1.1309677102548321</v>
      </c>
      <c r="AV192" s="23">
        <f>EXP(-LN(2)/25)*AV191+(1-EXP(-LN(2)/25))/(LN(2)/25)*Calculateur!AQ192*Calculateur!AS192*VLOOKUP('Données projet'!$B$10,Paramètres!$A$1:$I$89,3,0)*0.475*44/12</f>
        <v>0.29082922779001502</v>
      </c>
      <c r="AW192" s="23">
        <f>EXP(-LN(2)/2)*AW191+(1-EXP(-LN(2)/2))/(LN(2)/2)*AQ192*AT192*VLOOKUP('Données projet'!$B$10,Paramètres!$A$1:$I$89,3,0)*0.475*44/12</f>
        <v>1.3849549312061814E-23</v>
      </c>
      <c r="AX192" s="23">
        <f t="shared" si="166"/>
        <v>1.4217969380448472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439.06700232017681</v>
      </c>
      <c r="BJ192" s="62">
        <f t="shared" si="146"/>
        <v>278.21741231699929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0.11115806173303958</v>
      </c>
      <c r="BR192" s="23">
        <f>EXP(-LN(2)/2)*BR191+(1-EXP(-LN(2)/2))/(LN(2)/2)*BL192*BO192*VLOOKUP('Données projet'!$B$11,Paramètres!$A$1:$I$89,3,0)*0.475*44/12</f>
        <v>1.7441604085337028E-23</v>
      </c>
      <c r="BS192" s="24">
        <f t="shared" si="169"/>
        <v>0.11115806173303958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466.4945858005575</v>
      </c>
      <c r="CE192" s="62">
        <f t="shared" si="148"/>
        <v>294.45557293177131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0.1188241349560078</v>
      </c>
      <c r="CM192" s="23">
        <f>EXP(-LN(2)/2)*CM191+(1-EXP(-LN(2)/2))/(LN(2)/2)*CG192*CJ192*VLOOKUP('Données projet'!$B$12,Paramètres!$A$1:$I$89,3,0)*0.475*44/12</f>
        <v>1.8644473332601856E-23</v>
      </c>
      <c r="CN192" s="24">
        <f t="shared" si="172"/>
        <v>0.1188241349560078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335.83558218229564</v>
      </c>
      <c r="CZ192" s="62">
        <f t="shared" si="150"/>
        <v>217.08423061559648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0.10157547020432929</v>
      </c>
      <c r="DH192" s="23">
        <f>EXP(-LN(2)/2)*DH191+(1-EXP(-LN(2)/2))/(LN(2)/2)*DB192*DE192*VLOOKUP('Données projet'!$B$13,Paramètres!$A$1:$I$89,3,0)*0.475*44/12</f>
        <v>1.2930844408094798E-23</v>
      </c>
      <c r="DI192" s="24">
        <f t="shared" si="175"/>
        <v>0.10157547020432929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4.9658410716801891E-14</v>
      </c>
      <c r="P193" s="14">
        <f t="shared" si="141"/>
        <v>8.0934058173791862E-13</v>
      </c>
      <c r="Q193" s="22">
        <f t="shared" si="162"/>
        <v>1.4960899118586383E-12</v>
      </c>
      <c r="R193" s="62">
        <f t="shared" si="109"/>
        <v>293.33333333333479</v>
      </c>
      <c r="S193" s="62">
        <f ca="1">AVERAGE(OFFSET($R$3,0,0,'Données projet'!$E$9+1,1))-AVERAGE(OFFSET($H$3,0,0,'Données projet'!$E$9+1,1))</f>
        <v>321.62968871874483</v>
      </c>
      <c r="T193" s="62">
        <f t="shared" si="142"/>
        <v>389.91636841473559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0.3029248746652996</v>
      </c>
      <c r="AB193" s="23">
        <f>EXP(-LN(2)/2)*AB192+(1-EXP(-LN(2)/2))/(LN(2)/2)*V193*Y193*VLOOKUP('Données projet'!$B$9,Paramètres!$A$1:$I$89,3,0)*0.475*44/12</f>
        <v>1.5109701345014684E-23</v>
      </c>
      <c r="AC193" s="24">
        <f t="shared" si="163"/>
        <v>0.3029248746652996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405.09126081846171</v>
      </c>
      <c r="AO193" s="62">
        <f t="shared" si="144"/>
        <v>534.22295841722166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1.1087901232789239</v>
      </c>
      <c r="AV193" s="23">
        <f>EXP(-LN(2)/25)*AV192+(1-EXP(-LN(2)/25))/(LN(2)/25)*Calculateur!AQ193*Calculateur!AS193*VLOOKUP('Données projet'!$B$10,Paramètres!$A$1:$I$89,3,0)*0.475*44/12</f>
        <v>0.28287648726205267</v>
      </c>
      <c r="AW193" s="23">
        <f>EXP(-LN(2)/2)*AW192+(1-EXP(-LN(2)/2))/(LN(2)/2)*AQ193*AT193*VLOOKUP('Données projet'!$B$10,Paramètres!$A$1:$I$89,3,0)*0.475*44/12</f>
        <v>9.7931102349363928E-24</v>
      </c>
      <c r="AX193" s="23">
        <f t="shared" si="166"/>
        <v>1.3916666105409765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439.06700232017681</v>
      </c>
      <c r="BJ193" s="62">
        <f t="shared" si="146"/>
        <v>278.21741231699929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0.1081184386894012</v>
      </c>
      <c r="BR193" s="23">
        <f>EXP(-LN(2)/2)*BR192+(1-EXP(-LN(2)/2))/(LN(2)/2)*BL193*BO193*VLOOKUP('Données projet'!$B$11,Paramètres!$A$1:$I$89,3,0)*0.475*44/12</f>
        <v>1.2333076523512804E-23</v>
      </c>
      <c r="BS193" s="24">
        <f t="shared" si="169"/>
        <v>0.1081184386894012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466.4945858005575</v>
      </c>
      <c r="CE193" s="62">
        <f t="shared" si="148"/>
        <v>294.45557293177131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0.11557488273694608</v>
      </c>
      <c r="CM193" s="23">
        <f>EXP(-LN(2)/2)*CM192+(1-EXP(-LN(2)/2))/(LN(2)/2)*CG193*CJ193*VLOOKUP('Données projet'!$B$12,Paramètres!$A$1:$I$89,3,0)*0.475*44/12</f>
        <v>1.3183633525134521E-23</v>
      </c>
      <c r="CN193" s="24">
        <f t="shared" si="172"/>
        <v>0.11557488273694608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335.83558218229564</v>
      </c>
      <c r="CZ193" s="62">
        <f t="shared" si="150"/>
        <v>217.08423061559648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9.8797883629970079E-2</v>
      </c>
      <c r="DH193" s="23">
        <f>EXP(-LN(2)/2)*DH192+(1-EXP(-LN(2)/2))/(LN(2)/2)*DB193*DE193*VLOOKUP('Données projet'!$B$13,Paramètres!$A$1:$I$89,3,0)*0.475*44/12</f>
        <v>9.1434877674319801E-24</v>
      </c>
      <c r="DI193" s="24">
        <f t="shared" si="175"/>
        <v>9.8797883629970079E-2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4.9658410716801891E-14</v>
      </c>
      <c r="P194" s="14">
        <f t="shared" si="141"/>
        <v>8.0934058173791862E-13</v>
      </c>
      <c r="Q194" s="22">
        <f t="shared" si="162"/>
        <v>1.4960899118586383E-12</v>
      </c>
      <c r="R194" s="62">
        <f t="shared" si="109"/>
        <v>293.33333333333479</v>
      </c>
      <c r="S194" s="62">
        <f ca="1">AVERAGE(OFFSET($R$3,0,0,'Données projet'!$E$9+1,1))-AVERAGE(OFFSET($H$3,0,0,'Données projet'!$E$9+1,1))</f>
        <v>321.62968871874483</v>
      </c>
      <c r="T194" s="62">
        <f t="shared" si="142"/>
        <v>389.91636841473559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0.29464137803745016</v>
      </c>
      <c r="AB194" s="23">
        <f>EXP(-LN(2)/2)*AB193+(1-EXP(-LN(2)/2))/(LN(2)/2)*V194*Y194*VLOOKUP('Données projet'!$B$9,Paramètres!$A$1:$I$89,3,0)*0.475*44/12</f>
        <v>1.0684172282763381E-23</v>
      </c>
      <c r="AC194" s="24">
        <f t="shared" si="163"/>
        <v>0.29464137803745016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405.09126081846171</v>
      </c>
      <c r="AO194" s="62">
        <f t="shared" si="144"/>
        <v>534.22295841722166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1.0870474252566209</v>
      </c>
      <c r="AV194" s="23">
        <f>EXP(-LN(2)/25)*AV193+(1-EXP(-LN(2)/25))/(LN(2)/25)*Calculateur!AQ194*Calculateur!AS194*VLOOKUP('Données projet'!$B$10,Paramètres!$A$1:$I$89,3,0)*0.475*44/12</f>
        <v>0.2751412148420439</v>
      </c>
      <c r="AW194" s="23">
        <f>EXP(-LN(2)/2)*AW193+(1-EXP(-LN(2)/2))/(LN(2)/2)*AQ194*AT194*VLOOKUP('Données projet'!$B$10,Paramètres!$A$1:$I$89,3,0)*0.475*44/12</f>
        <v>6.9247746560309069E-24</v>
      </c>
      <c r="AX194" s="23">
        <f t="shared" si="166"/>
        <v>1.3621886400986649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439.06700232017681</v>
      </c>
      <c r="BJ194" s="62">
        <f t="shared" si="146"/>
        <v>278.21741231699929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0.10516193429773794</v>
      </c>
      <c r="BR194" s="23">
        <f>EXP(-LN(2)/2)*BR193+(1-EXP(-LN(2)/2))/(LN(2)/2)*BL194*BO194*VLOOKUP('Données projet'!$B$11,Paramètres!$A$1:$I$89,3,0)*0.475*44/12</f>
        <v>8.7208020426685142E-24</v>
      </c>
      <c r="BS194" s="24">
        <f t="shared" si="169"/>
        <v>0.10516193429773794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466.4945858005575</v>
      </c>
      <c r="CE194" s="62">
        <f t="shared" si="148"/>
        <v>294.45557293177131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0.11241448149068535</v>
      </c>
      <c r="CM194" s="23">
        <f>EXP(-LN(2)/2)*CM193+(1-EXP(-LN(2)/2))/(LN(2)/2)*CG194*CJ194*VLOOKUP('Données projet'!$B$12,Paramètres!$A$1:$I$89,3,0)*0.475*44/12</f>
        <v>9.3222366663009293E-24</v>
      </c>
      <c r="CN194" s="24">
        <f t="shared" si="172"/>
        <v>0.11241448149068535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335.83558218229564</v>
      </c>
      <c r="CZ194" s="62">
        <f t="shared" si="150"/>
        <v>217.08423061559648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9.6096250306553652E-2</v>
      </c>
      <c r="DH194" s="23">
        <f>EXP(-LN(2)/2)*DH193+(1-EXP(-LN(2)/2))/(LN(2)/2)*DB194*DE194*VLOOKUP('Données projet'!$B$13,Paramètres!$A$1:$I$89,3,0)*0.475*44/12</f>
        <v>6.4654222040473992E-24</v>
      </c>
      <c r="DI194" s="24">
        <f t="shared" si="175"/>
        <v>9.6096250306553652E-2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4.9658410716801891E-14</v>
      </c>
      <c r="P195" s="14">
        <f t="shared" si="141"/>
        <v>8.0934058173791862E-13</v>
      </c>
      <c r="Q195" s="22">
        <f t="shared" si="162"/>
        <v>1.4960899118586383E-12</v>
      </c>
      <c r="R195" s="62">
        <f t="shared" ref="R195:R203" si="191">Q195+(I195+J195)*44/12</f>
        <v>293.33333333333479</v>
      </c>
      <c r="S195" s="62">
        <f ca="1">AVERAGE(OFFSET($R$3,0,0,'Données projet'!$E$9+1,1))-AVERAGE(OFFSET($H$3,0,0,'Données projet'!$E$9+1,1))</f>
        <v>321.62968871874483</v>
      </c>
      <c r="T195" s="62">
        <f t="shared" si="142"/>
        <v>389.91636841473559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0.2865843940604994</v>
      </c>
      <c r="AB195" s="23">
        <f>EXP(-LN(2)/2)*AB194+(1-EXP(-LN(2)/2))/(LN(2)/2)*V195*Y195*VLOOKUP('Données projet'!$B$9,Paramètres!$A$1:$I$89,3,0)*0.475*44/12</f>
        <v>7.5548506725073418E-24</v>
      </c>
      <c r="AC195" s="24">
        <f t="shared" si="163"/>
        <v>0.2865843940604994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405.09126081846171</v>
      </c>
      <c r="AO195" s="62">
        <f t="shared" si="144"/>
        <v>534.22295841722166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1.0657310882807989</v>
      </c>
      <c r="AV195" s="23">
        <f>EXP(-LN(2)/25)*AV194+(1-EXP(-LN(2)/25))/(LN(2)/25)*Calculateur!AQ195*Calculateur!AS195*VLOOKUP('Données projet'!$B$10,Paramètres!$A$1:$I$89,3,0)*0.475*44/12</f>
        <v>0.26761746385314056</v>
      </c>
      <c r="AW195" s="23">
        <f>EXP(-LN(2)/2)*AW194+(1-EXP(-LN(2)/2))/(LN(2)/2)*AQ195*AT195*VLOOKUP('Données projet'!$B$10,Paramètres!$A$1:$I$89,3,0)*0.475*44/12</f>
        <v>4.8965551174681964E-24</v>
      </c>
      <c r="AX195" s="23">
        <f t="shared" si="166"/>
        <v>1.3333485521339394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439.06700232017681</v>
      </c>
      <c r="BJ195" s="62">
        <f t="shared" si="146"/>
        <v>278.21741231699929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0.10228627567414053</v>
      </c>
      <c r="BR195" s="23">
        <f>EXP(-LN(2)/2)*BR194+(1-EXP(-LN(2)/2))/(LN(2)/2)*BL195*BO195*VLOOKUP('Données projet'!$B$11,Paramètres!$A$1:$I$89,3,0)*0.475*44/12</f>
        <v>6.1665382617564018E-24</v>
      </c>
      <c r="BS195" s="24">
        <f t="shared" si="169"/>
        <v>0.10228627567414053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466.4945858005575</v>
      </c>
      <c r="CE195" s="62">
        <f t="shared" si="148"/>
        <v>294.45557293177131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0.10934050158270191</v>
      </c>
      <c r="CM195" s="23">
        <f>EXP(-LN(2)/2)*CM194+(1-EXP(-LN(2)/2))/(LN(2)/2)*CG195*CJ195*VLOOKUP('Données projet'!$B$12,Paramètres!$A$1:$I$89,3,0)*0.475*44/12</f>
        <v>6.591816762567262E-24</v>
      </c>
      <c r="CN195" s="24">
        <f t="shared" si="172"/>
        <v>0.10934050158270191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335.83558218229564</v>
      </c>
      <c r="CZ195" s="62">
        <f t="shared" si="150"/>
        <v>217.08423061559648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9.3468493288438773E-2</v>
      </c>
      <c r="DH195" s="23">
        <f>EXP(-LN(2)/2)*DH194+(1-EXP(-LN(2)/2))/(LN(2)/2)*DB195*DE195*VLOOKUP('Données projet'!$B$13,Paramètres!$A$1:$I$89,3,0)*0.475*44/12</f>
        <v>4.57174388371599E-24</v>
      </c>
      <c r="DI195" s="24">
        <f t="shared" si="175"/>
        <v>9.3468493288438773E-2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4.9658410716801891E-14</v>
      </c>
      <c r="P196" s="14">
        <f t="shared" si="141"/>
        <v>8.0934058173791862E-13</v>
      </c>
      <c r="Q196" s="22">
        <f t="shared" si="162"/>
        <v>1.4960899118586383E-12</v>
      </c>
      <c r="R196" s="62">
        <f t="shared" si="191"/>
        <v>293.33333333333479</v>
      </c>
      <c r="S196" s="62">
        <f ca="1">AVERAGE(OFFSET($R$3,0,0,'Données projet'!$E$9+1,1))-AVERAGE(OFFSET($H$3,0,0,'Données projet'!$E$9+1,1))</f>
        <v>321.62968871874483</v>
      </c>
      <c r="T196" s="62">
        <f t="shared" si="142"/>
        <v>389.91636841473559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0.27874772873409676</v>
      </c>
      <c r="AB196" s="23">
        <f>EXP(-LN(2)/2)*AB195+(1-EXP(-LN(2)/2))/(LN(2)/2)*V196*Y196*VLOOKUP('Données projet'!$B$9,Paramètres!$A$1:$I$89,3,0)*0.475*44/12</f>
        <v>5.3420861413816905E-24</v>
      </c>
      <c r="AC196" s="24">
        <f t="shared" si="163"/>
        <v>0.27874772873409676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405.09126081846171</v>
      </c>
      <c r="AO196" s="62">
        <f t="shared" si="144"/>
        <v>534.22295841722166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1.0448327516713909</v>
      </c>
      <c r="AV196" s="23">
        <f>EXP(-LN(2)/25)*AV195+(1-EXP(-LN(2)/25))/(LN(2)/25)*Calculateur!AQ196*Calculateur!AS196*VLOOKUP('Données projet'!$B$10,Paramètres!$A$1:$I$89,3,0)*0.475*44/12</f>
        <v>0.26029945023068568</v>
      </c>
      <c r="AW196" s="23">
        <f>EXP(-LN(2)/2)*AW195+(1-EXP(-LN(2)/2))/(LN(2)/2)*AQ196*AT196*VLOOKUP('Données projet'!$B$10,Paramètres!$A$1:$I$89,3,0)*0.475*44/12</f>
        <v>3.4623873280154534E-24</v>
      </c>
      <c r="AX196" s="23">
        <f t="shared" si="166"/>
        <v>1.3051322019020766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439.06700232017681</v>
      </c>
      <c r="BJ196" s="62">
        <f t="shared" si="146"/>
        <v>278.21741231699929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9.9489252086829696E-2</v>
      </c>
      <c r="BR196" s="23">
        <f>EXP(-LN(2)/2)*BR195+(1-EXP(-LN(2)/2))/(LN(2)/2)*BL196*BO196*VLOOKUP('Données projet'!$B$11,Paramètres!$A$1:$I$89,3,0)*0.475*44/12</f>
        <v>4.3604010213342571E-24</v>
      </c>
      <c r="BS196" s="24">
        <f t="shared" si="169"/>
        <v>9.9489252086829696E-2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466.4945858005575</v>
      </c>
      <c r="CE196" s="62">
        <f t="shared" si="148"/>
        <v>294.45557293177131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0.10635057981695585</v>
      </c>
      <c r="CM196" s="23">
        <f>EXP(-LN(2)/2)*CM195+(1-EXP(-LN(2)/2))/(LN(2)/2)*CG196*CJ196*VLOOKUP('Données projet'!$B$12,Paramètres!$A$1:$I$89,3,0)*0.475*44/12</f>
        <v>4.6611183331504654E-24</v>
      </c>
      <c r="CN196" s="24">
        <f t="shared" si="172"/>
        <v>0.10635057981695585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335.83558218229564</v>
      </c>
      <c r="CZ196" s="62">
        <f t="shared" si="150"/>
        <v>217.08423061559648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9.0912592424171976E-2</v>
      </c>
      <c r="DH196" s="23">
        <f>EXP(-LN(2)/2)*DH195+(1-EXP(-LN(2)/2))/(LN(2)/2)*DB196*DE196*VLOOKUP('Données projet'!$B$13,Paramètres!$A$1:$I$89,3,0)*0.475*44/12</f>
        <v>3.2327111020236996E-24</v>
      </c>
      <c r="DI196" s="24">
        <f t="shared" si="175"/>
        <v>9.0912592424171976E-2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4.9658410716801891E-14</v>
      </c>
      <c r="P197" s="14">
        <f t="shared" ref="P197:P203" si="203">EXP(-1.0587+0.8836*LN(O197)+0.284)</f>
        <v>8.0934058173791862E-13</v>
      </c>
      <c r="Q197" s="22">
        <f t="shared" si="162"/>
        <v>1.4960899118586383E-12</v>
      </c>
      <c r="R197" s="62">
        <f t="shared" si="191"/>
        <v>293.33333333333479</v>
      </c>
      <c r="S197" s="62">
        <f ca="1">AVERAGE(OFFSET($R$3,0,0,'Données projet'!$E$9+1,1))-AVERAGE(OFFSET($H$3,0,0,'Données projet'!$E$9+1,1))</f>
        <v>321.62968871874483</v>
      </c>
      <c r="T197" s="62">
        <f t="shared" ref="T197:T203" si="204">$T$3</f>
        <v>389.91636841473559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0.27112535743315691</v>
      </c>
      <c r="AB197" s="23">
        <f>EXP(-LN(2)/2)*AB196+(1-EXP(-LN(2)/2))/(LN(2)/2)*V197*Y197*VLOOKUP('Données projet'!$B$9,Paramètres!$A$1:$I$89,3,0)*0.475*44/12</f>
        <v>3.7774253362536709E-24</v>
      </c>
      <c r="AC197" s="24">
        <f t="shared" si="163"/>
        <v>0.27112535743315691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405.09126081846171</v>
      </c>
      <c r="AO197" s="62">
        <f t="shared" ref="AO197:AO203" si="205">$AO$3</f>
        <v>534.22295841722166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1.0243442186961667</v>
      </c>
      <c r="AV197" s="23">
        <f>EXP(-LN(2)/25)*AV196+(1-EXP(-LN(2)/25))/(LN(2)/25)*Calculateur!AQ197*Calculateur!AS197*VLOOKUP('Données projet'!$B$10,Paramètres!$A$1:$I$89,3,0)*0.475*44/12</f>
        <v>0.25318154807557441</v>
      </c>
      <c r="AW197" s="23">
        <f>EXP(-LN(2)/2)*AW196+(1-EXP(-LN(2)/2))/(LN(2)/2)*AQ197*AT197*VLOOKUP('Données projet'!$B$10,Paramètres!$A$1:$I$89,3,0)*0.475*44/12</f>
        <v>2.4482775587340982E-24</v>
      </c>
      <c r="AX197" s="23">
        <f t="shared" si="166"/>
        <v>1.277525766771741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439.06700232017681</v>
      </c>
      <c r="BJ197" s="62">
        <f t="shared" ref="BJ197:BJ203" si="206">$BJ$3</f>
        <v>278.21741231699929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9.6768713256602953E-2</v>
      </c>
      <c r="BR197" s="23">
        <f>EXP(-LN(2)/2)*BR196+(1-EXP(-LN(2)/2))/(LN(2)/2)*BL197*BO197*VLOOKUP('Données projet'!$B$11,Paramètres!$A$1:$I$89,3,0)*0.475*44/12</f>
        <v>3.0832691308782009E-24</v>
      </c>
      <c r="BS197" s="24">
        <f t="shared" si="169"/>
        <v>9.6768713256602953E-2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466.4945858005575</v>
      </c>
      <c r="CE197" s="62">
        <f t="shared" ref="CE197:CE203" si="207">$CE$3</f>
        <v>294.45557293177131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0.10344241761912727</v>
      </c>
      <c r="CM197" s="23">
        <f>EXP(-LN(2)/2)*CM196+(1-EXP(-LN(2)/2))/(LN(2)/2)*CG197*CJ197*VLOOKUP('Données projet'!$B$12,Paramètres!$A$1:$I$89,3,0)*0.475*44/12</f>
        <v>3.2959083812836314E-24</v>
      </c>
      <c r="CN197" s="24">
        <f t="shared" si="172"/>
        <v>0.10344241761912727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335.83558218229564</v>
      </c>
      <c r="CZ197" s="62">
        <f t="shared" ref="CZ197:CZ203" si="208">$CZ$3</f>
        <v>217.08423061559648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8.8426582803447534E-2</v>
      </c>
      <c r="DH197" s="23">
        <f>EXP(-LN(2)/2)*DH196+(1-EXP(-LN(2)/2))/(LN(2)/2)*DB197*DE197*VLOOKUP('Données projet'!$B$13,Paramètres!$A$1:$I$89,3,0)*0.475*44/12</f>
        <v>2.285871941857995E-24</v>
      </c>
      <c r="DI197" s="24">
        <f t="shared" si="175"/>
        <v>8.8426582803447534E-2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4.9658410716801891E-14</v>
      </c>
      <c r="P198" s="14">
        <f t="shared" si="203"/>
        <v>8.0934058173791862E-13</v>
      </c>
      <c r="Q198" s="22">
        <f t="shared" si="162"/>
        <v>1.4960899118586383E-12</v>
      </c>
      <c r="R198" s="62">
        <f t="shared" si="191"/>
        <v>293.33333333333479</v>
      </c>
      <c r="S198" s="62">
        <f ca="1">AVERAGE(OFFSET($R$3,0,0,'Données projet'!$E$9+1,1))-AVERAGE(OFFSET($H$3,0,0,'Données projet'!$E$9+1,1))</f>
        <v>321.62968871874483</v>
      </c>
      <c r="T198" s="62">
        <f t="shared" si="204"/>
        <v>389.91636841473559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0.26371142027628436</v>
      </c>
      <c r="AB198" s="23">
        <f>EXP(-LN(2)/2)*AB197+(1-EXP(-LN(2)/2))/(LN(2)/2)*V198*Y198*VLOOKUP('Données projet'!$B$9,Paramètres!$A$1:$I$89,3,0)*0.475*44/12</f>
        <v>2.6710430706908452E-24</v>
      </c>
      <c r="AC198" s="24">
        <f t="shared" si="163"/>
        <v>0.26371142027628436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405.09126081846171</v>
      </c>
      <c r="AO198" s="62">
        <f t="shared" si="205"/>
        <v>534.22295841722166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1.0042574533558155</v>
      </c>
      <c r="AV198" s="23">
        <f>EXP(-LN(2)/25)*AV197+(1-EXP(-LN(2)/25))/(LN(2)/25)*Calculateur!AQ198*Calculateur!AS198*VLOOKUP('Données projet'!$B$10,Paramètres!$A$1:$I$89,3,0)*0.475*44/12</f>
        <v>0.24625828532920888</v>
      </c>
      <c r="AW198" s="23">
        <f>EXP(-LN(2)/2)*AW197+(1-EXP(-LN(2)/2))/(LN(2)/2)*AQ198*AT198*VLOOKUP('Données projet'!$B$10,Paramètres!$A$1:$I$89,3,0)*0.475*44/12</f>
        <v>1.7311936640077267E-24</v>
      </c>
      <c r="AX198" s="23">
        <f t="shared" si="166"/>
        <v>1.2505157386850243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439.06700232017681</v>
      </c>
      <c r="BJ198" s="62">
        <f t="shared" si="206"/>
        <v>278.21741231699929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9.4122567703755683E-2</v>
      </c>
      <c r="BR198" s="23">
        <f>EXP(-LN(2)/2)*BR197+(1-EXP(-LN(2)/2))/(LN(2)/2)*BL198*BO198*VLOOKUP('Données projet'!$B$11,Paramètres!$A$1:$I$89,3,0)*0.475*44/12</f>
        <v>2.1802005106671286E-24</v>
      </c>
      <c r="BS198" s="24">
        <f t="shared" si="169"/>
        <v>9.4122567703755683E-2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466.4945858005575</v>
      </c>
      <c r="CE198" s="62">
        <f t="shared" si="207"/>
        <v>294.45557293177131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0.10061377926953191</v>
      </c>
      <c r="CM198" s="23">
        <f>EXP(-LN(2)/2)*CM197+(1-EXP(-LN(2)/2))/(LN(2)/2)*CG198*CJ198*VLOOKUP('Données projet'!$B$12,Paramètres!$A$1:$I$89,3,0)*0.475*44/12</f>
        <v>2.3305591665752331E-24</v>
      </c>
      <c r="CN198" s="24">
        <f t="shared" si="172"/>
        <v>0.10061377926953191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335.83558218229564</v>
      </c>
      <c r="CZ198" s="62">
        <f t="shared" si="208"/>
        <v>217.08423061559648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8.6008553246535377E-2</v>
      </c>
      <c r="DH198" s="23">
        <f>EXP(-LN(2)/2)*DH197+(1-EXP(-LN(2)/2))/(LN(2)/2)*DB198*DE198*VLOOKUP('Données projet'!$B$13,Paramètres!$A$1:$I$89,3,0)*0.475*44/12</f>
        <v>1.6163555510118498E-24</v>
      </c>
      <c r="DI198" s="24">
        <f t="shared" si="175"/>
        <v>8.6008553246535377E-2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4.9658410716801891E-14</v>
      </c>
      <c r="P199" s="14">
        <f t="shared" si="203"/>
        <v>8.0934058173791862E-13</v>
      </c>
      <c r="Q199" s="22">
        <f t="shared" si="162"/>
        <v>1.4960899118586383E-12</v>
      </c>
      <c r="R199" s="62">
        <f t="shared" si="191"/>
        <v>293.33333333333479</v>
      </c>
      <c r="S199" s="62">
        <f ca="1">AVERAGE(OFFSET($R$3,0,0,'Données projet'!$E$9+1,1))-AVERAGE(OFFSET($H$3,0,0,'Données projet'!$E$9+1,1))</f>
        <v>321.62968871874483</v>
      </c>
      <c r="T199" s="62">
        <f t="shared" si="204"/>
        <v>389.91636841473559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0.25650021762084851</v>
      </c>
      <c r="AB199" s="23">
        <f>EXP(-LN(2)/2)*AB198+(1-EXP(-LN(2)/2))/(LN(2)/2)*V199*Y199*VLOOKUP('Données projet'!$B$9,Paramètres!$A$1:$I$89,3,0)*0.475*44/12</f>
        <v>1.8887126681268355E-24</v>
      </c>
      <c r="AC199" s="24">
        <f t="shared" si="163"/>
        <v>0.25650021762084851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405.09126081846171</v>
      </c>
      <c r="AO199" s="62">
        <f t="shared" si="205"/>
        <v>534.22295841722166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0.98456457723207158</v>
      </c>
      <c r="AV199" s="23">
        <f>EXP(-LN(2)/25)*AV198+(1-EXP(-LN(2)/25))/(LN(2)/25)*Calculateur!AQ199*Calculateur!AS199*VLOOKUP('Données projet'!$B$10,Paramètres!$A$1:$I$89,3,0)*0.475*44/12</f>
        <v>0.23952433956672126</v>
      </c>
      <c r="AW199" s="23">
        <f>EXP(-LN(2)/2)*AW198+(1-EXP(-LN(2)/2))/(LN(2)/2)*AQ199*AT199*VLOOKUP('Données projet'!$B$10,Paramètres!$A$1:$I$89,3,0)*0.475*44/12</f>
        <v>1.2241387793670491E-24</v>
      </c>
      <c r="AX199" s="23">
        <f t="shared" si="166"/>
        <v>1.2240889167987929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439.06700232017681</v>
      </c>
      <c r="BJ199" s="62">
        <f t="shared" si="206"/>
        <v>278.21741231699929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9.1548781140205773E-2</v>
      </c>
      <c r="BR199" s="23">
        <f>EXP(-LN(2)/2)*BR198+(1-EXP(-LN(2)/2))/(LN(2)/2)*BL199*BO199*VLOOKUP('Données projet'!$B$11,Paramètres!$A$1:$I$89,3,0)*0.475*44/12</f>
        <v>1.5416345654391005E-24</v>
      </c>
      <c r="BS199" s="24">
        <f t="shared" si="169"/>
        <v>9.1548781140205773E-2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466.4945858005575</v>
      </c>
      <c r="CE199" s="62">
        <f t="shared" si="207"/>
        <v>294.45557293177131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9.7862490184357859E-2</v>
      </c>
      <c r="CM199" s="23">
        <f>EXP(-LN(2)/2)*CM198+(1-EXP(-LN(2)/2))/(LN(2)/2)*CG199*CJ199*VLOOKUP('Données projet'!$B$12,Paramètres!$A$1:$I$89,3,0)*0.475*44/12</f>
        <v>1.6479541906418161E-24</v>
      </c>
      <c r="CN199" s="24">
        <f t="shared" si="172"/>
        <v>9.7862490184357859E-2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335.83558218229564</v>
      </c>
      <c r="CZ199" s="62">
        <f t="shared" si="208"/>
        <v>217.08423061559648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8.3656644835015628E-2</v>
      </c>
      <c r="DH199" s="23">
        <f>EXP(-LN(2)/2)*DH198+(1-EXP(-LN(2)/2))/(LN(2)/2)*DB199*DE199*VLOOKUP('Données projet'!$B$13,Paramètres!$A$1:$I$89,3,0)*0.475*44/12</f>
        <v>1.1429359709289975E-24</v>
      </c>
      <c r="DI199" s="24">
        <f t="shared" si="175"/>
        <v>8.3656644835015628E-2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4.9658410716801891E-14</v>
      </c>
      <c r="P200" s="14">
        <f t="shared" si="203"/>
        <v>8.0934058173791862E-13</v>
      </c>
      <c r="Q200" s="22">
        <f t="shared" si="162"/>
        <v>1.4960899118586383E-12</v>
      </c>
      <c r="R200" s="62">
        <f t="shared" si="191"/>
        <v>293.33333333333479</v>
      </c>
      <c r="S200" s="62">
        <f ca="1">AVERAGE(OFFSET($R$3,0,0,'Données projet'!$E$9+1,1))-AVERAGE(OFFSET($H$3,0,0,'Données projet'!$E$9+1,1))</f>
        <v>321.62968871874483</v>
      </c>
      <c r="T200" s="62">
        <f t="shared" si="204"/>
        <v>389.91636841473559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0.24948620568124621</v>
      </c>
      <c r="AB200" s="23">
        <f>EXP(-LN(2)/2)*AB199+(1-EXP(-LN(2)/2))/(LN(2)/2)*V200*Y200*VLOOKUP('Données projet'!$B$9,Paramètres!$A$1:$I$89,3,0)*0.475*44/12</f>
        <v>1.3355215353454226E-24</v>
      </c>
      <c r="AC200" s="24">
        <f t="shared" si="163"/>
        <v>0.24948620568124621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405.09126081846171</v>
      </c>
      <c r="AO200" s="62">
        <f t="shared" si="205"/>
        <v>534.22295841722166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0.96525786639764588</v>
      </c>
      <c r="AV200" s="23">
        <f>EXP(-LN(2)/25)*AV199+(1-EXP(-LN(2)/25))/(LN(2)/25)*Calculateur!AQ200*Calculateur!AS200*VLOOKUP('Données projet'!$B$10,Paramètres!$A$1:$I$89,3,0)*0.475*44/12</f>
        <v>0.23297453390523168</v>
      </c>
      <c r="AW200" s="23">
        <f>EXP(-LN(2)/2)*AW199+(1-EXP(-LN(2)/2))/(LN(2)/2)*AQ200*AT200*VLOOKUP('Données projet'!$B$10,Paramètres!$A$1:$I$89,3,0)*0.475*44/12</f>
        <v>8.6559683200386336E-25</v>
      </c>
      <c r="AX200" s="23">
        <f t="shared" si="166"/>
        <v>1.1982324003028775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439.06700232017681</v>
      </c>
      <c r="BJ200" s="62">
        <f t="shared" si="206"/>
        <v>278.21741231699929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8.9045374905585686E-2</v>
      </c>
      <c r="BR200" s="23">
        <f>EXP(-LN(2)/2)*BR199+(1-EXP(-LN(2)/2))/(LN(2)/2)*BL200*BO200*VLOOKUP('Données projet'!$B$11,Paramètres!$A$1:$I$89,3,0)*0.475*44/12</f>
        <v>1.0901002553335643E-24</v>
      </c>
      <c r="BS200" s="24">
        <f t="shared" si="169"/>
        <v>8.9045374905585686E-2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466.4945858005575</v>
      </c>
      <c r="CE200" s="62">
        <f t="shared" si="207"/>
        <v>294.45557293177131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9.5186435243901898E-2</v>
      </c>
      <c r="CM200" s="23">
        <f>EXP(-LN(2)/2)*CM199+(1-EXP(-LN(2)/2))/(LN(2)/2)*CG200*CJ200*VLOOKUP('Données projet'!$B$12,Paramètres!$A$1:$I$89,3,0)*0.475*44/12</f>
        <v>1.1652795832876167E-24</v>
      </c>
      <c r="CN200" s="24">
        <f t="shared" si="172"/>
        <v>9.5186435243901898E-2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335.83558218229564</v>
      </c>
      <c r="CZ200" s="62">
        <f t="shared" si="208"/>
        <v>217.08423061559648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8.1369049482690373E-2</v>
      </c>
      <c r="DH200" s="23">
        <f>EXP(-LN(2)/2)*DH199+(1-EXP(-LN(2)/2))/(LN(2)/2)*DB200*DE200*VLOOKUP('Données projet'!$B$13,Paramètres!$A$1:$I$89,3,0)*0.475*44/12</f>
        <v>8.0817777550592489E-25</v>
      </c>
      <c r="DI200" s="24">
        <f t="shared" si="175"/>
        <v>8.1369049482690373E-2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4.9658410716801891E-14</v>
      </c>
      <c r="P201" s="14">
        <f t="shared" si="203"/>
        <v>8.0934058173791862E-13</v>
      </c>
      <c r="Q201" s="22">
        <f t="shared" si="162"/>
        <v>1.4960899118586383E-12</v>
      </c>
      <c r="R201" s="62">
        <f t="shared" si="191"/>
        <v>293.33333333333479</v>
      </c>
      <c r="S201" s="62">
        <f ca="1">AVERAGE(OFFSET($R$3,0,0,'Données projet'!$E$9+1,1))-AVERAGE(OFFSET($H$3,0,0,'Données projet'!$E$9+1,1))</f>
        <v>321.62968871874483</v>
      </c>
      <c r="T201" s="62">
        <f t="shared" si="204"/>
        <v>389.91636841473559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0.24266399226698318</v>
      </c>
      <c r="AB201" s="23">
        <f>EXP(-LN(2)/2)*AB200+(1-EXP(-LN(2)/2))/(LN(2)/2)*V201*Y201*VLOOKUP('Données projet'!$B$9,Paramètres!$A$1:$I$89,3,0)*0.475*44/12</f>
        <v>9.4435633406341773E-25</v>
      </c>
      <c r="AC201" s="24">
        <f t="shared" si="163"/>
        <v>0.24266399226698318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405.09126081846171</v>
      </c>
      <c r="AO201" s="62">
        <f t="shared" si="205"/>
        <v>534.22295841722166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0.94632974838675243</v>
      </c>
      <c r="AV201" s="23">
        <f>EXP(-LN(2)/25)*AV200+(1-EXP(-LN(2)/25))/(LN(2)/25)*Calculateur!AQ201*Calculateur!AS201*VLOOKUP('Données projet'!$B$10,Paramètres!$A$1:$I$89,3,0)*0.475*44/12</f>
        <v>0.22660383302399484</v>
      </c>
      <c r="AW201" s="23">
        <f>EXP(-LN(2)/2)*AW200+(1-EXP(-LN(2)/2))/(LN(2)/2)*AQ201*AT201*VLOOKUP('Données projet'!$B$10,Paramètres!$A$1:$I$89,3,0)*0.475*44/12</f>
        <v>6.1206938968352455E-25</v>
      </c>
      <c r="AX201" s="23">
        <f t="shared" si="166"/>
        <v>1.1729335814107473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439.06700232017681</v>
      </c>
      <c r="BJ201" s="62">
        <f t="shared" si="206"/>
        <v>278.21741231699929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8.661042444609969E-2</v>
      </c>
      <c r="BR201" s="23">
        <f>EXP(-LN(2)/2)*BR200+(1-EXP(-LN(2)/2))/(LN(2)/2)*BL201*BO201*VLOOKUP('Données projet'!$B$11,Paramètres!$A$1:$I$89,3,0)*0.475*44/12</f>
        <v>7.7081728271955023E-25</v>
      </c>
      <c r="BS201" s="24">
        <f t="shared" si="169"/>
        <v>8.661042444609969E-2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466.4945858005575</v>
      </c>
      <c r="CE201" s="62">
        <f t="shared" si="207"/>
        <v>294.45557293177131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9.2583557166520322E-2</v>
      </c>
      <c r="CM201" s="23">
        <f>EXP(-LN(2)/2)*CM200+(1-EXP(-LN(2)/2))/(LN(2)/2)*CG201*CJ201*VLOOKUP('Données projet'!$B$12,Paramètres!$A$1:$I$89,3,0)*0.475*44/12</f>
        <v>8.2397709532090812E-25</v>
      </c>
      <c r="CN201" s="24">
        <f t="shared" si="172"/>
        <v>9.2583557166520322E-2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335.83558218229564</v>
      </c>
      <c r="CZ201" s="62">
        <f t="shared" si="208"/>
        <v>217.08423061559648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7.9144008545573866E-2</v>
      </c>
      <c r="DH201" s="23">
        <f>EXP(-LN(2)/2)*DH200+(1-EXP(-LN(2)/2))/(LN(2)/2)*DB201*DE201*VLOOKUP('Données projet'!$B$13,Paramètres!$A$1:$I$89,3,0)*0.475*44/12</f>
        <v>5.7146798546449875E-25</v>
      </c>
      <c r="DI201" s="24">
        <f t="shared" si="175"/>
        <v>7.9144008545573866E-2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4.9658410716801891E-14</v>
      </c>
      <c r="P202" s="14">
        <f t="shared" si="203"/>
        <v>8.0934058173791862E-13</v>
      </c>
      <c r="Q202" s="22">
        <f t="shared" si="162"/>
        <v>1.4960899118586383E-12</v>
      </c>
      <c r="R202" s="62">
        <f t="shared" si="191"/>
        <v>293.33333333333479</v>
      </c>
      <c r="S202" s="62">
        <f ca="1">AVERAGE(OFFSET($R$3,0,0,'Données projet'!$E$9+1,1))-AVERAGE(OFFSET($H$3,0,0,'Données projet'!$E$9+1,1))</f>
        <v>321.62968871874483</v>
      </c>
      <c r="T202" s="62">
        <f t="shared" si="204"/>
        <v>389.91636841473559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0.23602833263729778</v>
      </c>
      <c r="AB202" s="23">
        <f>EXP(-LN(2)/2)*AB201+(1-EXP(-LN(2)/2))/(LN(2)/2)*V202*Y202*VLOOKUP('Données projet'!$B$9,Paramètres!$A$1:$I$89,3,0)*0.475*44/12</f>
        <v>6.6776076767271131E-25</v>
      </c>
      <c r="AC202" s="24">
        <f t="shared" si="163"/>
        <v>0.23602833263729778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405.09126081846171</v>
      </c>
      <c r="AO202" s="62">
        <f t="shared" si="205"/>
        <v>534.22295841722166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0.92777279922504052</v>
      </c>
      <c r="AV202" s="23">
        <f>EXP(-LN(2)/25)*AV201+(1-EXP(-LN(2)/25))/(LN(2)/25)*Calculateur!AQ202*Calculateur!AS202*VLOOKUP('Données projet'!$B$10,Paramètres!$A$1:$I$89,3,0)*0.475*44/12</f>
        <v>0.22040733929337603</v>
      </c>
      <c r="AW202" s="23">
        <f>EXP(-LN(2)/2)*AW201+(1-EXP(-LN(2)/2))/(LN(2)/2)*AQ202*AT202*VLOOKUP('Données projet'!$B$10,Paramètres!$A$1:$I$89,3,0)*0.475*44/12</f>
        <v>4.3279841600193168E-25</v>
      </c>
      <c r="AX202" s="23">
        <f t="shared" si="166"/>
        <v>1.1481801385184165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439.06700232017681</v>
      </c>
      <c r="BJ202" s="62">
        <f t="shared" si="206"/>
        <v>278.21741231699929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8.4242057834976819E-2</v>
      </c>
      <c r="BR202" s="23">
        <f>EXP(-LN(2)/2)*BR201+(1-EXP(-LN(2)/2))/(LN(2)/2)*BL202*BO202*VLOOKUP('Données projet'!$B$11,Paramètres!$A$1:$I$89,3,0)*0.475*44/12</f>
        <v>5.4505012766678214E-25</v>
      </c>
      <c r="BS202" s="24">
        <f t="shared" si="169"/>
        <v>8.4242057834976819E-2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466.4945858005575</v>
      </c>
      <c r="CE202" s="62">
        <f t="shared" si="207"/>
        <v>294.45557293177131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9.005185492704415E-2</v>
      </c>
      <c r="CM202" s="23">
        <f>EXP(-LN(2)/2)*CM201+(1-EXP(-LN(2)/2))/(LN(2)/2)*CG202*CJ202*VLOOKUP('Données projet'!$B$12,Paramètres!$A$1:$I$89,3,0)*0.475*44/12</f>
        <v>5.8263979164380845E-25</v>
      </c>
      <c r="CN202" s="24">
        <f t="shared" si="172"/>
        <v>9.005185492704415E-2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335.83558218229564</v>
      </c>
      <c r="CZ202" s="62">
        <f t="shared" si="208"/>
        <v>217.08423061559648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7.697981146989262E-2</v>
      </c>
      <c r="DH202" s="23">
        <f>EXP(-LN(2)/2)*DH201+(1-EXP(-LN(2)/2))/(LN(2)/2)*DB202*DE202*VLOOKUP('Données projet'!$B$13,Paramètres!$A$1:$I$89,3,0)*0.475*44/12</f>
        <v>4.0408888775296245E-25</v>
      </c>
      <c r="DI202" s="24">
        <f t="shared" si="175"/>
        <v>7.697981146989262E-2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4.9658410716801891E-14</v>
      </c>
      <c r="P203" s="14">
        <f t="shared" si="203"/>
        <v>8.0934058173791862E-13</v>
      </c>
      <c r="Q203" s="22">
        <f t="shared" si="162"/>
        <v>1.4960899118586383E-12</v>
      </c>
      <c r="R203" s="62">
        <f t="shared" si="191"/>
        <v>293.33333333333479</v>
      </c>
      <c r="S203" s="62">
        <f ca="1">AVERAGE(OFFSET($R$3,0,0,'Données projet'!$E$9+1,1))-AVERAGE(OFFSET($H$3,0,0,'Données projet'!$E$9+1,1))</f>
        <v>321.62968871874483</v>
      </c>
      <c r="T203" s="62">
        <f t="shared" si="204"/>
        <v>389.91636841473559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0.2295741254691403</v>
      </c>
      <c r="AB203" s="23">
        <f>EXP(-LN(2)/2)*AB202+(1-EXP(-LN(2)/2))/(LN(2)/2)*V203*Y203*VLOOKUP('Données projet'!$B$9,Paramètres!$A$1:$I$89,3,0)*0.475*44/12</f>
        <v>4.7217816703170886E-25</v>
      </c>
      <c r="AC203" s="24">
        <f t="shared" si="163"/>
        <v>0.2295741254691403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405.09126081846171</v>
      </c>
      <c r="AO203" s="62">
        <f t="shared" si="205"/>
        <v>534.22295841722166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0.90957974051776846</v>
      </c>
      <c r="AV203" s="23">
        <f>EXP(-LN(2)/25)*AV202+(1-EXP(-LN(2)/25))/(LN(2)/25)*Calculateur!AQ203*Calculateur!AS203*VLOOKUP('Données projet'!$B$10,Paramètres!$A$1:$I$89,3,0)*0.475*44/12</f>
        <v>0.21438028900968042</v>
      </c>
      <c r="AW203" s="23">
        <f>EXP(-LN(2)/2)*AW202+(1-EXP(-LN(2)/2))/(LN(2)/2)*AQ203*AT203*VLOOKUP('Données projet'!$B$10,Paramètres!$A$1:$I$89,3,0)*0.475*44/12</f>
        <v>3.0603469484176228E-25</v>
      </c>
      <c r="AX203" s="23">
        <f t="shared" si="166"/>
        <v>1.1239600295274488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439.06700232017681</v>
      </c>
      <c r="BJ203" s="62">
        <f t="shared" si="206"/>
        <v>278.21741231699929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8.1938454333382094E-2</v>
      </c>
      <c r="BR203" s="23">
        <f>EXP(-LN(2)/2)*BR202+(1-EXP(-LN(2)/2))/(LN(2)/2)*BL203*BO203*VLOOKUP('Données projet'!$B$11,Paramètres!$A$1:$I$89,3,0)*0.475*44/12</f>
        <v>3.8540864135977511E-25</v>
      </c>
      <c r="BS203" s="24">
        <f t="shared" si="169"/>
        <v>8.1938454333382094E-2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466.4945858005575</v>
      </c>
      <c r="CE203" s="62">
        <f t="shared" si="207"/>
        <v>294.45557293177131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8.7589382218442896E-2</v>
      </c>
      <c r="CM203" s="23">
        <f>EXP(-LN(2)/2)*CM202+(1-EXP(-LN(2)/2))/(LN(2)/2)*CG203*CJ203*VLOOKUP('Données projet'!$B$12,Paramètres!$A$1:$I$89,3,0)*0.475*44/12</f>
        <v>4.1198854766045415E-25</v>
      </c>
      <c r="CN203" s="24">
        <f t="shared" si="172"/>
        <v>8.7589382218442896E-2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335.83558218229564</v>
      </c>
      <c r="CZ203" s="62">
        <f t="shared" si="208"/>
        <v>217.08423061559648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7.4874794477056056E-2</v>
      </c>
      <c r="DH203" s="23">
        <f>EXP(-LN(2)/2)*DH202+(1-EXP(-LN(2)/2))/(LN(2)/2)*DB203*DE203*VLOOKUP('Données projet'!$B$13,Paramètres!$A$1:$I$89,3,0)*0.475*44/12</f>
        <v>2.8573399273224938E-25</v>
      </c>
      <c r="DI203" s="24">
        <f t="shared" si="175"/>
        <v>7.4874794477056056E-2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1.3467943429205997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1.3539956307764309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1.2392705892426346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23" sqref="M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rouge d'Amérique</v>
      </c>
      <c r="B6" s="155">
        <f>'Données projet'!D9</f>
        <v>0.53649999999999998</v>
      </c>
      <c r="C6" s="156">
        <f ca="1">IF(OR('Données projet'!B9="",'Données projet'!C9="",'Données projet'!C9=0%),0,Calculateur!S3)</f>
        <v>321.62968871874483</v>
      </c>
      <c r="D6" s="156">
        <f>IF(OR('Données projet'!B9="",'Données projet'!C9="",'Données projet'!C9=0%),0,Calculateur!T3)</f>
        <v>389.91636841473559</v>
      </c>
      <c r="E6" s="156">
        <f ca="1">MIN(C6,D6)</f>
        <v>321.62968871874483</v>
      </c>
      <c r="F6" s="156">
        <f ca="1">E6*B6</f>
        <v>172.55432799760661</v>
      </c>
      <c r="G6" s="156">
        <f ca="1">F6*(100%-'Données projet'!$C$24)*(100%-'Données projet'!$C$25)*(100%-'Données projet'!$C$26)*(100%-'Données projet'!$C$27)</f>
        <v>155.29889519784595</v>
      </c>
      <c r="H6" s="157">
        <f>IF(OR('Données projet'!B9="",'Données projet'!C9="",'Données projet'!C9=0%),0,AVERAGE(Calculateur!$AC$3:$AC$33)*B6)</f>
        <v>4.7637416896119227</v>
      </c>
      <c r="I6" s="158">
        <f>H6*(100%-'Données projet'!$C$24)*(100%-'Données projet'!$C$25)*(100%-'Données projet'!$C$26)*(100%-'Données projet'!$C$27)</f>
        <v>4.2873675206507302</v>
      </c>
      <c r="J6" s="159">
        <f>IF(OR('Données projet'!B9="",'Données projet'!C9="",'Données projet'!C9=0%),0,SUM(Calculateur!$V$3:$V$33)*VLOOKUP('Données projet'!$B$9,Paramètres!$A$1:$I$89,9,0)*B6)</f>
        <v>20.387</v>
      </c>
      <c r="K6" s="160">
        <f>J6*(100%-'Données projet'!$C$24)*(100%-'Données projet'!$C$25)*(100%-'Données projet'!$C$26)*(100%-'Données projet'!$C$27)</f>
        <v>18.348300000000002</v>
      </c>
      <c r="L6" s="161">
        <f ca="1">G6+I6+K6</f>
        <v>177.93456271849666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Douglas</v>
      </c>
      <c r="B7" s="163">
        <f>'Données projet'!D10</f>
        <v>0.34799999999999998</v>
      </c>
      <c r="C7" s="156">
        <f ca="1">IF(OR('Données projet'!B10="",'Données projet'!C10="",'Données projet'!C10=0%),0,Calculateur!AN3)</f>
        <v>405.09126081846171</v>
      </c>
      <c r="D7" s="156">
        <f>IF(OR('Données projet'!B10="",'Données projet'!C10="",'Données projet'!C10=0%),0,Calculateur!AO3)</f>
        <v>534.22295841722166</v>
      </c>
      <c r="E7" s="156">
        <f t="shared" ref="E7:E15" ca="1" si="0">MIN(C7,D7)</f>
        <v>405.09126081846171</v>
      </c>
      <c r="F7" s="156">
        <f t="shared" ref="F7:F15" ca="1" si="1">E7*B7</f>
        <v>140.97175876482467</v>
      </c>
      <c r="G7" s="156">
        <f ca="1">F7*(100%-'Données projet'!$C$24)*(100%-'Données projet'!$C$25)*(100%-'Données projet'!$C$26)*(100%-'Données projet'!$C$27)</f>
        <v>126.8745828883422</v>
      </c>
      <c r="H7" s="164">
        <f>IF(OR('Données projet'!B10="",'Données projet'!C10="",'Données projet'!C10=0%),0,AVERAGE(Calculateur!$AX$3:$AX$33)*B7)</f>
        <v>4.6314619113321012</v>
      </c>
      <c r="I7" s="158">
        <f>H7*(100%-'Données projet'!$C$24)*(100%-'Données projet'!$C$25)*(100%-'Données projet'!$C$26)*(100%-'Données projet'!$C$27)</f>
        <v>4.1683157201988914</v>
      </c>
      <c r="J7" s="159">
        <f>IF(OR('Données projet'!B10="",'Données projet'!C10="",'Données projet'!C10=0%),0,SUM(Calculateur!$AQ$3:$AQ$33)*VLOOKUP('Données projet'!$B$10,Paramètres!$A$1:$I$89,9,0)*B7)</f>
        <v>31.002415199999998</v>
      </c>
      <c r="K7" s="160">
        <f>J7*(100%-'Données projet'!$C$24)*(100%-'Données projet'!$C$25)*(100%-'Données projet'!$C$26)*(100%-'Données projet'!$C$27)</f>
        <v>27.902173679999997</v>
      </c>
      <c r="L7" s="161">
        <f t="shared" ref="L7:L15" ca="1" si="2">G7+I7+K7</f>
        <v>158.9450722885411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1.3919999999999999</v>
      </c>
      <c r="C8" s="156">
        <f ca="1">IF(OR('Données projet'!B11="",'Données projet'!C11="",'Données projet'!C11=0%),0,Calculateur!BI3)</f>
        <v>439.06700232017681</v>
      </c>
      <c r="D8" s="156">
        <f>IF(OR('Données projet'!B11="",'Données projet'!C11="",'Données projet'!C11=0%),0,Calculateur!BJ3)</f>
        <v>278.21741231699929</v>
      </c>
      <c r="E8" s="156">
        <f t="shared" ca="1" si="0"/>
        <v>278.21741231699929</v>
      </c>
      <c r="F8" s="156">
        <f t="shared" ca="1" si="1"/>
        <v>387.27863794526297</v>
      </c>
      <c r="G8" s="156">
        <f ca="1">F8*(100%-'Données projet'!$C$24)*(100%-'Données projet'!$C$25)*(100%-'Données projet'!$C$26)*(100%-'Données projet'!$C$27)</f>
        <v>348.55077415073669</v>
      </c>
      <c r="H8" s="164">
        <f>IF(OR('Données projet'!B11="",'Données projet'!C11="",'Données projet'!C11=0%),0,AVERAGE(Calculateur!$BS$3:$BS$33)*B8)</f>
        <v>3.9562139832375141</v>
      </c>
      <c r="I8" s="158">
        <f>H8*(100%-'Données projet'!$C$24)*(100%-'Données projet'!$C$25)*(100%-'Données projet'!$C$26)*(100%-'Données projet'!$C$27)</f>
        <v>3.5605925849137625</v>
      </c>
      <c r="J8" s="159">
        <f>IF(OR('Données projet'!B11="",'Données projet'!C11="",'Données projet'!C11=0%),0,SUM(Calculateur!$BL$3:$BL$33)*VLOOKUP('Données projet'!$B$11,Paramètres!$A$1:$I$89,9,0)*B8)</f>
        <v>21.575999999999997</v>
      </c>
      <c r="K8" s="160">
        <f>J8*(100%-'Données projet'!$C$24)*(100%-'Données projet'!$C$25)*(100%-'Données projet'!$C$26)*(100%-'Données projet'!$C$27)</f>
        <v>19.418399999999998</v>
      </c>
      <c r="L8" s="161">
        <f t="shared" ca="1" si="2"/>
        <v>371.52976673565047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0.20300000000000001</v>
      </c>
      <c r="C9" s="156">
        <f ca="1">IF(OR('Données projet'!B12="",'Données projet'!C12="",'Données projet'!C12=0%),0,Calculateur!CD3)</f>
        <v>466.4945858005575</v>
      </c>
      <c r="D9" s="156">
        <f>IF(OR('Données projet'!B12="",'Données projet'!C12="",'Données projet'!C12=0%),0,Calculateur!CE3)</f>
        <v>294.45557293177131</v>
      </c>
      <c r="E9" s="156">
        <f t="shared" ca="1" si="0"/>
        <v>294.45557293177131</v>
      </c>
      <c r="F9" s="156">
        <f t="shared" ca="1" si="1"/>
        <v>59.774481305149578</v>
      </c>
      <c r="G9" s="156">
        <f ca="1">F9*(100%-'Données projet'!$C$24)*(100%-'Données projet'!$C$25)*(100%-'Données projet'!$C$26)*(100%-'Données projet'!$C$27)</f>
        <v>53.79703317463462</v>
      </c>
      <c r="H9" s="164">
        <f>IF(OR('Données projet'!B12="",'Données projet'!C12="",'Données projet'!C12=0%),0,AVERAGE(Calculateur!$CN$3:$CN$33)*B9)</f>
        <v>0.61673738100757236</v>
      </c>
      <c r="I9" s="158">
        <f>H9*(100%-'Données projet'!$C$24)*(100%-'Données projet'!$C$25)*(100%-'Données projet'!$C$26)*(100%-'Données projet'!$C$27)</f>
        <v>0.55506364290681509</v>
      </c>
      <c r="J9" s="159">
        <f>IF(OR('Données projet'!B12="",'Données projet'!C12="",'Données projet'!C12=0%),0,SUM(Calculateur!$CG$3:$CG$33)*VLOOKUP('Données projet'!$B$12,Paramètres!$A$1:$I$89,9,0)*B9)</f>
        <v>3.1465000000000001</v>
      </c>
      <c r="K9" s="160">
        <f>J9*(100%-'Données projet'!$C$24)*(100%-'Données projet'!$C$25)*(100%-'Données projet'!$C$26)*(100%-'Données projet'!$C$27)</f>
        <v>2.8318500000000002</v>
      </c>
      <c r="L9" s="161">
        <f t="shared" ca="1" si="2"/>
        <v>57.18394681754144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Tilleul</v>
      </c>
      <c r="B10" s="163">
        <f>'Données projet'!D13</f>
        <v>0.40600000000000003</v>
      </c>
      <c r="C10" s="156">
        <f ca="1">IF(OR('Données projet'!B13="",'Données projet'!C13="",'Données projet'!C13=0%),0,Calculateur!CY3)</f>
        <v>335.83558218229564</v>
      </c>
      <c r="D10" s="156">
        <f>IF(OR('Données projet'!B13="",'Données projet'!C13="",'Données projet'!C13=0%),0,Calculateur!CZ3)</f>
        <v>217.08423061559648</v>
      </c>
      <c r="E10" s="156">
        <f t="shared" ca="1" si="0"/>
        <v>217.08423061559648</v>
      </c>
      <c r="F10" s="156">
        <f t="shared" ca="1" si="1"/>
        <v>88.136197629932184</v>
      </c>
      <c r="G10" s="156">
        <f ca="1">F10*(100%-'Données projet'!$C$24)*(100%-'Données projet'!$C$25)*(100%-'Données projet'!$C$26)*(100%-'Données projet'!$C$27)</f>
        <v>79.322577866938971</v>
      </c>
      <c r="H10" s="164">
        <f>IF(OR('Données projet'!B13="",'Données projet'!C13="",'Données projet'!C13=0%),0,AVERAGE(Calculateur!$DI$3:$DI$33)*B10)</f>
        <v>0.91455886724327096</v>
      </c>
      <c r="I10" s="158">
        <f>H10*(100%-'Données projet'!$C$24)*(100%-'Données projet'!$C$25)*(100%-'Données projet'!$C$26)*(100%-'Données projet'!$C$27)</f>
        <v>0.82310298051894393</v>
      </c>
      <c r="J10" s="159">
        <f>IF(OR('Données projet'!B13="",'Données projet'!C13="",'Données projet'!C13=0%),0,SUM(Calculateur!$DB$3:$DB$33)*VLOOKUP('Données projet'!$B$13,Paramètres!$A$1:$I$89,9,0)*B10)</f>
        <v>6.2930000000000001</v>
      </c>
      <c r="K10" s="160">
        <f>J10*(100%-'Données projet'!$C$24)*(100%-'Données projet'!$C$25)*(100%-'Données projet'!$C$26)*(100%-'Données projet'!$C$27)</f>
        <v>5.6637000000000004</v>
      </c>
      <c r="L10" s="161">
        <f t="shared" ca="1" si="2"/>
        <v>85.809380847457916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848.7154036427761</v>
      </c>
      <c r="G16" s="175">
        <f t="shared" ca="1" si="3"/>
        <v>763.84386327849847</v>
      </c>
      <c r="H16" s="176">
        <f t="shared" si="3"/>
        <v>14.882713832432382</v>
      </c>
      <c r="I16" s="176">
        <f t="shared" si="3"/>
        <v>13.394442449189143</v>
      </c>
      <c r="J16" s="177">
        <f t="shared" si="3"/>
        <v>82.404915200000005</v>
      </c>
      <c r="K16" s="177">
        <f t="shared" si="3"/>
        <v>74.164423679999999</v>
      </c>
      <c r="L16" s="178">
        <f t="shared" ca="1" si="3"/>
        <v>851.40272940768762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rouge d'Amérique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Douglas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Tilleul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" zoomScale="90" zoomScaleNormal="90" workbookViewId="0">
      <selection activeCell="C147" sqref="C147:C16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8" t="s">
        <v>315</v>
      </c>
      <c r="I4" s="328"/>
      <c r="K4" s="325" t="s">
        <v>253</v>
      </c>
      <c r="L4" s="326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6" t="s">
        <v>310</v>
      </c>
      <c r="S7" s="337"/>
      <c r="T7" s="337"/>
      <c r="U7" s="337"/>
      <c r="V7" s="338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rouge d'Amérique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1763.8631548071935</v>
      </c>
      <c r="U10" s="190">
        <f>'Données projet'!D9</f>
        <v>0.53649999999999998</v>
      </c>
      <c r="V10" s="189">
        <f>U10*T10</f>
        <v>946.3125825540593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Douglas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2665.6077429178031</v>
      </c>
      <c r="U11" s="190">
        <f>'Données projet'!D10</f>
        <v>0.34799999999999998</v>
      </c>
      <c r="V11" s="189">
        <f t="shared" ref="V11" si="0">U11*T11</f>
        <v>927.6314945353954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910.11277300185668</v>
      </c>
      <c r="U12" s="190">
        <f>'Données projet'!D11</f>
        <v>1.3919999999999999</v>
      </c>
      <c r="V12" s="189">
        <f t="shared" ref="V12:V19" si="1">U12*T12</f>
        <v>1266.8769800185844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910.11277300185668</v>
      </c>
      <c r="U13" s="190">
        <f>'Données projet'!D12</f>
        <v>0.20300000000000001</v>
      </c>
      <c r="V13" s="189">
        <f t="shared" si="1"/>
        <v>184.75289291937693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rouge d'Amérique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Tilleul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910.11277300185668</v>
      </c>
      <c r="U14" s="190">
        <f>'Données projet'!D13</f>
        <v>0.40600000000000003</v>
      </c>
      <c r="V14" s="189">
        <f t="shared" si="1"/>
        <v>369.50578583875387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9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9"/>
      <c r="H16" s="203"/>
      <c r="I16" s="204"/>
      <c r="J16" s="216"/>
      <c r="K16" s="225"/>
      <c r="L16" s="325" t="s">
        <v>254</v>
      </c>
      <c r="M16" s="326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9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9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9"/>
      <c r="H19" s="232" t="s">
        <v>178</v>
      </c>
      <c r="I19" s="232" t="s">
        <v>287</v>
      </c>
      <c r="J19" s="260"/>
      <c r="K19" s="183"/>
      <c r="L19" s="325" t="s">
        <v>288</v>
      </c>
      <c r="M19" s="326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9"/>
      <c r="H20" s="203">
        <v>0</v>
      </c>
      <c r="I20" s="204">
        <v>4532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964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15</v>
      </c>
      <c r="B23" s="193">
        <f>'Données projet'!D36</f>
        <v>21</v>
      </c>
      <c r="C23" s="293">
        <v>5</v>
      </c>
      <c r="D23" s="194">
        <f>B23*C23</f>
        <v>105</v>
      </c>
      <c r="E23" s="206"/>
      <c r="F23" s="261"/>
      <c r="H23" s="203">
        <v>3</v>
      </c>
      <c r="I23" s="204">
        <v>579</v>
      </c>
      <c r="K23" s="225"/>
      <c r="L23" s="327" t="s">
        <v>260</v>
      </c>
      <c r="M23" s="327"/>
      <c r="N23" s="327"/>
      <c r="O23" s="25"/>
      <c r="P23" s="25"/>
      <c r="Q23" s="265"/>
      <c r="R23" s="25"/>
      <c r="S23" s="185" t="s">
        <v>264</v>
      </c>
      <c r="T23" s="34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-18856.556347433132</v>
      </c>
      <c r="U23" s="341"/>
      <c r="V23" s="34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20</v>
      </c>
      <c r="B24" s="193">
        <f>'Données projet'!D37</f>
        <v>43</v>
      </c>
      <c r="C24" s="293">
        <v>7</v>
      </c>
      <c r="D24" s="194">
        <f t="shared" ref="D24:D42" si="2">B24*C24</f>
        <v>301</v>
      </c>
      <c r="E24" s="206"/>
      <c r="F24" s="264"/>
      <c r="H24" s="203">
        <v>4</v>
      </c>
      <c r="I24" s="204">
        <v>1029</v>
      </c>
      <c r="K24" s="225"/>
      <c r="O24" s="25"/>
      <c r="P24" s="25"/>
      <c r="Q24" s="265"/>
      <c r="R24" s="25"/>
      <c r="S24" s="185" t="s">
        <v>261</v>
      </c>
      <c r="T24" s="34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2"/>
      <c r="V24" s="34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44</v>
      </c>
      <c r="C25" s="293">
        <v>9</v>
      </c>
      <c r="D25" s="194">
        <f t="shared" si="2"/>
        <v>396</v>
      </c>
      <c r="E25" s="206"/>
      <c r="F25" s="264"/>
      <c r="G25" s="1"/>
      <c r="H25" s="203">
        <v>5</v>
      </c>
      <c r="I25" s="204">
        <v>514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3">
        <f ca="1">T23-T24</f>
        <v>-18856.556347433132</v>
      </c>
      <c r="U25" s="343"/>
      <c r="V25" s="34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44</v>
      </c>
      <c r="C26" s="293">
        <v>9</v>
      </c>
      <c r="D26" s="194">
        <f t="shared" si="2"/>
        <v>396</v>
      </c>
      <c r="E26" s="206"/>
      <c r="F26" s="264"/>
      <c r="G26" s="259"/>
      <c r="H26" s="203"/>
      <c r="I26" s="204"/>
      <c r="K26" s="225"/>
      <c r="L26" s="330" t="s">
        <v>258</v>
      </c>
      <c r="M26" s="331"/>
      <c r="N26" s="331"/>
      <c r="O26" s="331"/>
      <c r="P26" s="332"/>
      <c r="Q26" s="265"/>
      <c r="R26" s="25"/>
      <c r="S26" s="198" t="s">
        <v>265</v>
      </c>
      <c r="T26" s="340" t="str">
        <f ca="1">IF(T25&lt;0,"Votre projet est additionnel","Votre projet n'est pas additionnel")</f>
        <v>Votre projet est additionnel</v>
      </c>
      <c r="U26" s="340"/>
      <c r="V26" s="34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42</v>
      </c>
      <c r="C27" s="293">
        <v>9</v>
      </c>
      <c r="D27" s="194">
        <f t="shared" si="2"/>
        <v>378</v>
      </c>
      <c r="E27" s="206"/>
      <c r="F27" s="264"/>
      <c r="G27" s="259"/>
      <c r="H27" s="203"/>
      <c r="I27" s="204"/>
      <c r="K27" s="225"/>
      <c r="L27" s="333"/>
      <c r="M27" s="334"/>
      <c r="N27" s="334"/>
      <c r="O27" s="334"/>
      <c r="P27" s="335"/>
      <c r="Q27" s="265"/>
      <c r="R27" s="25"/>
      <c r="S27" s="339" t="s">
        <v>267</v>
      </c>
      <c r="T27" s="339"/>
      <c r="U27" s="339"/>
      <c r="V27" s="33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40</v>
      </c>
      <c r="B28" s="193">
        <f>'Données projet'!D41</f>
        <v>39</v>
      </c>
      <c r="C28" s="293">
        <v>14</v>
      </c>
      <c r="D28" s="194">
        <f t="shared" si="2"/>
        <v>546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45</v>
      </c>
      <c r="B29" s="193">
        <f>'Données projet'!D42</f>
        <v>36</v>
      </c>
      <c r="C29" s="293">
        <v>14</v>
      </c>
      <c r="D29" s="194">
        <f t="shared" si="2"/>
        <v>504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50</v>
      </c>
      <c r="B30" s="193">
        <f>'Données projet'!D43</f>
        <v>33</v>
      </c>
      <c r="C30" s="293">
        <v>14</v>
      </c>
      <c r="D30" s="194">
        <f t="shared" si="2"/>
        <v>462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55</v>
      </c>
      <c r="B31" s="193">
        <f>'Données projet'!D44</f>
        <v>29</v>
      </c>
      <c r="C31" s="293">
        <v>20</v>
      </c>
      <c r="D31" s="194">
        <f t="shared" si="2"/>
        <v>580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60</v>
      </c>
      <c r="B32" s="193">
        <f>'Données projet'!D45</f>
        <v>26</v>
      </c>
      <c r="C32" s="293">
        <v>25</v>
      </c>
      <c r="D32" s="194">
        <f t="shared" si="2"/>
        <v>650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65</v>
      </c>
      <c r="B33" s="193">
        <f>'Données projet'!D46</f>
        <v>23</v>
      </c>
      <c r="C33" s="293">
        <v>30</v>
      </c>
      <c r="D33" s="194">
        <f t="shared" si="2"/>
        <v>690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70</v>
      </c>
      <c r="B34" s="193">
        <f>'Données projet'!D47</f>
        <v>249</v>
      </c>
      <c r="C34" s="293">
        <v>80</v>
      </c>
      <c r="D34" s="194">
        <f t="shared" si="2"/>
        <v>19920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Douglas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17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74.819999999999993</v>
      </c>
      <c r="C55" s="293">
        <v>15</v>
      </c>
      <c r="D55" s="191">
        <f t="shared" ref="D55:D73" si="4">B55*C55</f>
        <v>1122.3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19</v>
      </c>
      <c r="B56" s="193">
        <f>'Données projet'!D64</f>
        <v>0</v>
      </c>
      <c r="C56" s="293">
        <v>20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23</v>
      </c>
      <c r="B57" s="193">
        <f>'Données projet'!D65</f>
        <v>0</v>
      </c>
      <c r="C57" s="293">
        <v>28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24</v>
      </c>
      <c r="B58" s="193">
        <f>'Données projet'!D66</f>
        <v>51.39</v>
      </c>
      <c r="C58" s="293">
        <v>28</v>
      </c>
      <c r="D58" s="191">
        <f t="shared" si="4"/>
        <v>1438.92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26</v>
      </c>
      <c r="B59" s="193">
        <f>'Données projet'!D67</f>
        <v>0</v>
      </c>
      <c r="C59" s="293">
        <v>28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28</v>
      </c>
      <c r="B60" s="193">
        <f>'Données projet'!D68</f>
        <v>0</v>
      </c>
      <c r="C60" s="293">
        <v>35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30</v>
      </c>
      <c r="B61" s="193">
        <f>'Données projet'!D69</f>
        <v>80.97</v>
      </c>
      <c r="C61" s="293">
        <v>35</v>
      </c>
      <c r="D61" s="191">
        <f t="shared" si="4"/>
        <v>2833.95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32</v>
      </c>
      <c r="B62" s="193">
        <f>'Données projet'!D70</f>
        <v>0</v>
      </c>
      <c r="C62" s="293">
        <v>40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34</v>
      </c>
      <c r="B63" s="193">
        <f>'Données projet'!D71</f>
        <v>0</v>
      </c>
      <c r="C63" s="293">
        <v>50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36</v>
      </c>
      <c r="B64" s="193">
        <f>'Données projet'!D72</f>
        <v>85.88</v>
      </c>
      <c r="C64" s="293">
        <v>80</v>
      </c>
      <c r="D64" s="191">
        <f t="shared" si="4"/>
        <v>6870.4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38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40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42</v>
      </c>
      <c r="B67" s="193">
        <f>'Données projet'!D75</f>
        <v>91.25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44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46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48</v>
      </c>
      <c r="B70" s="193">
        <f>'Données projet'!D78</f>
        <v>101.34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50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52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54</v>
      </c>
      <c r="B73" s="193">
        <f>'Données projet'!D81</f>
        <v>707.75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93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93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93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93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str">
        <f>IF(O87+1&lt;=MIN('Données projet'!$E$9:$E$18),O87+1,"STOP")</f>
        <v>STOP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3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93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3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93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93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93">
        <v>20</v>
      </c>
      <c r="D94" s="191">
        <f t="shared" si="6"/>
        <v>560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93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93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93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93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93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93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93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93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93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93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93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93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93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93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93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93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93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93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93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93">
        <v>20</v>
      </c>
      <c r="D125" s="191">
        <f t="shared" si="8"/>
        <v>560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93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93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93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93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93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93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93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93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93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93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Tilleul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7">
        <f>'Données projet'!D140</f>
        <v>6</v>
      </c>
      <c r="C147" s="293">
        <v>4</v>
      </c>
      <c r="D147" s="194">
        <f>B147*C147</f>
        <v>24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7">
        <f>'Données projet'!D141</f>
        <v>28</v>
      </c>
      <c r="C148" s="293">
        <v>8</v>
      </c>
      <c r="D148" s="194">
        <f t="shared" ref="D148:D166" si="10">B148*C148</f>
        <v>224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7">
        <f>'Données projet'!D142</f>
        <v>28</v>
      </c>
      <c r="C149" s="293">
        <v>10</v>
      </c>
      <c r="D149" s="194">
        <f t="shared" si="10"/>
        <v>280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7">
        <f>'Données projet'!D143</f>
        <v>28</v>
      </c>
      <c r="C150" s="293">
        <v>10</v>
      </c>
      <c r="D150" s="194">
        <f t="shared" si="10"/>
        <v>280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7">
        <f>'Données projet'!D144</f>
        <v>28</v>
      </c>
      <c r="C151" s="293">
        <v>10</v>
      </c>
      <c r="D151" s="194">
        <f t="shared" si="10"/>
        <v>280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7">
        <f>'Données projet'!D145</f>
        <v>28</v>
      </c>
      <c r="C152" s="293">
        <v>10</v>
      </c>
      <c r="D152" s="194">
        <f t="shared" si="10"/>
        <v>280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7">
        <f>'Données projet'!D146</f>
        <v>28</v>
      </c>
      <c r="C153" s="293">
        <v>15</v>
      </c>
      <c r="D153" s="194">
        <f t="shared" si="10"/>
        <v>420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7">
        <f>'Données projet'!D147</f>
        <v>28</v>
      </c>
      <c r="C154" s="293">
        <v>15</v>
      </c>
      <c r="D154" s="194">
        <f t="shared" si="10"/>
        <v>420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7">
        <f>'Données projet'!D148</f>
        <v>28</v>
      </c>
      <c r="C155" s="293">
        <v>15</v>
      </c>
      <c r="D155" s="194">
        <f t="shared" si="10"/>
        <v>420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7">
        <f>'Données projet'!D149</f>
        <v>28</v>
      </c>
      <c r="C156" s="293">
        <v>20</v>
      </c>
      <c r="D156" s="194">
        <f t="shared" si="10"/>
        <v>560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7">
        <f>'Données projet'!D150</f>
        <v>28</v>
      </c>
      <c r="C157" s="293">
        <v>20</v>
      </c>
      <c r="D157" s="194">
        <f t="shared" si="10"/>
        <v>560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7">
        <f>'Données projet'!D151</f>
        <v>28</v>
      </c>
      <c r="C158" s="293">
        <v>20</v>
      </c>
      <c r="D158" s="194">
        <f t="shared" si="10"/>
        <v>560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7">
        <f>'Données projet'!D152</f>
        <v>28</v>
      </c>
      <c r="C159" s="293">
        <v>20</v>
      </c>
      <c r="D159" s="194">
        <f t="shared" si="10"/>
        <v>560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7">
        <f>'Données projet'!D153</f>
        <v>28</v>
      </c>
      <c r="C160" s="293">
        <v>20</v>
      </c>
      <c r="D160" s="194">
        <f t="shared" si="10"/>
        <v>560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7">
        <f>'Données projet'!D154</f>
        <v>28</v>
      </c>
      <c r="C161" s="293">
        <v>30</v>
      </c>
      <c r="D161" s="194">
        <f t="shared" si="10"/>
        <v>840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7">
        <f>'Données projet'!D155</f>
        <v>28</v>
      </c>
      <c r="C162" s="293">
        <v>30</v>
      </c>
      <c r="D162" s="194">
        <f t="shared" si="10"/>
        <v>840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7">
        <f>'Données projet'!D156</f>
        <v>27</v>
      </c>
      <c r="C163" s="293">
        <v>40</v>
      </c>
      <c r="D163" s="194">
        <f t="shared" si="10"/>
        <v>1080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7">
        <f>'Données projet'!D157</f>
        <v>26</v>
      </c>
      <c r="C164" s="293">
        <v>50</v>
      </c>
      <c r="D164" s="194">
        <f t="shared" si="10"/>
        <v>1300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7">
        <f>'Données projet'!D158</f>
        <v>25</v>
      </c>
      <c r="C165" s="293">
        <v>70</v>
      </c>
      <c r="D165" s="194">
        <f t="shared" si="10"/>
        <v>1750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7">
        <f>'Données projet'!D159</f>
        <v>330</v>
      </c>
      <c r="C166" s="293">
        <v>150</v>
      </c>
      <c r="D166" s="194">
        <f t="shared" si="10"/>
        <v>49500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2024-06-19T15:06:07Z</dcterms:modified>
</cp:coreProperties>
</file>