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MV (Poitou Touraine Indre)\ORCHES (86) - PLISSON\Formulaires LBC\"/>
    </mc:Choice>
  </mc:AlternateContent>
  <xr:revisionPtr revIDLastSave="0" documentId="13_ncr:1_{32E782F1-45BA-4AA8-AB51-E2908E4265D9}" xr6:coauthVersionLast="36" xr6:coauthVersionMax="36" xr10:uidLastSave="{00000000-0000-0000-0000-000000000000}"/>
  <bookViews>
    <workbookView xWindow="0" yWindow="0" windowWidth="28800" windowHeight="1261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<sst xmlns="http://schemas.openxmlformats.org/spreadsheetml/2006/main" count="1169" uniqueCount="324">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</sst>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1.5109550921021579</c:v>
                </c:pt>
                <c:pt idx="2">
                  <c:v>1.9775804286064893</c:v>
                </c:pt>
                <c:pt idx="3">
                  <c:v>2.588911999566343</c:v>
                </c:pt>
                <c:pt idx="4">
                  <c:v>3.390000599216211</c:v>
                </c:pt>
                <c:pt idx="5">
                  <c:v>4.4399737546633435</c:v>
                </c:pt>
                <c:pt idx="6">
                  <c:v>5.8164490932133672</c:v>
                </c:pt>
                <c:pt idx="7">
                  <c:v>7.6213357142179277</c:v>
                </c:pt>
                <c:pt idx="8">
                  <c:v>9.9884613390279977</c:v>
                </c:pt>
                <c:pt idx="9">
                  <c:v>13.093601444045845</c:v>
                </c:pt>
                <c:pt idx="10">
                  <c:v>17.167668890530937</c:v>
                </c:pt>
                <c:pt idx="11">
                  <c:v>22.514062687526703</c:v>
                </c:pt>
                <c:pt idx="12">
                  <c:v>29.531490833009087</c:v>
                </c:pt>
                <c:pt idx="13">
                  <c:v>38.743998894085912</c:v>
                </c:pt>
                <c:pt idx="14">
                  <c:v>50.84048504496883</c:v>
                </c:pt>
                <c:pt idx="15">
                  <c:v>66.726705791735128</c:v>
                </c:pt>
                <c:pt idx="16">
                  <c:v>87.593730107923307</c:v>
                </c:pt>
                <c:pt idx="17">
                  <c:v>115.00805642383044</c:v>
                </c:pt>
                <c:pt idx="18">
                  <c:v>151.03026345505481</c:v>
                </c:pt>
                <c:pt idx="19">
                  <c:v>198.37124964560135</c:v>
                </c:pt>
                <c:pt idx="20">
                  <c:v>260.59799513306126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C26" sqref="C2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0.6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111</v>
      </c>
      <c r="C9" s="35">
        <v>1</v>
      </c>
      <c r="D9" s="36">
        <f t="shared" ref="D9:D18" si="0">C9*$C$5</f>
        <v>0.6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0.6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I-214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269</v>
      </c>
      <c r="C36" s="63">
        <v>1</v>
      </c>
      <c r="D36" s="63">
        <v>269</v>
      </c>
      <c r="E36" s="54">
        <v>1</v>
      </c>
      <c r="F36" s="54"/>
      <c r="G36" s="54"/>
      <c r="H36" s="54"/>
      <c r="I36" s="52">
        <f>IFERROR(B36/A36,"")</f>
        <v>13.45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I-214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64.058078239935924</v>
      </c>
      <c r="T3" s="62">
        <f>IF('Données projet'!E9&gt;30,$R$33-$H$33,LOOKUP('Données projet'!$E$9,$A$3:$A$203,R3:R203)-LOOKUP('Données projet'!$E$9,$A$3:$A$203,$H$3:$H$203))</f>
        <v>285.04243957750572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13.45</v>
      </c>
      <c r="N4" s="14">
        <f>IF('Données projet'!$A$36&gt;35,N3+M4-V3,IF(A4&lt;'Données projet'!$A$36,$K$205^A4,IF(A4='Données projet'!$A$36,'Données projet'!$B$36,N3+M4-V3)))</f>
        <v>1.3227799820267212</v>
      </c>
      <c r="O4" s="14">
        <f>N4*VLOOKUP('Données projet'!$B$9,Paramètres!$A$1:$I$89,3,0)*VLOOKUP('Données projet'!$B$9,Paramètres!$A$1:$I$89,5,0)</f>
        <v>0.58191736969319519</v>
      </c>
      <c r="P4" s="14">
        <f>EXP(-1.0587+0.8836*LN(O4)+0.284)</f>
        <v>0.28561665448029261</v>
      </c>
      <c r="Q4" s="22">
        <f t="shared" ref="Q4:Q34" si="2">(O4+P4)*0.475*44/12</f>
        <v>1.5109550921021579</v>
      </c>
      <c r="R4" s="62">
        <f t="shared" si="0"/>
        <v>259.39984398099102</v>
      </c>
      <c r="S4" s="62">
        <f ca="1">AVERAGE(OFFSET($R$3,0,0,'Données projet'!$E$9+1,1))-AVERAGE(OFFSET($H$3,0,0,'Données projet'!$E$9+1,1))</f>
        <v>64.058078239935924</v>
      </c>
      <c r="T4" s="62">
        <f>$T$3</f>
        <v>285.04243957750572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13.45</v>
      </c>
      <c r="N5" s="14">
        <f>IF('Données projet'!$A$36&gt;35,N4+M5-V4,IF(A5&lt;'Données projet'!$A$36,$K$205^A5,IF(A5='Données projet'!$A$36,'Données projet'!$B$36,N4+M5-V4)))</f>
        <v>1.7497468808506129</v>
      </c>
      <c r="O5" s="14">
        <f>N5*VLOOKUP('Données projet'!$B$9,Paramètres!$A$1:$I$89,3,0)*VLOOKUP('Données projet'!$B$9,Paramètres!$A$1:$I$89,5,0)</f>
        <v>0.76974864782380159</v>
      </c>
      <c r="P5" s="14">
        <f t="shared" ref="P5:P68" si="33">EXP(-1.0587+0.8836*LN(O5)+0.284)</f>
        <v>0.36570422984499612</v>
      </c>
      <c r="Q5" s="22">
        <f t="shared" si="2"/>
        <v>1.9775804286064893</v>
      </c>
      <c r="R5" s="62">
        <f t="shared" si="0"/>
        <v>261.08869153971762</v>
      </c>
      <c r="S5" s="62">
        <f ca="1">AVERAGE(OFFSET($R$3,0,0,'Données projet'!$E$9+1,1))-AVERAGE(OFFSET($H$3,0,0,'Données projet'!$E$9+1,1))</f>
        <v>64.058078239935924</v>
      </c>
      <c r="T5" s="62">
        <f t="shared" ref="T5:T68" si="34">$T$3</f>
        <v>285.04243957750572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13.45</v>
      </c>
      <c r="N6" s="14">
        <f>IF('Données projet'!$A$36&gt;35,N5+M6-V5,IF(A6&lt;'Données projet'!$A$36,$K$205^A6,IF(A6='Données projet'!$A$36,'Données projet'!$B$36,N5+M6-V5)))</f>
        <v>2.3145301476028854</v>
      </c>
      <c r="O6" s="14">
        <f>N6*VLOOKUP('Données projet'!$B$9,Paramètres!$A$1:$I$89,3,0)*VLOOKUP('Données projet'!$B$9,Paramètres!$A$1:$I$89,5,0)</f>
        <v>1.0182081025334613</v>
      </c>
      <c r="P6" s="14">
        <f t="shared" si="33"/>
        <v>0.46824854793525245</v>
      </c>
      <c r="Q6" s="22">
        <f t="shared" si="2"/>
        <v>2.588911999566343</v>
      </c>
      <c r="R6" s="62">
        <f t="shared" si="0"/>
        <v>262.92224533289965</v>
      </c>
      <c r="S6" s="62">
        <f ca="1">AVERAGE(OFFSET($R$3,0,0,'Données projet'!$E$9+1,1))-AVERAGE(OFFSET($H$3,0,0,'Données projet'!$E$9+1,1))</f>
        <v>64.058078239935924</v>
      </c>
      <c r="T6" s="62">
        <f t="shared" si="34"/>
        <v>285.04243957750572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13.45</v>
      </c>
      <c r="N7" s="14">
        <f>IF('Données projet'!$A$36&gt;35,N6+M7-V6,IF(A7&lt;'Données projet'!$A$36,$K$205^A7,IF(A7='Données projet'!$A$36,'Données projet'!$B$36,N6+M7-V6)))</f>
        <v>3.0616141470464489</v>
      </c>
      <c r="O7" s="14">
        <f>N7*VLOOKUP('Données projet'!$B$9,Paramètres!$A$1:$I$89,3,0)*VLOOKUP('Données projet'!$B$9,Paramètres!$A$1:$I$89,5,0)</f>
        <v>1.3468652955686737</v>
      </c>
      <c r="P7" s="14">
        <f t="shared" si="33"/>
        <v>0.59954653173249983</v>
      </c>
      <c r="Q7" s="22">
        <f t="shared" si="2"/>
        <v>3.390000599216211</v>
      </c>
      <c r="R7" s="62">
        <f t="shared" si="0"/>
        <v>264.94555615477174</v>
      </c>
      <c r="S7" s="62">
        <f ca="1">AVERAGE(OFFSET($R$3,0,0,'Données projet'!$E$9+1,1))-AVERAGE(OFFSET($H$3,0,0,'Données projet'!$E$9+1,1))</f>
        <v>64.058078239935924</v>
      </c>
      <c r="T7" s="62">
        <f t="shared" si="34"/>
        <v>285.04243957750572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13.45</v>
      </c>
      <c r="N8" s="14">
        <f>IF('Données projet'!$A$36&gt;35,N7+M8-V7,IF(A8&lt;'Données projet'!$A$36,$K$205^A8,IF(A8='Données projet'!$A$36,'Données projet'!$B$36,N7+M8-V7)))</f>
        <v>4.0498419064028566</v>
      </c>
      <c r="O8" s="14">
        <f>N8*VLOOKUP('Données projet'!$B$9,Paramètres!$A$1:$I$89,3,0)*VLOOKUP('Données projet'!$B$9,Paramètres!$A$1:$I$89,5,0)</f>
        <v>1.7816064514647445</v>
      </c>
      <c r="P8" s="14">
        <f t="shared" si="33"/>
        <v>0.76766077609315642</v>
      </c>
      <c r="Q8" s="22">
        <f t="shared" si="2"/>
        <v>4.4399737546633435</v>
      </c>
      <c r="R8" s="62">
        <f t="shared" si="0"/>
        <v>267.21775153244113</v>
      </c>
      <c r="S8" s="62">
        <f ca="1">AVERAGE(OFFSET($R$3,0,0,'Données projet'!$E$9+1,1))-AVERAGE(OFFSET($H$3,0,0,'Données projet'!$E$9+1,1))</f>
        <v>64.058078239935924</v>
      </c>
      <c r="T8" s="62">
        <f t="shared" si="34"/>
        <v>285.04243957750572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13.45</v>
      </c>
      <c r="N9" s="14">
        <f>IF('Données projet'!$A$36&gt;35,N8+M9-V8,IF(A9&lt;'Données projet'!$A$36,$K$205^A9,IF(A9='Données projet'!$A$36,'Données projet'!$B$36,N8+M9-V8)))</f>
        <v>5.3570498041626333</v>
      </c>
      <c r="O9" s="14">
        <f>N9*VLOOKUP('Données projet'!$B$9,Paramètres!$A$1:$I$89,3,0)*VLOOKUP('Données projet'!$B$9,Paramètres!$A$1:$I$89,5,0)</f>
        <v>2.3566733498472257</v>
      </c>
      <c r="P9" s="14">
        <f t="shared" si="33"/>
        <v>0.98291464625614267</v>
      </c>
      <c r="Q9" s="22">
        <f t="shared" si="2"/>
        <v>5.8164490932133672</v>
      </c>
      <c r="R9" s="62">
        <f t="shared" si="0"/>
        <v>269.81644909321335</v>
      </c>
      <c r="S9" s="62">
        <f ca="1">AVERAGE(OFFSET($R$3,0,0,'Données projet'!$E$9+1,1))-AVERAGE(OFFSET($H$3,0,0,'Données projet'!$E$9+1,1))</f>
        <v>64.058078239935924</v>
      </c>
      <c r="T9" s="62">
        <f t="shared" si="34"/>
        <v>285.04243957750572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13.45</v>
      </c>
      <c r="N10" s="14">
        <f>IF('Données projet'!$A$36&gt;35,N9+M10-V9,IF(A10&lt;'Données projet'!$A$36,$K$205^A10,IF(A10='Données projet'!$A$36,'Données projet'!$B$36,N9+M10-V9)))</f>
        <v>7.0861982436664999</v>
      </c>
      <c r="O10" s="14">
        <f>N10*VLOOKUP('Données projet'!$B$9,Paramètres!$A$1:$I$89,3,0)*VLOOKUP('Données projet'!$B$9,Paramètres!$A$1:$I$89,5,0)</f>
        <v>3.1173603313537663</v>
      </c>
      <c r="P10" s="14">
        <f t="shared" si="33"/>
        <v>1.2585262031254265</v>
      </c>
      <c r="Q10" s="22">
        <f t="shared" si="2"/>
        <v>7.6213357142179277</v>
      </c>
      <c r="R10" s="62">
        <f t="shared" si="0"/>
        <v>272.84355793644016</v>
      </c>
      <c r="S10" s="62">
        <f ca="1">AVERAGE(OFFSET($R$3,0,0,'Données projet'!$E$9+1,1))-AVERAGE(OFFSET($H$3,0,0,'Données projet'!$E$9+1,1))</f>
        <v>64.058078239935924</v>
      </c>
      <c r="T10" s="62">
        <f t="shared" si="34"/>
        <v>285.04243957750572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13.45</v>
      </c>
      <c r="N11" s="14">
        <f>IF('Données projet'!$A$36&gt;35,N10+M11-V10,IF(A11&lt;'Données projet'!$A$36,$K$205^A11,IF(A11='Données projet'!$A$36,'Données projet'!$B$36,N10+M11-V10)))</f>
        <v>9.3734811853949545</v>
      </c>
      <c r="O11" s="14">
        <f>N11*VLOOKUP('Données projet'!$B$9,Paramètres!$A$1:$I$89,3,0)*VLOOKUP('Données projet'!$B$9,Paramètres!$A$1:$I$89,5,0)</f>
        <v>4.1235818430789486</v>
      </c>
      <c r="P11" s="14">
        <f t="shared" si="33"/>
        <v>1.6114198826787536</v>
      </c>
      <c r="Q11" s="22">
        <f t="shared" si="2"/>
        <v>9.9884613390279977</v>
      </c>
      <c r="R11" s="62">
        <f t="shared" si="0"/>
        <v>276.43290578347245</v>
      </c>
      <c r="S11" s="62">
        <f ca="1">AVERAGE(OFFSET($R$3,0,0,'Données projet'!$E$9+1,1))-AVERAGE(OFFSET($H$3,0,0,'Données projet'!$E$9+1,1))</f>
        <v>64.058078239935924</v>
      </c>
      <c r="T11" s="62">
        <f t="shared" si="34"/>
        <v>285.04243957750572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13.45</v>
      </c>
      <c r="N12" s="14">
        <f>IF('Données projet'!$A$36&gt;35,N11+M12-V11,IF(A12&lt;'Données projet'!$A$36,$K$205^A12,IF(A12='Données projet'!$A$36,'Données projet'!$B$36,N11+M12-V11)))</f>
        <v>12.399053273944547</v>
      </c>
      <c r="O12" s="14">
        <f>N12*VLOOKUP('Données projet'!$B$9,Paramètres!$A$1:$I$89,3,0)*VLOOKUP('Données projet'!$B$9,Paramètres!$A$1:$I$89,5,0)</f>
        <v>5.4545915162736849</v>
      </c>
      <c r="P12" s="14">
        <f t="shared" si="33"/>
        <v>2.0632657721736911</v>
      </c>
      <c r="Q12" s="22">
        <f t="shared" si="2"/>
        <v>13.093601444045845</v>
      </c>
      <c r="R12" s="62">
        <f t="shared" si="0"/>
        <v>280.76026811071256</v>
      </c>
      <c r="S12" s="62">
        <f ca="1">AVERAGE(OFFSET($R$3,0,0,'Données projet'!$E$9+1,1))-AVERAGE(OFFSET($H$3,0,0,'Données projet'!$E$9+1,1))</f>
        <v>64.058078239935924</v>
      </c>
      <c r="T12" s="62">
        <f t="shared" si="34"/>
        <v>285.04243957750572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13.45</v>
      </c>
      <c r="N13" s="14">
        <f>IF('Données projet'!$A$36&gt;35,N12+M13-V12,IF(A13&lt;'Données projet'!$A$36,$K$205^A13,IF(A13='Données projet'!$A$36,'Données projet'!$B$36,N12+M13-V12)))</f>
        <v>16.401219466856727</v>
      </c>
      <c r="O13" s="14">
        <f>N13*VLOOKUP('Données projet'!$B$9,Paramètres!$A$1:$I$89,3,0)*VLOOKUP('Données projet'!$B$9,Paramètres!$A$1:$I$89,5,0)</f>
        <v>7.2152244678596107</v>
      </c>
      <c r="P13" s="14">
        <f t="shared" si="33"/>
        <v>2.6418103018232224</v>
      </c>
      <c r="Q13" s="22">
        <f t="shared" si="2"/>
        <v>17.167668890530937</v>
      </c>
      <c r="R13" s="62">
        <f t="shared" si="0"/>
        <v>286.05655777941979</v>
      </c>
      <c r="S13" s="62">
        <f ca="1">AVERAGE(OFFSET($R$3,0,0,'Données projet'!$E$9+1,1))-AVERAGE(OFFSET($H$3,0,0,'Données projet'!$E$9+1,1))</f>
        <v>64.058078239935924</v>
      </c>
      <c r="T13" s="62">
        <f t="shared" si="34"/>
        <v>285.04243957750572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13.45</v>
      </c>
      <c r="N14" s="14">
        <f>IF('Données projet'!$A$36&gt;35,N13+M14-V13,IF(A14&lt;'Données projet'!$A$36,$K$205^A14,IF(A14='Données projet'!$A$36,'Données projet'!$B$36,N13+M14-V13)))</f>
        <v>21.695204791585052</v>
      </c>
      <c r="O14" s="14">
        <f>N14*VLOOKUP('Données projet'!$B$9,Paramètres!$A$1:$I$89,3,0)*VLOOKUP('Données projet'!$B$9,Paramètres!$A$1:$I$89,5,0)</f>
        <v>9.5441544919140959</v>
      </c>
      <c r="P14" s="14">
        <f t="shared" si="33"/>
        <v>3.3825800655175033</v>
      </c>
      <c r="Q14" s="22">
        <f t="shared" si="2"/>
        <v>22.514062687526703</v>
      </c>
      <c r="R14" s="62">
        <f t="shared" si="0"/>
        <v>292.62517379863783</v>
      </c>
      <c r="S14" s="62">
        <f ca="1">AVERAGE(OFFSET($R$3,0,0,'Données projet'!$E$9+1,1))-AVERAGE(OFFSET($H$3,0,0,'Données projet'!$E$9+1,1))</f>
        <v>64.058078239935924</v>
      </c>
      <c r="T14" s="62">
        <f t="shared" si="34"/>
        <v>285.04243957750572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13.45</v>
      </c>
      <c r="N15" s="14">
        <f>IF('Données projet'!$A$36&gt;35,N14+M15-V14,IF(A15&lt;'Données projet'!$A$36,$K$205^A15,IF(A15='Données projet'!$A$36,'Données projet'!$B$36,N14+M15-V14)))</f>
        <v>28.697982604278909</v>
      </c>
      <c r="O15" s="14">
        <f>N15*VLOOKUP('Données projet'!$B$9,Paramètres!$A$1:$I$89,3,0)*VLOOKUP('Données projet'!$B$9,Paramètres!$A$1:$I$89,5,0)</f>
        <v>12.624816507274376</v>
      </c>
      <c r="P15" s="14">
        <f t="shared" si="33"/>
        <v>4.3310633968456784</v>
      </c>
      <c r="Q15" s="22">
        <f t="shared" si="2"/>
        <v>29.531490833009087</v>
      </c>
      <c r="R15" s="62">
        <f t="shared" si="0"/>
        <v>300.86482416634237</v>
      </c>
      <c r="S15" s="62">
        <f ca="1">AVERAGE(OFFSET($R$3,0,0,'Données projet'!$E$9+1,1))-AVERAGE(OFFSET($H$3,0,0,'Données projet'!$E$9+1,1))</f>
        <v>64.058078239935924</v>
      </c>
      <c r="T15" s="62">
        <f t="shared" si="34"/>
        <v>285.04243957750572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13.45</v>
      </c>
      <c r="N16" s="14">
        <f>IF('Données projet'!$A$36&gt;35,N15+M16-V15,IF(A16&lt;'Données projet'!$A$36,$K$205^A16,IF(A16='Données projet'!$A$36,'Données projet'!$B$36,N15+M16-V15)))</f>
        <v>37.96111691349121</v>
      </c>
      <c r="O16" s="14">
        <f>N16*VLOOKUP('Données projet'!$B$9,Paramètres!$A$1:$I$89,3,0)*VLOOKUP('Données projet'!$B$9,Paramètres!$A$1:$I$89,5,0)</f>
        <v>16.699854552583052</v>
      </c>
      <c r="P16" s="14">
        <f t="shared" si="33"/>
        <v>5.545503664116997</v>
      </c>
      <c r="Q16" s="22">
        <f t="shared" si="2"/>
        <v>38.743998894085912</v>
      </c>
      <c r="R16" s="62">
        <f t="shared" si="0"/>
        <v>311.29955444964145</v>
      </c>
      <c r="S16" s="62">
        <f ca="1">AVERAGE(OFFSET($R$3,0,0,'Données projet'!$E$9+1,1))-AVERAGE(OFFSET($H$3,0,0,'Données projet'!$E$9+1,1))</f>
        <v>64.058078239935924</v>
      </c>
      <c r="T16" s="62">
        <f t="shared" si="34"/>
        <v>285.04243957750572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13.45</v>
      </c>
      <c r="N17" s="14">
        <f>IF('Données projet'!$A$36&gt;35,N16+M17-V16,IF(A17&lt;'Données projet'!$A$36,$K$205^A17,IF(A17='Données projet'!$A$36,'Données projet'!$B$36,N16+M17-V16)))</f>
        <v>50.214205548542168</v>
      </c>
      <c r="O17" s="14">
        <f>N17*VLOOKUP('Données projet'!$B$9,Paramètres!$A$1:$I$89,3,0)*VLOOKUP('Données projet'!$B$9,Paramètres!$A$1:$I$89,5,0)</f>
        <v>22.090233304914669</v>
      </c>
      <c r="P17" s="14">
        <f t="shared" si="33"/>
        <v>7.1004758118138485</v>
      </c>
      <c r="Q17" s="22">
        <f t="shared" si="2"/>
        <v>50.84048504496883</v>
      </c>
      <c r="R17" s="62">
        <f t="shared" si="0"/>
        <v>324.6182628227466</v>
      </c>
      <c r="S17" s="62">
        <f ca="1">AVERAGE(OFFSET($R$3,0,0,'Données projet'!$E$9+1,1))-AVERAGE(OFFSET($H$3,0,0,'Données projet'!$E$9+1,1))</f>
        <v>64.058078239935924</v>
      </c>
      <c r="T17" s="62">
        <f t="shared" si="34"/>
        <v>285.04243957750572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13.45</v>
      </c>
      <c r="N18" s="14">
        <f>IF('Données projet'!$A$36&gt;35,N17+M18-V17,IF(A18&lt;'Données projet'!$A$36,$K$205^A18,IF(A18='Données projet'!$A$36,'Données projet'!$B$36,N17+M18-V17)))</f>
        <v>66.422345912986714</v>
      </c>
      <c r="O18" s="14">
        <f>N18*VLOOKUP('Données projet'!$B$9,Paramètres!$A$1:$I$89,3,0)*VLOOKUP('Données projet'!$B$9,Paramètres!$A$1:$I$89,5,0)</f>
        <v>29.220518414041113</v>
      </c>
      <c r="P18" s="14">
        <f t="shared" si="33"/>
        <v>9.0914657726010688</v>
      </c>
      <c r="Q18" s="22">
        <f t="shared" si="2"/>
        <v>66.726705791735128</v>
      </c>
      <c r="R18" s="62">
        <f t="shared" si="0"/>
        <v>341.72670579173513</v>
      </c>
      <c r="S18" s="62">
        <f ca="1">AVERAGE(OFFSET($R$3,0,0,'Données projet'!$E$9+1,1))-AVERAGE(OFFSET($H$3,0,0,'Données projet'!$E$9+1,1))</f>
        <v>64.058078239935924</v>
      </c>
      <c r="T18" s="62">
        <f t="shared" si="34"/>
        <v>285.04243957750572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13.45</v>
      </c>
      <c r="N19" s="14">
        <f>IF('Données projet'!$A$36&gt;35,N18+M19-V18,IF(A19&lt;'Données projet'!$A$36,$K$205^A19,IF(A19='Données projet'!$A$36,'Données projet'!$B$36,N18+M19-V18)))</f>
        <v>87.862149532953197</v>
      </c>
      <c r="O19" s="14">
        <f>N19*VLOOKUP('Données projet'!$B$9,Paramètres!$A$1:$I$89,3,0)*VLOOKUP('Données projet'!$B$9,Paramètres!$A$1:$I$89,5,0)</f>
        <v>38.652316822536768</v>
      </c>
      <c r="P19" s="14">
        <f t="shared" si="33"/>
        <v>11.640733957132124</v>
      </c>
      <c r="Q19" s="22">
        <f t="shared" si="2"/>
        <v>87.593730107923307</v>
      </c>
      <c r="R19" s="62">
        <f t="shared" si="0"/>
        <v>363.81595233014554</v>
      </c>
      <c r="S19" s="62">
        <f ca="1">AVERAGE(OFFSET($R$3,0,0,'Données projet'!$E$9+1,1))-AVERAGE(OFFSET($H$3,0,0,'Données projet'!$E$9+1,1))</f>
        <v>64.058078239935924</v>
      </c>
      <c r="T19" s="62">
        <f t="shared" si="34"/>
        <v>285.04243957750572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13.45</v>
      </c>
      <c r="N20" s="14">
        <f>IF('Données projet'!$A$36&gt;35,N19+M20-V19,IF(A20&lt;'Données projet'!$A$36,$K$205^A20,IF(A20='Données projet'!$A$36,'Données projet'!$B$36,N19+M20-V19)))</f>
        <v>116.22229258002892</v>
      </c>
      <c r="O20" s="14">
        <f>N20*VLOOKUP('Données projet'!$B$9,Paramètres!$A$1:$I$89,3,0)*VLOOKUP('Données projet'!$B$9,Paramètres!$A$1:$I$89,5,0)</f>
        <v>51.128510951806327</v>
      </c>
      <c r="P20" s="14">
        <f t="shared" si="33"/>
        <v>14.904822880058045</v>
      </c>
      <c r="Q20" s="22">
        <f t="shared" si="2"/>
        <v>115.00805642383044</v>
      </c>
      <c r="R20" s="62">
        <f t="shared" si="0"/>
        <v>392.45250086827491</v>
      </c>
      <c r="S20" s="62">
        <f ca="1">AVERAGE(OFFSET($R$3,0,0,'Données projet'!$E$9+1,1))-AVERAGE(OFFSET($H$3,0,0,'Données projet'!$E$9+1,1))</f>
        <v>64.058078239935924</v>
      </c>
      <c r="T20" s="62">
        <f t="shared" si="34"/>
        <v>285.04243957750572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13.45</v>
      </c>
      <c r="N21" s="14">
        <f>IF('Données projet'!$A$36&gt;35,N20+M21-V20,IF(A21&lt;'Données projet'!$A$36,$K$205^A21,IF(A21='Données projet'!$A$36,'Données projet'!$B$36,N20+M21-V20)))</f>
        <v>153.73652209011499</v>
      </c>
      <c r="O21" s="14">
        <f>N21*VLOOKUP('Données projet'!$B$9,Paramètres!$A$1:$I$89,3,0)*VLOOKUP('Données projet'!$B$9,Paramètres!$A$1:$I$89,5,0)</f>
        <v>67.631770797883377</v>
      </c>
      <c r="P21" s="14">
        <f t="shared" si="33"/>
        <v>19.08416994186101</v>
      </c>
      <c r="Q21" s="22">
        <f t="shared" si="2"/>
        <v>151.03026345505481</v>
      </c>
      <c r="R21" s="62">
        <f t="shared" si="0"/>
        <v>429.69693012172149</v>
      </c>
      <c r="S21" s="62">
        <f ca="1">AVERAGE(OFFSET($R$3,0,0,'Données projet'!$E$9+1,1))-AVERAGE(OFFSET($H$3,0,0,'Données projet'!$E$9+1,1))</f>
        <v>64.058078239935924</v>
      </c>
      <c r="T21" s="62">
        <f t="shared" si="34"/>
        <v>285.04243957750572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13.45</v>
      </c>
      <c r="N22" s="14">
        <f>IF('Données projet'!$A$36&gt;35,N21+M22-V21,IF(A22&lt;'Données projet'!$A$36,$K$205^A22,IF(A22='Données projet'!$A$36,'Données projet'!$B$36,N21+M22-V21)))</f>
        <v>203.35959392721296</v>
      </c>
      <c r="O22" s="14">
        <f>N22*VLOOKUP('Données projet'!$B$9,Paramètres!$A$1:$I$89,3,0)*VLOOKUP('Données projet'!$B$9,Paramètres!$A$1:$I$89,5,0)</f>
        <v>89.461952560459522</v>
      </c>
      <c r="P22" s="14">
        <f t="shared" si="33"/>
        <v>24.435415657110649</v>
      </c>
      <c r="Q22" s="22">
        <f t="shared" si="2"/>
        <v>198.37124964560135</v>
      </c>
      <c r="R22" s="62">
        <f t="shared" si="0"/>
        <v>478.26013853449024</v>
      </c>
      <c r="S22" s="62">
        <f ca="1">AVERAGE(OFFSET($R$3,0,0,'Données projet'!$E$9+1,1))-AVERAGE(OFFSET($H$3,0,0,'Données projet'!$E$9+1,1))</f>
        <v>64.058078239935924</v>
      </c>
      <c r="T22" s="62">
        <f t="shared" si="34"/>
        <v>285.04243957750572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269</v>
      </c>
      <c r="L23" s="13">
        <f>VLOOKUP(A23,'Données projet'!$A$35:$I$55,9,0)</f>
        <v>13.45</v>
      </c>
      <c r="M23" s="13">
        <f t="array" ref="M23">INDEX(L:L,MIN(IF(ISNUMBER(L23:L219),ROW(L23:L219),"")))</f>
        <v>13.45</v>
      </c>
      <c r="N23" s="14">
        <f>IF('Données projet'!$A$36&gt;35,N22+M23-V22,IF(A23&lt;'Données projet'!$A$36,$K$205^A23,IF(A23='Données projet'!$A$36,'Données projet'!$B$36,N22+M23-V22)))</f>
        <v>269</v>
      </c>
      <c r="O23" s="14">
        <f>N23*VLOOKUP('Données projet'!$B$9,Paramètres!$A$1:$I$89,3,0)*VLOOKUP('Données projet'!$B$9,Paramètres!$A$1:$I$89,5,0)</f>
        <v>118.33847999999999</v>
      </c>
      <c r="P23" s="14">
        <f t="shared" si="33"/>
        <v>31.287163138599794</v>
      </c>
      <c r="Q23" s="22">
        <f t="shared" si="2"/>
        <v>260.59799513306126</v>
      </c>
      <c r="R23" s="62">
        <f t="shared" si="0"/>
        <v>541.7091062441724</v>
      </c>
      <c r="S23" s="62">
        <f ca="1">AVERAGE(OFFSET($R$3,0,0,'Données projet'!$E$9+1,1))-AVERAGE(OFFSET($H$3,0,0,'Données projet'!$E$9+1,1))</f>
        <v>64.058078239935924</v>
      </c>
      <c r="T23" s="62">
        <f t="shared" si="34"/>
        <v>285.04243957750572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269</v>
      </c>
      <c r="W23" s="17">
        <f>IF(ISNA(VLOOKUP(A23,'Données projet'!$A$35:$I$55,5,0)),0%,VLOOKUP(A23,'Données projet'!$A$35:$I$55,5,0)*VLOOKUP('Données projet'!$B$9,Paramètres!$A$1:$I$89,7,0))</f>
        <v>0.6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78.491810639371451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78.491810639371451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64.058078239935924</v>
      </c>
      <c r="T24" s="62">
        <f t="shared" si="34"/>
        <v>285.04243957750572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76.952634108010571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76.952634108010571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64.058078239935924</v>
      </c>
      <c r="T25" s="62">
        <f t="shared" si="34"/>
        <v>285.04243957750572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75.443639889624691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75.443639889624691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64.058078239935924</v>
      </c>
      <c r="T26" s="62">
        <f t="shared" si="34"/>
        <v>285.04243957750572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73.964236127465767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73.964236127465767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64.058078239935924</v>
      </c>
      <c r="T27" s="62">
        <f t="shared" si="34"/>
        <v>285.04243957750572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72.513842570735591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72.513842570735591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64.058078239935924</v>
      </c>
      <c r="T28" s="62">
        <f t="shared" si="34"/>
        <v>285.04243957750572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71.091890347000174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71.091890347000174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64.058078239935924</v>
      </c>
      <c r="T29" s="62">
        <f t="shared" si="34"/>
        <v>285.04243957750572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69.697821739066995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69.697821739066995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64.058078239935924</v>
      </c>
      <c r="T30" s="62">
        <f t="shared" si="34"/>
        <v>285.04243957750572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68.331089966237499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68.331089966237499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64.058078239935924</v>
      </c>
      <c r="T31" s="62">
        <f t="shared" si="34"/>
        <v>285.04243957750572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66.99115896984911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66.99115896984911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64.058078239935924</v>
      </c>
      <c r="T32" s="62">
        <f t="shared" si="34"/>
        <v>285.04243957750572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65.677503203022695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65.677503203022695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64.058078239935924</v>
      </c>
      <c r="T33" s="62">
        <f t="shared" si="34"/>
        <v>285.04243957750572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64.389607424532841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64.389607424532841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64.058078239935924</v>
      </c>
      <c r="T34" s="62">
        <f t="shared" si="34"/>
        <v>285.04243957750572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63.126966496720314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63.126966496720314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64.058078239935924</v>
      </c>
      <c r="T35" s="62">
        <f t="shared" si="34"/>
        <v>285.04243957750572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61.889085187367272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61.889085187367272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64.058078239935924</v>
      </c>
      <c r="T36" s="62">
        <f t="shared" si="34"/>
        <v>285.04243957750572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60.675477975457596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60.675477975457596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64.058078239935924</v>
      </c>
      <c r="T37" s="62">
        <f t="shared" si="34"/>
        <v>285.04243957750572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59.485668860746166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59.485668860746166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64.058078239935924</v>
      </c>
      <c r="T38" s="62">
        <f t="shared" si="34"/>
        <v>285.04243957750572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58.319191177062322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58.319191177062322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64.058078239935924</v>
      </c>
      <c r="T39" s="62">
        <f t="shared" si="34"/>
        <v>285.04243957750572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57.175587409274385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57.175587409274385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64.058078239935924</v>
      </c>
      <c r="T40" s="62">
        <f t="shared" si="34"/>
        <v>285.04243957750572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56.054409013843348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56.054409013843348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64.058078239935924</v>
      </c>
      <c r="T41" s="62">
        <f t="shared" si="34"/>
        <v>285.04243957750572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54.955216242895418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54.955216242895418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64.058078239935924</v>
      </c>
      <c r="T42" s="62">
        <f t="shared" si="34"/>
        <v>285.04243957750572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53.877577971744387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53.877577971744387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64.058078239935924</v>
      </c>
      <c r="T43" s="62">
        <f t="shared" si="34"/>
        <v>285.04243957750572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52.821071529796178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52.821071529796178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64.058078239935924</v>
      </c>
      <c r="T44" s="62">
        <f t="shared" si="34"/>
        <v>285.04243957750572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51.78528253476928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51.78528253476928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64.058078239935924</v>
      </c>
      <c r="T45" s="62">
        <f t="shared" si="34"/>
        <v>285.04243957750572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50.769804730165951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50.769804730165951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64.058078239935924</v>
      </c>
      <c r="T46" s="62">
        <f t="shared" si="34"/>
        <v>285.04243957750572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49.774239825930593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49.774239825930593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64.058078239935924</v>
      </c>
      <c r="T47" s="62">
        <f t="shared" si="34"/>
        <v>285.04243957750572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48.798197342232655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48.798197342232655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64.058078239935924</v>
      </c>
      <c r="T48" s="62">
        <f t="shared" si="34"/>
        <v>285.04243957750572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47.841294456312902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47.841294456312902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64.058078239935924</v>
      </c>
      <c r="T49" s="62">
        <f t="shared" si="34"/>
        <v>285.04243957750572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46.903155852332908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46.903155852332908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64.058078239935924</v>
      </c>
      <c r="T50" s="62">
        <f t="shared" si="34"/>
        <v>285.04243957750572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45.983413574168914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45.983413574168914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64.058078239935924</v>
      </c>
      <c r="T51" s="62">
        <f t="shared" si="34"/>
        <v>285.04243957750572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45.081706881092316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45.081706881092316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64.058078239935924</v>
      </c>
      <c r="T52" s="62">
        <f t="shared" si="34"/>
        <v>285.04243957750572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44.197682106280176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44.197682106280176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64.058078239935924</v>
      </c>
      <c r="T53" s="62">
        <f t="shared" si="34"/>
        <v>285.04243957750572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43.330992518100231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43.330992518100231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64.058078239935924</v>
      </c>
      <c r="T54" s="62">
        <f t="shared" si="34"/>
        <v>285.04243957750572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42.481298184116042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42.481298184116042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64.058078239935924</v>
      </c>
      <c r="T55" s="62">
        <f t="shared" si="34"/>
        <v>285.04243957750572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41.64826583775892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41.64826583775892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64.058078239935924</v>
      </c>
      <c r="T56" s="62">
        <f t="shared" si="34"/>
        <v>285.04243957750572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40.831568747614298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40.831568747614298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64.058078239935924</v>
      </c>
      <c r="T57" s="62">
        <f t="shared" si="34"/>
        <v>285.04243957750572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40.030886589271375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40.030886589271375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64.058078239935924</v>
      </c>
      <c r="T58" s="62">
        <f t="shared" si="34"/>
        <v>285.04243957750572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39.245905319685662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39.245905319685662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64.058078239935924</v>
      </c>
      <c r="T59" s="62">
        <f t="shared" si="34"/>
        <v>285.04243957750572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38.476317054005229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38.476317054005229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64.058078239935924</v>
      </c>
      <c r="T60" s="62">
        <f t="shared" si="34"/>
        <v>285.04243957750572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37.721819944812296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37.721819944812296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64.058078239935924</v>
      </c>
      <c r="T61" s="62">
        <f t="shared" si="34"/>
        <v>285.04243957750572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36.982118063732841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36.982118063732841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64.058078239935924</v>
      </c>
      <c r="T62" s="62">
        <f t="shared" si="34"/>
        <v>285.04243957750572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36.256921285367753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36.256921285367753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64.058078239935924</v>
      </c>
      <c r="T63" s="62">
        <f t="shared" si="34"/>
        <v>285.04243957750572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35.545945173500044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35.545945173500044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64.058078239935924</v>
      </c>
      <c r="T64" s="62">
        <f t="shared" si="34"/>
        <v>285.04243957750572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34.848910869533455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34.848910869533455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64.058078239935924</v>
      </c>
      <c r="T65" s="62">
        <f t="shared" si="34"/>
        <v>285.04243957750572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34.165544983118707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34.165544983118707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64.058078239935924</v>
      </c>
      <c r="T66" s="62">
        <f t="shared" si="34"/>
        <v>285.04243957750572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33.495579484924519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33.495579484924519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64.058078239935924</v>
      </c>
      <c r="T67" s="62">
        <f t="shared" si="34"/>
        <v>285.04243957750572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32.838751601511312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32.838751601511312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64.058078239935924</v>
      </c>
      <c r="T68" s="62">
        <f t="shared" si="34"/>
        <v>285.04243957750572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32.194803712266385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32.194803712266385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64.058078239935924</v>
      </c>
      <c r="T69" s="62">
        <f t="shared" ref="T69:T132" si="88">$T$3</f>
        <v>285.04243957750572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31.563483248360125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31.563483248360125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64.058078239935924</v>
      </c>
      <c r="T70" s="62">
        <f t="shared" si="88"/>
        <v>285.04243957750572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30.944542593683604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30.944542593683604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64.058078239935924</v>
      </c>
      <c r="T71" s="62">
        <f t="shared" si="88"/>
        <v>285.04243957750572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30.337738987728766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30.337738987728766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64.058078239935924</v>
      </c>
      <c r="T72" s="62">
        <f t="shared" si="88"/>
        <v>285.04243957750572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29.742834430373051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29.742834430373051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64.058078239935924</v>
      </c>
      <c r="T73" s="62">
        <f t="shared" si="88"/>
        <v>285.04243957750572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29.159595588531129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29.159595588531129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64.058078239935924</v>
      </c>
      <c r="T74" s="62">
        <f t="shared" si="88"/>
        <v>285.04243957750572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28.587793704637161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28.587793704637161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64.058078239935924</v>
      </c>
      <c r="T75" s="62">
        <f t="shared" si="88"/>
        <v>285.04243957750572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28.027204506921642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28.027204506921642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64.058078239935924</v>
      </c>
      <c r="T76" s="62">
        <f t="shared" si="88"/>
        <v>285.04243957750572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27.477608121447677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27.477608121447677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64.058078239935924</v>
      </c>
      <c r="T77" s="62">
        <f t="shared" si="88"/>
        <v>285.04243957750572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26.938788985872161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26.938788985872161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64.058078239935924</v>
      </c>
      <c r="T78" s="62">
        <f t="shared" si="88"/>
        <v>285.04243957750572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26.410535764898061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26.410535764898061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64.058078239935924</v>
      </c>
      <c r="T79" s="62">
        <f t="shared" si="88"/>
        <v>285.04243957750572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25.892641267384612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25.892641267384612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64.058078239935924</v>
      </c>
      <c r="T80" s="62">
        <f t="shared" si="88"/>
        <v>285.04243957750572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25.384902365082947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25.384902365082947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64.058078239935924</v>
      </c>
      <c r="T81" s="62">
        <f t="shared" si="88"/>
        <v>285.04243957750572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24.887119912965268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24.887119912965268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64.058078239935924</v>
      </c>
      <c r="T82" s="62">
        <f t="shared" si="88"/>
        <v>285.04243957750572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24.399098671116299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24.399098671116299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64.058078239935924</v>
      </c>
      <c r="T83" s="62">
        <f t="shared" si="88"/>
        <v>285.04243957750572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23.920647228156422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23.920647228156422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64.058078239935924</v>
      </c>
      <c r="T84" s="62">
        <f t="shared" si="88"/>
        <v>285.04243957750572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23.451577926166426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23.451577926166426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64.058078239935924</v>
      </c>
      <c r="T85" s="62">
        <f t="shared" si="88"/>
        <v>285.04243957750572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22.991706787084428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22.991706787084428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64.058078239935924</v>
      </c>
      <c r="T86" s="62">
        <f t="shared" si="88"/>
        <v>285.04243957750572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22.540853440546133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22.540853440546133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64.058078239935924</v>
      </c>
      <c r="T87" s="62">
        <f t="shared" si="88"/>
        <v>285.04243957750572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22.098841053140063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22.098841053140063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64.058078239935924</v>
      </c>
      <c r="T88" s="62">
        <f t="shared" si="88"/>
        <v>285.04243957750572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21.665496259050091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21.665496259050091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64.058078239935924</v>
      </c>
      <c r="T89" s="62">
        <f t="shared" si="88"/>
        <v>285.04243957750572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21.240649092058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21.240649092058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64.058078239935924</v>
      </c>
      <c r="T90" s="62">
        <f t="shared" si="88"/>
        <v>285.04243957750572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20.824132918879439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20.824132918879439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64.058078239935924</v>
      </c>
      <c r="T91" s="62">
        <f t="shared" si="88"/>
        <v>285.04243957750572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20.415784373807128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20.415784373807128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64.058078239935924</v>
      </c>
      <c r="T92" s="62">
        <f t="shared" si="88"/>
        <v>285.04243957750572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20.015443294635666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20.015443294635666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64.058078239935924</v>
      </c>
      <c r="T93" s="62">
        <f t="shared" si="88"/>
        <v>285.04243957750572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19.622952659842809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19.622952659842809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64.058078239935924</v>
      </c>
      <c r="T94" s="62">
        <f t="shared" si="88"/>
        <v>285.04243957750572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19.238158527002593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19.238158527002593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64.058078239935924</v>
      </c>
      <c r="T95" s="62">
        <f t="shared" si="88"/>
        <v>285.04243957750572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18.860909972406127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18.860909972406127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64.058078239935924</v>
      </c>
      <c r="T96" s="62">
        <f t="shared" si="88"/>
        <v>285.04243957750572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18.491059031866399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18.491059031866399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64.058078239935924</v>
      </c>
      <c r="T97" s="62">
        <f t="shared" si="88"/>
        <v>285.04243957750572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18.128460642683855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18.128460642683855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64.058078239935924</v>
      </c>
      <c r="T98" s="62">
        <f t="shared" si="88"/>
        <v>285.04243957750572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17.772972586750001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17.772972586750001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64.058078239935924</v>
      </c>
      <c r="T99" s="62">
        <f t="shared" si="88"/>
        <v>285.04243957750572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17.424455434766706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17.424455434766706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64.058078239935924</v>
      </c>
      <c r="T100" s="62">
        <f t="shared" si="88"/>
        <v>285.04243957750572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17.082772491559332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17.082772491559332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64.058078239935924</v>
      </c>
      <c r="T101" s="62">
        <f t="shared" si="88"/>
        <v>285.04243957750572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16.747789742462238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16.747789742462238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64.058078239935924</v>
      </c>
      <c r="T102" s="62">
        <f t="shared" si="88"/>
        <v>285.04243957750572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16.419375800755635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16.419375800755635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64.058078239935924</v>
      </c>
      <c r="T103" s="62">
        <f t="shared" si="88"/>
        <v>285.04243957750572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16.097401856133171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16.097401856133171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64.058078239935924</v>
      </c>
      <c r="T104" s="62">
        <f t="shared" si="88"/>
        <v>285.04243957750572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15.781741624180041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15.781741624180041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64.058078239935924</v>
      </c>
      <c r="T105" s="62">
        <f t="shared" si="88"/>
        <v>285.04243957750572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15.472271296841782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15.472271296841782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64.058078239935924</v>
      </c>
      <c r="T106" s="62">
        <f t="shared" si="88"/>
        <v>285.04243957750572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15.168869493864365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15.168869493864365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64.058078239935924</v>
      </c>
      <c r="T107" s="62">
        <f t="shared" si="88"/>
        <v>285.04243957750572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14.871417215186508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14.871417215186508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64.058078239935924</v>
      </c>
      <c r="T108" s="62">
        <f t="shared" si="88"/>
        <v>285.04243957750572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14.579797794265547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14.579797794265547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64.058078239935924</v>
      </c>
      <c r="T109" s="62">
        <f t="shared" si="88"/>
        <v>285.04243957750572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14.293896852318563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14.293896852318563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64.058078239935924</v>
      </c>
      <c r="T110" s="62">
        <f t="shared" si="88"/>
        <v>285.04243957750572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14.013602253460803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14.013602253460803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64.058078239935924</v>
      </c>
      <c r="T111" s="62">
        <f t="shared" si="88"/>
        <v>285.04243957750572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13.738804060723821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13.738804060723821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64.058078239935924</v>
      </c>
      <c r="T112" s="62">
        <f t="shared" si="88"/>
        <v>285.04243957750572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13.469394492936063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13.469394492936063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64.058078239935924</v>
      </c>
      <c r="T113" s="62">
        <f t="shared" si="88"/>
        <v>285.04243957750572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13.205267882449013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13.205267882449013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64.058078239935924</v>
      </c>
      <c r="T114" s="62">
        <f t="shared" si="88"/>
        <v>285.04243957750572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12.946320633692288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12.946320633692288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64.058078239935924</v>
      </c>
      <c r="T115" s="62">
        <f t="shared" si="88"/>
        <v>285.04243957750572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12.692451182541456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12.692451182541456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64.058078239935924</v>
      </c>
      <c r="T116" s="62">
        <f t="shared" si="88"/>
        <v>285.04243957750572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12.443559956482616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12.443559956482616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64.058078239935924</v>
      </c>
      <c r="T117" s="62">
        <f t="shared" si="88"/>
        <v>285.04243957750572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12.199549335558133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12.199549335558133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64.058078239935924</v>
      </c>
      <c r="T118" s="62">
        <f t="shared" si="88"/>
        <v>285.04243957750572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11.960323614078197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11.960323614078197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64.058078239935924</v>
      </c>
      <c r="T119" s="62">
        <f t="shared" si="88"/>
        <v>285.04243957750572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11.725788963083199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11.725788963083199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64.058078239935924</v>
      </c>
      <c r="T120" s="62">
        <f t="shared" si="88"/>
        <v>285.04243957750572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11.4958533935422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11.4958533935422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64.058078239935924</v>
      </c>
      <c r="T121" s="62">
        <f t="shared" si="88"/>
        <v>285.04243957750572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11.270426720273052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11.270426720273052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64.058078239935924</v>
      </c>
      <c r="T122" s="62">
        <f t="shared" si="88"/>
        <v>285.04243957750572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11.049420526570017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11.049420526570017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64.058078239935924</v>
      </c>
      <c r="T123" s="62">
        <f t="shared" si="88"/>
        <v>285.04243957750572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10.832748129525031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10.832748129525031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64.058078239935924</v>
      </c>
      <c r="T124" s="62">
        <f t="shared" si="88"/>
        <v>285.04243957750572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10.620324546028986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10.620324546028986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64.058078239935924</v>
      </c>
      <c r="T125" s="62">
        <f t="shared" si="88"/>
        <v>285.04243957750572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10.412066459439705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10.412066459439705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64.058078239935924</v>
      </c>
      <c r="T126" s="62">
        <f t="shared" si="88"/>
        <v>285.04243957750572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10.20789218690355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10.20789218690355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64.058078239935924</v>
      </c>
      <c r="T127" s="62">
        <f t="shared" si="88"/>
        <v>285.04243957750572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10.007721647317819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10.007721647317819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64.058078239935924</v>
      </c>
      <c r="T128" s="62">
        <f t="shared" si="88"/>
        <v>285.04243957750572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9.8114763299213905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9.8114763299213905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64.058078239935924</v>
      </c>
      <c r="T129" s="62">
        <f t="shared" si="88"/>
        <v>285.04243957750572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9.6190792635012823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9.6190792635012823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64.058078239935924</v>
      </c>
      <c r="T130" s="62">
        <f t="shared" si="88"/>
        <v>285.04243957750572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9.4304549862030491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9.4304549862030491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64.058078239935924</v>
      </c>
      <c r="T131" s="62">
        <f t="shared" si="88"/>
        <v>285.04243957750572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9.2455295159331854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9.2455295159331854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64.058078239935924</v>
      </c>
      <c r="T132" s="62">
        <f t="shared" si="88"/>
        <v>285.04243957750572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9.0642303213419133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9.0642303213419133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64.058078239935924</v>
      </c>
      <c r="T133" s="62">
        <f t="shared" ref="T133:T196" si="142">$T$3</f>
        <v>285.04243957750572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8.886486293374988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8.886486293374988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64.058078239935924</v>
      </c>
      <c r="T134" s="62">
        <f t="shared" si="142"/>
        <v>285.04243957750572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8.7122277173833407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8.7122277173833407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64.058078239935924</v>
      </c>
      <c r="T135" s="62">
        <f t="shared" si="142"/>
        <v>285.04243957750572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8.5413862457796537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8.5413862457796537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64.058078239935924</v>
      </c>
      <c r="T136" s="62">
        <f t="shared" si="142"/>
        <v>285.04243957750572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8.3738948712311068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8.3738948712311068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64.058078239935924</v>
      </c>
      <c r="T137" s="62">
        <f t="shared" si="142"/>
        <v>285.04243957750572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8.2096879003778049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8.2096879003778049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64.058078239935924</v>
      </c>
      <c r="T138" s="62">
        <f t="shared" si="142"/>
        <v>285.04243957750572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8.0487009280665749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8.0487009280665749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64.058078239935924</v>
      </c>
      <c r="T139" s="62">
        <f t="shared" si="142"/>
        <v>285.04243957750572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7.89087081209001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7.89087081209001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64.058078239935924</v>
      </c>
      <c r="T140" s="62">
        <f t="shared" si="142"/>
        <v>285.04243957750572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7.7361356484208805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7.7361356484208805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64.058078239935924</v>
      </c>
      <c r="T141" s="62">
        <f t="shared" si="142"/>
        <v>285.04243957750572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7.584434746932172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7.584434746932172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64.058078239935924</v>
      </c>
      <c r="T142" s="62">
        <f t="shared" si="142"/>
        <v>285.04243957750572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7.4357086075932433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7.4357086075932433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64.058078239935924</v>
      </c>
      <c r="T143" s="62">
        <f t="shared" si="142"/>
        <v>285.04243957750572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7.2898988971327636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7.2898988971327636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64.058078239935924</v>
      </c>
      <c r="T144" s="62">
        <f t="shared" si="142"/>
        <v>285.04243957750572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7.1469484261592715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7.1469484261592715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64.058078239935924</v>
      </c>
      <c r="T145" s="62">
        <f t="shared" si="142"/>
        <v>285.04243957750572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7.0068011267303918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7.0068011267303918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64.058078239935924</v>
      </c>
      <c r="T146" s="62">
        <f t="shared" si="142"/>
        <v>285.04243957750572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6.8694020303619006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6.8694020303619006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64.058078239935924</v>
      </c>
      <c r="T147" s="62">
        <f t="shared" si="142"/>
        <v>285.04243957750572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6.7346972464680217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6.7346972464680217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64.058078239935924</v>
      </c>
      <c r="T148" s="62">
        <f t="shared" si="142"/>
        <v>285.04243957750572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6.6026339412244965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6.6026339412244965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64.058078239935924</v>
      </c>
      <c r="T149" s="62">
        <f t="shared" si="142"/>
        <v>285.04243957750572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6.4731603168461342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6.4731603168461342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64.058078239935924</v>
      </c>
      <c r="T150" s="62">
        <f t="shared" si="142"/>
        <v>285.04243957750572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6.3462255912707191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6.3462255912707191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64.058078239935924</v>
      </c>
      <c r="T151" s="62">
        <f t="shared" si="142"/>
        <v>285.04243957750572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6.2217799782412992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6.2217799782412992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64.058078239935924</v>
      </c>
      <c r="T152" s="62">
        <f t="shared" si="142"/>
        <v>285.04243957750572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6.0997746677790579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6.0997746677790579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64.058078239935924</v>
      </c>
      <c r="T153" s="62">
        <f t="shared" si="142"/>
        <v>285.04243957750572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5.9801618070390896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5.9801618070390896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64.058078239935924</v>
      </c>
      <c r="T154" s="62">
        <f t="shared" si="142"/>
        <v>285.04243957750572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5.8628944815415904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5.8628944815415904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64.058078239935924</v>
      </c>
      <c r="T155" s="62">
        <f t="shared" si="142"/>
        <v>285.04243957750572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5.747926696771092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5.747926696771092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64.058078239935924</v>
      </c>
      <c r="T156" s="62">
        <f t="shared" si="142"/>
        <v>285.04243957750572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5.6352133601365182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5.6352133601365182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64.058078239935924</v>
      </c>
      <c r="T157" s="62">
        <f t="shared" si="142"/>
        <v>285.04243957750572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5.5247102632850016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5.5247102632850016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64.058078239935924</v>
      </c>
      <c r="T158" s="62">
        <f t="shared" si="142"/>
        <v>285.04243957750572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5.4163740647625094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5.4163740647625094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64.058078239935924</v>
      </c>
      <c r="T159" s="62">
        <f t="shared" si="142"/>
        <v>285.04243957750572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5.3101622730144866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5.3101622730144866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64.058078239935924</v>
      </c>
      <c r="T160" s="62">
        <f t="shared" si="142"/>
        <v>285.04243957750572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5.2060332297198464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5.2060332297198464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64.058078239935924</v>
      </c>
      <c r="T161" s="62">
        <f t="shared" si="142"/>
        <v>285.04243957750572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5.1039460934517686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5.1039460934517686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64.058078239935924</v>
      </c>
      <c r="T162" s="62">
        <f t="shared" si="142"/>
        <v>285.04243957750572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5.0038608236589033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5.0038608236589033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64.058078239935924</v>
      </c>
      <c r="T163" s="62">
        <f t="shared" si="142"/>
        <v>285.04243957750572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4.905738164960689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4.905738164960689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64.058078239935924</v>
      </c>
      <c r="T164" s="62">
        <f t="shared" si="142"/>
        <v>285.04243957750572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4.8095396317506349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4.8095396317506349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64.058078239935924</v>
      </c>
      <c r="T165" s="62">
        <f t="shared" si="142"/>
        <v>285.04243957750572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4.7152274931015183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4.7152274931015183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64.058078239935924</v>
      </c>
      <c r="T166" s="62">
        <f t="shared" si="142"/>
        <v>285.04243957750572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4.6227647579665865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4.6227647579665865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64.058078239935924</v>
      </c>
      <c r="T167" s="62">
        <f t="shared" si="142"/>
        <v>285.04243957750572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4.5321151606709513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4.5321151606709513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64.058078239935924</v>
      </c>
      <c r="T168" s="62">
        <f t="shared" si="142"/>
        <v>285.04243957750572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4.4432431466874887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4.4432431466874887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64.058078239935924</v>
      </c>
      <c r="T169" s="62">
        <f t="shared" si="142"/>
        <v>285.04243957750572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4.356113858691665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4.356113858691665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64.058078239935924</v>
      </c>
      <c r="T170" s="62">
        <f t="shared" si="142"/>
        <v>285.04243957750572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4.2706931228898215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4.2706931228898215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64.058078239935924</v>
      </c>
      <c r="T171" s="62">
        <f t="shared" si="142"/>
        <v>285.04243957750572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4.1869474356155481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4.1869474356155481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64.058078239935924</v>
      </c>
      <c r="T172" s="62">
        <f t="shared" si="142"/>
        <v>285.04243957750572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4.1048439501888971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4.1048439501888971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64.058078239935924</v>
      </c>
      <c r="T173" s="62">
        <f t="shared" si="142"/>
        <v>285.04243957750572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4.0243504640332821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4.0243504640332821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64.058078239935924</v>
      </c>
      <c r="T174" s="62">
        <f t="shared" si="142"/>
        <v>285.04243957750572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3.9454354060449996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3.9454354060449996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64.058078239935924</v>
      </c>
      <c r="T175" s="62">
        <f t="shared" si="142"/>
        <v>285.04243957750572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3.8680678242104349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3.8680678242104349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64.058078239935924</v>
      </c>
      <c r="T176" s="62">
        <f t="shared" si="142"/>
        <v>285.04243957750572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3.7922173734660807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3.7922173734660807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64.058078239935924</v>
      </c>
      <c r="T177" s="62">
        <f t="shared" si="142"/>
        <v>285.04243957750572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3.7178543037966163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3.7178543037966163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64.058078239935924</v>
      </c>
      <c r="T178" s="62">
        <f t="shared" si="142"/>
        <v>285.04243957750572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3.6449494485663765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3.6449494485663765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64.058078239935924</v>
      </c>
      <c r="T179" s="62">
        <f t="shared" si="142"/>
        <v>285.04243957750572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3.5734742130796309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3.5734742130796309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64.058078239935924</v>
      </c>
      <c r="T180" s="62">
        <f t="shared" si="142"/>
        <v>285.04243957750572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3.5034005633651915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3.5034005633651915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64.058078239935924</v>
      </c>
      <c r="T181" s="62">
        <f t="shared" si="142"/>
        <v>285.04243957750572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3.4347010151809458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3.4347010151809458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64.058078239935924</v>
      </c>
      <c r="T182" s="62">
        <f t="shared" si="142"/>
        <v>285.04243957750572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3.3673486232340064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3.3673486232340064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64.058078239935924</v>
      </c>
      <c r="T183" s="62">
        <f t="shared" si="142"/>
        <v>285.04243957750572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3.3013169706122438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3.3013169706122438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64.058078239935924</v>
      </c>
      <c r="T184" s="62">
        <f t="shared" si="142"/>
        <v>285.04243957750572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3.2365801584230627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3.2365801584230627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64.058078239935924</v>
      </c>
      <c r="T185" s="62">
        <f t="shared" si="142"/>
        <v>285.04243957750572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3.1731127956353551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3.1731127956353551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64.058078239935924</v>
      </c>
      <c r="T186" s="62">
        <f t="shared" si="142"/>
        <v>285.04243957750572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3.1108899891206456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3.1108899891206456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64.058078239935924</v>
      </c>
      <c r="T187" s="62">
        <f t="shared" si="142"/>
        <v>285.04243957750572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3.0498873338895249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3.0498873338895249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64.058078239935924</v>
      </c>
      <c r="T188" s="62">
        <f t="shared" si="142"/>
        <v>285.04243957750572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2.9900809035195408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2.9900809035195408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64.058078239935924</v>
      </c>
      <c r="T189" s="62">
        <f t="shared" si="142"/>
        <v>285.04243957750572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2.9314472407707917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2.9314472407707917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64.058078239935924</v>
      </c>
      <c r="T190" s="62">
        <f t="shared" si="142"/>
        <v>285.04243957750572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2.8739633483855425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2.8739633483855425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64.058078239935924</v>
      </c>
      <c r="T191" s="62">
        <f t="shared" si="142"/>
        <v>285.04243957750572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2.8176066800682555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2.8176066800682555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64.058078239935924</v>
      </c>
      <c r="T192" s="62">
        <f t="shared" si="142"/>
        <v>285.04243957750572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2.7623551316424972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2.7623551316424972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64.058078239935924</v>
      </c>
      <c r="T193" s="62">
        <f t="shared" si="142"/>
        <v>285.04243957750572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2.7081870323812511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2.7081870323812511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64.058078239935924</v>
      </c>
      <c r="T194" s="62">
        <f t="shared" si="142"/>
        <v>285.04243957750572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2.6550811365072398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2.6550811365072398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64.058078239935924</v>
      </c>
      <c r="T195" s="62">
        <f t="shared" si="142"/>
        <v>285.04243957750572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2.6030166148599196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2.6030166148599196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64.058078239935924</v>
      </c>
      <c r="T196" s="62">
        <f t="shared" si="142"/>
        <v>285.04243957750572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2.5519730467258808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2.5519730467258808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64.058078239935924</v>
      </c>
      <c r="T197" s="62">
        <f t="shared" ref="T197:T203" si="204">$T$3</f>
        <v>285.04243957750572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2.5019304118294481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2.5019304118294481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64.058078239935924</v>
      </c>
      <c r="T198" s="62">
        <f t="shared" si="204"/>
        <v>285.04243957750572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2.452869082480341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2.452869082480341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64.058078239935924</v>
      </c>
      <c r="T199" s="62">
        <f t="shared" si="204"/>
        <v>285.04243957750572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2.4047698158753139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2.4047698158753139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64.058078239935924</v>
      </c>
      <c r="T200" s="62">
        <f t="shared" si="204"/>
        <v>285.04243957750572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2.3576137465507556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2.3576137465507556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64.058078239935924</v>
      </c>
      <c r="T201" s="62">
        <f t="shared" si="204"/>
        <v>285.04243957750572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2.3113823789832897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2.3113823789832897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64.058078239935924</v>
      </c>
      <c r="T202" s="62">
        <f t="shared" si="204"/>
        <v>285.04243957750572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2.2660575803354721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2.2660575803354721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64.058078239935924</v>
      </c>
      <c r="T203" s="62">
        <f t="shared" si="204"/>
        <v>285.04243957750572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2.2216215733437408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2.2216215733437408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1.3227799820267212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7" workbookViewId="0">
      <selection activeCell="M28" sqref="M2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Peuplier I-214</v>
      </c>
      <c r="B6" s="155">
        <f>'Données projet'!D9</f>
        <v>0.6</v>
      </c>
      <c r="C6" s="156">
        <f ca="1">IF(OR('Données projet'!B9="",'Données projet'!C9="",'Données projet'!C9=0%),0,Calculateur!S3)</f>
        <v>64.058078239935924</v>
      </c>
      <c r="D6" s="156">
        <f>IF(OR('Données projet'!B9="",'Données projet'!C9="",'Données projet'!C9=0%),0,Calculateur!T3)</f>
        <v>285.04243957750572</v>
      </c>
      <c r="E6" s="156">
        <f ca="1">MIN(C6,D6)</f>
        <v>64.058078239935924</v>
      </c>
      <c r="F6" s="156">
        <f ca="1">E6*B6</f>
        <v>38.434846943961553</v>
      </c>
      <c r="G6" s="156">
        <f ca="1">F6*(100%-'Données projet'!$C$24)*(100%-'Données projet'!$C$25)*(100%-'Données projet'!$C$26)*(100%-'Données projet'!$C$27)</f>
        <v>32.861794137087131</v>
      </c>
      <c r="H6" s="157">
        <f>IF(OR('Données projet'!B9="",'Données projet'!C9="",'Données projet'!C9=0%),0,AVERAGE(Calculateur!$AC$3:$AC$33)*B6)</f>
        <v>15.16539164486937</v>
      </c>
      <c r="I6" s="158">
        <f>H6*(100%-'Données projet'!$C$24)*(100%-'Données projet'!$C$25)*(100%-'Données projet'!$C$26)*(100%-'Données projet'!$C$27)</f>
        <v>12.966409856363311</v>
      </c>
      <c r="J6" s="159">
        <f>IF(OR('Données projet'!B9="",'Données projet'!C9="",'Données projet'!C9=0%),0,SUM(Calculateur!$V$3:$V$33)*VLOOKUP('Données projet'!$B$9,Paramètres!$A$1:$I$89,9,0)*B6)</f>
        <v>166.24199999999999</v>
      </c>
      <c r="K6" s="160">
        <f>J6*(100%-'Données projet'!$C$24)*(100%-'Données projet'!$C$25)*(100%-'Données projet'!$C$26)*(100%-'Données projet'!$C$27)</f>
        <v>142.13690999999997</v>
      </c>
      <c r="L6" s="161">
        <f ca="1">G6+I6+K6</f>
        <v>187.96511399345042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38.434846943961553</v>
      </c>
      <c r="G16" s="175">
        <f t="shared" ca="1" si="3"/>
        <v>32.861794137087131</v>
      </c>
      <c r="H16" s="176">
        <f t="shared" si="3"/>
        <v>15.16539164486937</v>
      </c>
      <c r="I16" s="176">
        <f t="shared" si="3"/>
        <v>12.966409856363311</v>
      </c>
      <c r="J16" s="177">
        <f t="shared" si="3"/>
        <v>166.24199999999999</v>
      </c>
      <c r="K16" s="177">
        <f t="shared" si="3"/>
        <v>142.13690999999997</v>
      </c>
      <c r="L16" s="178">
        <f t="shared" ca="1" si="3"/>
        <v>187.96511399345042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Peuplier I-214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7" zoomScale="90" zoomScaleNormal="90" workbookViewId="0">
      <selection activeCell="H24" sqref="H2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I-214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6469.2578967988884</v>
      </c>
      <c r="U10" s="190">
        <f>'Données projet'!D9</f>
        <v>0.6</v>
      </c>
      <c r="V10" s="189">
        <f>U10*T10</f>
        <v>3881.5547380793328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Peuplier I-214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1833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1066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1333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269</v>
      </c>
      <c r="C23" s="206">
        <v>58</v>
      </c>
      <c r="D23" s="194">
        <f>B23*C23</f>
        <v>15602</v>
      </c>
      <c r="E23" s="206"/>
      <c r="F23" s="261"/>
      <c r="H23" s="203">
        <v>3</v>
      </c>
      <c r="I23" s="204">
        <v>1100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35.216724392075776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v>330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1680.9523741744454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>
        <v>5</v>
      </c>
      <c r="I25" s="204">
        <v>1366</v>
      </c>
      <c r="K25" s="225"/>
      <c r="L25" s="271" t="s">
        <v>285</v>
      </c>
      <c r="M25" s="271"/>
      <c r="N25" s="271"/>
      <c r="O25" s="271"/>
      <c r="P25" s="205">
        <v>200</v>
      </c>
      <c r="Q25" s="265"/>
      <c r="R25" s="25"/>
      <c r="S25" s="198" t="s">
        <v>266</v>
      </c>
      <c r="T25" s="341">
        <f ca="1">T23-T24</f>
        <v>-1645.7356497823696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2801.5872902907422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191.38755980861245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183.14599024747605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175.25932081098188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167.71226871864297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160.49020930013683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153.57914765563336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146.96569153649125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140.63702539377158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134.58088554427903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128.78553640600865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123.23974775694609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117.93277297315417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112.85432820397527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107.99457244399551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103.34408846315358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98.893864558041756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94.635277089035171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90.560073769411659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86.660357674078142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82.92857193691691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2024-05-06T08:22:17Z</dcterms:modified>
</cp:coreProperties>
</file>