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OCCI_OG\Documents\Olivier\C+FOR\ASL Airlines\Rainneville\"/>
    </mc:Choice>
  </mc:AlternateContent>
  <bookViews>
    <workbookView xWindow="0" yWindow="0" windowWidth="20490" windowHeight="7755" tabRatio="866" activeTab="6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1" i="1" l="1"/>
  <c r="B100" i="1"/>
  <c r="B99" i="1"/>
  <c r="B98" i="1"/>
  <c r="B97" i="1"/>
  <c r="B96" i="1"/>
  <c r="B95" i="1"/>
  <c r="B94" i="1"/>
  <c r="B93" i="1"/>
  <c r="B92" i="1"/>
  <c r="B91" i="1"/>
  <c r="B90" i="1"/>
  <c r="D99" i="1"/>
  <c r="D97" i="1"/>
  <c r="D95" i="1"/>
  <c r="D93" i="1"/>
  <c r="D91" i="1"/>
  <c r="D89" i="1"/>
  <c r="B89" i="1"/>
  <c r="D101" i="1"/>
  <c r="B88" i="1"/>
  <c r="D280" i="1" l="1"/>
  <c r="D231" i="1"/>
  <c r="B231" i="1"/>
  <c r="B230" i="1"/>
  <c r="D229" i="1"/>
  <c r="B229" i="1"/>
  <c r="B228" i="1"/>
  <c r="D227" i="1"/>
  <c r="B227" i="1"/>
  <c r="B226" i="1"/>
  <c r="D225" i="1"/>
  <c r="B225" i="1"/>
  <c r="B224" i="1"/>
  <c r="D223" i="1"/>
  <c r="B223" i="1"/>
  <c r="B222" i="1"/>
  <c r="D221" i="1"/>
  <c r="B221" i="1"/>
  <c r="B220" i="1"/>
  <c r="D219" i="1"/>
  <c r="B219" i="1"/>
  <c r="B218" i="1"/>
  <c r="D168" i="1"/>
  <c r="B168" i="1"/>
  <c r="B167" i="1"/>
  <c r="B153" i="1"/>
  <c r="D152" i="1"/>
  <c r="B152" i="1"/>
  <c r="B151" i="1"/>
  <c r="D150" i="1"/>
  <c r="B150" i="1"/>
  <c r="B149" i="1"/>
  <c r="D148" i="1"/>
  <c r="B148" i="1"/>
  <c r="B147" i="1"/>
  <c r="D146" i="1"/>
  <c r="B146" i="1"/>
  <c r="B145" i="1"/>
  <c r="D144" i="1"/>
  <c r="B144" i="1"/>
  <c r="B143" i="1"/>
  <c r="D142" i="1"/>
  <c r="B142" i="1"/>
  <c r="B141" i="1"/>
  <c r="B140" i="1"/>
  <c r="B75" i="1"/>
  <c r="D74" i="1"/>
  <c r="B74" i="1"/>
  <c r="B73" i="1"/>
  <c r="D72" i="1"/>
  <c r="B72" i="1"/>
  <c r="B71" i="1"/>
  <c r="D70" i="1"/>
  <c r="B70" i="1"/>
  <c r="B69" i="1"/>
  <c r="D68" i="1"/>
  <c r="B68" i="1"/>
  <c r="B67" i="1"/>
  <c r="D66" i="1"/>
  <c r="B66" i="1"/>
  <c r="B65" i="1"/>
  <c r="D64" i="1"/>
  <c r="B64" i="1"/>
  <c r="B63" i="1"/>
  <c r="B62" i="1"/>
  <c r="D120" i="1"/>
  <c r="B120" i="1"/>
  <c r="B119" i="1"/>
  <c r="D118" i="1"/>
  <c r="B118" i="1"/>
  <c r="B117" i="1"/>
  <c r="D116" i="1"/>
  <c r="B116" i="1"/>
  <c r="B115" i="1"/>
  <c r="B114" i="1"/>
  <c r="D204" i="1" l="1"/>
  <c r="B257" i="1" l="1"/>
  <c r="D250" i="1"/>
  <c r="B250" i="1"/>
  <c r="B249" i="1"/>
  <c r="D248" i="1"/>
  <c r="B248" i="1"/>
  <c r="B247" i="1"/>
  <c r="D246" i="1"/>
  <c r="B246" i="1"/>
  <c r="B245" i="1"/>
  <c r="B244" i="1"/>
  <c r="D49" i="1" l="1"/>
  <c r="B49" i="1"/>
  <c r="B48" i="1"/>
  <c r="D47" i="1"/>
  <c r="B47" i="1"/>
  <c r="B46" i="1"/>
  <c r="D45" i="1"/>
  <c r="B45" i="1"/>
  <c r="B44" i="1"/>
  <c r="D43" i="1"/>
  <c r="B43" i="1"/>
  <c r="B42" i="1"/>
  <c r="D41" i="1"/>
  <c r="B41" i="1"/>
  <c r="B40" i="1"/>
  <c r="D39" i="1"/>
  <c r="B39" i="1"/>
  <c r="B38" i="1"/>
  <c r="D37" i="1"/>
  <c r="B37" i="1"/>
  <c r="B36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A4" i="2" l="1"/>
  <c r="BR4" i="2"/>
  <c r="BQ4" i="2"/>
  <c r="GL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C5" i="2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X7" i="2"/>
  <c r="HI7" i="2"/>
  <c r="EW7" i="2"/>
  <c r="EV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HH10" i="2"/>
  <c r="FS10" i="2"/>
  <c r="EA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V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G14" i="2" l="1"/>
  <c r="EC14" i="2"/>
  <c r="EX14" i="2"/>
  <c r="HH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W18" i="2" l="1"/>
  <c r="EV18" i="2"/>
  <c r="EX18" i="2"/>
  <c r="HG18" i="2"/>
  <c r="FS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G20" i="2" l="1"/>
  <c r="EV20" i="2"/>
  <c r="HH20" i="2"/>
  <c r="FS20" i="2"/>
  <c r="EW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EV21" i="2"/>
  <c r="EW21" i="2"/>
  <c r="HI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W22" i="2"/>
  <c r="HG22" i="2"/>
  <c r="EC22" i="2"/>
  <c r="EB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HG24" i="2"/>
  <c r="FR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G28" i="2" l="1"/>
  <c r="EV28" i="2"/>
  <c r="EC28" i="2"/>
  <c r="HI28" i="2"/>
  <c r="FS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FS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H33" i="2" l="1"/>
  <c r="EB33" i="2"/>
  <c r="EA33" i="2"/>
  <c r="HG33" i="2"/>
  <c r="EW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Q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EA38" i="2"/>
  <c r="HI38" i="2"/>
  <c r="HH38" i="2"/>
  <c r="FS38" i="2"/>
  <c r="EX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HG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EA43" i="2"/>
  <c r="HI43" i="2"/>
  <c r="EX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FS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G45" i="2" l="1"/>
  <c r="EB45" i="2"/>
  <c r="HI45" i="2"/>
  <c r="EX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HI46" i="2"/>
  <c r="EC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G48" i="2" l="1"/>
  <c r="HH48" i="2"/>
  <c r="HI48" i="2"/>
  <c r="EC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EC50" i="2"/>
  <c r="HG50" i="2"/>
  <c r="FS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X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HI57" i="2"/>
  <c r="HH57" i="2"/>
  <c r="FS57" i="2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C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C59" i="2"/>
  <c r="EA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H60" i="2"/>
  <c r="HG60" i="2"/>
  <c r="EV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EV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HH62" i="2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HG63" i="2"/>
  <c r="EX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FS66" i="2"/>
  <c r="EX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HG70" i="2"/>
  <c r="EW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A71" i="2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H72" i="2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HG74" i="2" l="1"/>
  <c r="FS74" i="2"/>
  <c r="FR74" i="2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HG75" i="2"/>
  <c r="EB75" i="2"/>
  <c r="EA75" i="2"/>
  <c r="FS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FS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W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W78" i="2"/>
  <c r="EB78" i="2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EB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HG85" i="2"/>
  <c r="EC85" i="2"/>
  <c r="EV85" i="2"/>
  <c r="EW85" i="2"/>
  <c r="HI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B87" i="2" l="1"/>
  <c r="EA87" i="2"/>
  <c r="EX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HI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X95" i="2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FS98" i="2"/>
  <c r="EX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HH105" i="2"/>
  <c r="FS105" i="2"/>
  <c r="EB105" i="2"/>
  <c r="EA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B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B108" i="2" l="1"/>
  <c r="EA108" i="2"/>
  <c r="FS108" i="2"/>
  <c r="EW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HI112" i="2" l="1"/>
  <c r="EX112" i="2"/>
  <c r="FQ112" i="2"/>
  <c r="EC112" i="2"/>
  <c r="EB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G113" i="2" l="1"/>
  <c r="EX113" i="2"/>
  <c r="EB113" i="2"/>
  <c r="EC113" i="2"/>
  <c r="HI113" i="2"/>
  <c r="FS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EW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C116" i="2"/>
  <c r="EV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HH118" i="2"/>
  <c r="FQ118" i="2"/>
  <c r="FS118" i="2"/>
  <c r="EC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EX120" i="2"/>
  <c r="HH120" i="2"/>
  <c r="FR120" i="2"/>
  <c r="FQ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EW122" i="2"/>
  <c r="FS122" i="2"/>
  <c r="EC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HG124" i="2"/>
  <c r="EW124" i="2"/>
  <c r="FS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FS126" i="2"/>
  <c r="EA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V128" i="2" l="1"/>
  <c r="EX128" i="2"/>
  <c r="HG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HI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HH130" i="2"/>
  <c r="HG130" i="2"/>
  <c r="EX130" i="2"/>
  <c r="FS130" i="2"/>
  <c r="EW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W134" i="2"/>
  <c r="EV134" i="2"/>
  <c r="HI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A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V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A139" i="2"/>
  <c r="HH139" i="2"/>
  <c r="FS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EX140" i="2"/>
  <c r="HH140" i="2"/>
  <c r="FS140" i="2"/>
  <c r="HG140" i="2"/>
  <c r="FR140" i="2"/>
  <c r="EC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B141" i="2"/>
  <c r="HG141" i="2"/>
  <c r="FS141" i="2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HG142" i="2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EX144" i="2"/>
  <c r="HH144" i="2"/>
  <c r="HG144" i="2"/>
  <c r="FR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HH145" i="2"/>
  <c r="EX145" i="2"/>
  <c r="EA145" i="2"/>
  <c r="EB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HI146" i="2"/>
  <c r="EA146" i="2"/>
  <c r="HG146" i="2"/>
  <c r="FR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H149" i="2"/>
  <c r="HG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EC150" i="2"/>
  <c r="EV150" i="2"/>
  <c r="HG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X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B154" i="2" l="1"/>
  <c r="HH154" i="2"/>
  <c r="HG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HH155" i="2" l="1"/>
  <c r="HG155" i="2"/>
  <c r="HJ154" i="2"/>
  <c r="EY154" i="2"/>
  <c r="DI154" i="2"/>
  <c r="ED154" i="2"/>
  <c r="EW155" i="2"/>
  <c r="EX155" i="2"/>
  <c r="EA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AX152" i="2"/>
  <c r="HH156" i="2" l="1"/>
  <c r="HG156" i="2"/>
  <c r="EY155" i="2"/>
  <c r="EX156" i="2"/>
  <c r="ED155" i="2"/>
  <c r="HI156" i="2"/>
  <c r="FS156" i="2"/>
  <c r="EB156" i="2"/>
  <c r="D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G157" i="2" l="1"/>
  <c r="HH157" i="2"/>
  <c r="EX157" i="2"/>
  <c r="EB157" i="2"/>
  <c r="EC157" i="2"/>
  <c r="EA157" i="2"/>
  <c r="CN156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HG158" i="2" l="1"/>
  <c r="HH158" i="2"/>
  <c r="EC158" i="2"/>
  <c r="ED157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ED158" i="2"/>
  <c r="HH159" i="2"/>
  <c r="HI159" i="2"/>
  <c r="EA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HI160" i="2"/>
  <c r="DG160" i="2"/>
  <c r="EC160" i="2"/>
  <c r="ED159" i="2"/>
  <c r="HG160" i="2"/>
  <c r="FS160" i="2"/>
  <c r="EY159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HH161" i="2" l="1"/>
  <c r="HG161" i="2"/>
  <c r="ED160" i="2"/>
  <c r="EX161" i="2"/>
  <c r="FS161" i="2"/>
  <c r="EA161" i="2"/>
  <c r="E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HG162" i="2" l="1"/>
  <c r="HH162" i="2"/>
  <c r="ED161" i="2"/>
  <c r="EB162" i="2"/>
  <c r="EW162" i="2"/>
  <c r="EY161" i="2"/>
  <c r="EC162" i="2"/>
  <c r="DI161" i="2"/>
  <c r="FS162" i="2"/>
  <c r="AU162" i="2"/>
  <c r="EX162" i="2"/>
  <c r="EA162" i="2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B163" i="2" l="1"/>
  <c r="ED162" i="2"/>
  <c r="HH163" i="2"/>
  <c r="HG163" i="2"/>
  <c r="HI163" i="2"/>
  <c r="EV163" i="2"/>
  <c r="EY163" i="2" s="1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 l="1"/>
  <c r="EA164" i="2"/>
  <c r="EV164" i="2"/>
  <c r="EX164" i="2"/>
  <c r="HG164" i="2"/>
  <c r="DI163" i="2"/>
  <c r="FR164" i="2"/>
  <c r="FS164" i="2"/>
  <c r="D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HG165" i="2"/>
  <c r="EX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EC166" i="2"/>
  <c r="ED165" i="2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J166" i="2" l="1"/>
  <c r="EY166" i="2"/>
  <c r="EC167" i="2"/>
  <c r="EX167" i="2"/>
  <c r="HI167" i="2"/>
  <c r="HH167" i="2"/>
  <c r="FR167" i="2"/>
  <c r="EA167" i="2"/>
  <c r="EB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EC168" i="2"/>
  <c r="EB168" i="2"/>
  <c r="HH168" i="2"/>
  <c r="DG168" i="2"/>
  <c r="DI167" i="2"/>
  <c r="EV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EA169" i="2"/>
  <c r="EB169" i="2"/>
  <c r="EY168" i="2"/>
  <c r="EX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HI172" i="2"/>
  <c r="EA172" i="2"/>
  <c r="ED171" i="2"/>
  <c r="EB172" i="2"/>
  <c r="EY171" i="2"/>
  <c r="EV172" i="2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EW173" i="2"/>
  <c r="ED172" i="2"/>
  <c r="EB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EY173" i="2"/>
  <c r="HG174" i="2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D174" i="2" l="1"/>
  <c r="EA175" i="2"/>
  <c r="EB175" i="2"/>
  <c r="HI175" i="2"/>
  <c r="FS175" i="2"/>
  <c r="EW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B176" i="2"/>
  <c r="HH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EC177" i="2"/>
  <c r="FQ177" i="2"/>
  <c r="FS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ED177" i="2"/>
  <c r="EW178" i="2"/>
  <c r="HG178" i="2"/>
  <c r="FS178" i="2"/>
  <c r="EA178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HH179" i="2" l="1"/>
  <c r="HG179" i="2"/>
  <c r="ED178" i="2"/>
  <c r="EB179" i="2"/>
  <c r="EA179" i="2"/>
  <c r="HI179" i="2"/>
  <c r="EV179" i="2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HI180" i="2" l="1"/>
  <c r="ED179" i="2"/>
  <c r="EY179" i="2"/>
  <c r="HG180" i="2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ED180" i="2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X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EA183" i="2"/>
  <c r="EY182" i="2"/>
  <c r="FS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EY183" i="2"/>
  <c r="FS184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HI185" i="2" l="1"/>
  <c r="ED184" i="2"/>
  <c r="HG185" i="2"/>
  <c r="HH185" i="2"/>
  <c r="EW185" i="2"/>
  <c r="EV185" i="2"/>
  <c r="EA185" i="2"/>
  <c r="EB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G186" i="2" l="1"/>
  <c r="HH186" i="2"/>
  <c r="EB186" i="2"/>
  <c r="EA186" i="2"/>
  <c r="ED185" i="2"/>
  <c r="FR186" i="2"/>
  <c r="FS186" i="2"/>
  <c r="EW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EB187" i="2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HH188" i="2"/>
  <c r="HI188" i="2"/>
  <c r="ED187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HH189" i="2" l="1"/>
  <c r="EY188" i="2"/>
  <c r="EV189" i="2"/>
  <c r="EB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H190" i="2" l="1"/>
  <c r="HG190" i="2"/>
  <c r="HJ189" i="2"/>
  <c r="ED189" i="2"/>
  <c r="EB190" i="2"/>
  <c r="EV190" i="2"/>
  <c r="EY189" i="2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H191" i="2" l="1"/>
  <c r="HG191" i="2"/>
  <c r="EW191" i="2"/>
  <c r="ED190" i="2"/>
  <c r="HI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HH192" i="2" l="1"/>
  <c r="HG192" i="2"/>
  <c r="HI192" i="2"/>
  <c r="EW192" i="2"/>
  <c r="EV192" i="2"/>
  <c r="EB192" i="2"/>
  <c r="EC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HI193" i="2" l="1"/>
  <c r="EA193" i="2"/>
  <c r="ED192" i="2"/>
  <c r="EB193" i="2"/>
  <c r="EY192" i="2"/>
  <c r="FQ193" i="2"/>
  <c r="EX193" i="2"/>
  <c r="DI192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HI194" i="2" l="1"/>
  <c r="ED193" i="2"/>
  <c r="EB194" i="2"/>
  <c r="EA194" i="2"/>
  <c r="FQ194" i="2"/>
  <c r="HG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HI195" i="2" l="1"/>
  <c r="HG195" i="2"/>
  <c r="EB195" i="2"/>
  <c r="ED194" i="2"/>
  <c r="EA195" i="2"/>
  <c r="EY194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EY195" i="2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HG197" i="2" l="1"/>
  <c r="HH197" i="2"/>
  <c r="EY196" i="2"/>
  <c r="FS197" i="2"/>
  <c r="EW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W198" i="2"/>
  <c r="HI198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HH199" i="2" l="1"/>
  <c r="EV199" i="2"/>
  <c r="EY198" i="2"/>
  <c r="EB199" i="2"/>
  <c r="EW199" i="2"/>
  <c r="FS199" i="2"/>
  <c r="HG199" i="2"/>
  <c r="EA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J199" i="2" l="1"/>
  <c r="EW200" i="2"/>
  <c r="EX200" i="2"/>
  <c r="HI200" i="2"/>
  <c r="FS200" i="2"/>
  <c r="EC200" i="2"/>
  <c r="HH200" i="2"/>
  <c r="GN200" i="2"/>
  <c r="HG200" i="2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HJ200" i="2" l="1"/>
  <c r="HH201" i="2"/>
  <c r="ED200" i="2"/>
  <c r="DI200" i="2"/>
  <c r="HG201" i="2"/>
  <c r="FS201" i="2"/>
  <c r="EB201" i="2"/>
  <c r="EA201" i="2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HG202" i="2" l="1"/>
  <c r="HH202" i="2"/>
  <c r="HI202" i="2"/>
  <c r="HJ202" i="2" s="1"/>
  <c r="EY201" i="2"/>
  <c r="ED201" i="2"/>
  <c r="EW202" i="2"/>
  <c r="EX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D21" i="2" a="1"/>
  <c r="FD21" i="2" s="1"/>
  <c r="FD144" i="2" a="1"/>
  <c r="FD144" i="2" s="1"/>
  <c r="FD59" i="2" a="1"/>
  <c r="FD59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66" i="2" a="1"/>
  <c r="CS66" i="2" s="1"/>
  <c r="CS52" i="2" a="1"/>
  <c r="CS52" i="2" s="1"/>
  <c r="CS129" i="2" a="1"/>
  <c r="CS129" i="2" s="1"/>
  <c r="CS116" i="2" a="1"/>
  <c r="CS116" i="2" s="1"/>
  <c r="EI195" i="2" a="1"/>
  <c r="EI195" i="2" s="1"/>
  <c r="CS137" i="2" a="1"/>
  <c r="CS137" i="2" s="1"/>
  <c r="CS77" i="2" a="1"/>
  <c r="CS77" i="2" s="1"/>
  <c r="AH90" i="2" a="1"/>
  <c r="AH90" i="2" s="1"/>
  <c r="CS161" i="2" a="1"/>
  <c r="CS161" i="2" s="1"/>
  <c r="CS105" i="2" a="1"/>
  <c r="CS105" i="2" s="1"/>
  <c r="CS38" i="2" a="1"/>
  <c r="CS38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CS120" i="2" a="1"/>
  <c r="CS120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CS185" i="2" a="1"/>
  <c r="CS185" i="2" s="1"/>
  <c r="CS56" i="2" a="1"/>
  <c r="CS56" i="2" s="1"/>
  <c r="CS114" i="2" a="1"/>
  <c r="CS114" i="2" s="1"/>
  <c r="DN6" i="2" a="1"/>
  <c r="DN6" i="2" s="1"/>
  <c r="DO6" i="2" s="1"/>
  <c r="CS24" i="2" a="1"/>
  <c r="CS24" i="2" s="1"/>
  <c r="CS134" i="2" a="1"/>
  <c r="CS134" i="2" s="1"/>
  <c r="CS72" i="2" a="1"/>
  <c r="CS72" i="2" s="1"/>
  <c r="BX107" i="2" a="1"/>
  <c r="BX107" i="2" s="1"/>
  <c r="FD82" i="2" a="1"/>
  <c r="FD82" i="2" s="1"/>
  <c r="EY202" i="2"/>
  <c r="AX200" i="2"/>
  <c r="BC34" i="2" l="1" a="1"/>
  <c r="BC34" i="2" s="1"/>
  <c r="AH151" i="2" a="1"/>
  <c r="AH151" i="2" s="1"/>
  <c r="AH163" i="2" a="1"/>
  <c r="AH163" i="2" s="1"/>
  <c r="AH62" i="2" a="1"/>
  <c r="AH62" i="2" s="1"/>
  <c r="AH199" i="2" a="1"/>
  <c r="AH199" i="2" s="1"/>
  <c r="AH166" i="2" a="1"/>
  <c r="AH166" i="2" s="1"/>
  <c r="AH19" i="2" a="1"/>
  <c r="AH19" i="2" s="1"/>
  <c r="AH92" i="2" a="1"/>
  <c r="AH92" i="2" s="1"/>
  <c r="GT51" i="2" a="1"/>
  <c r="GT51" i="2" s="1"/>
  <c r="GT138" i="2" a="1"/>
  <c r="GT138" i="2" s="1"/>
  <c r="GT178" i="2" a="1"/>
  <c r="GT178" i="2" s="1"/>
  <c r="GT15" i="2" a="1"/>
  <c r="GT15" i="2" s="1"/>
  <c r="GT74" i="2" a="1"/>
  <c r="GT74" i="2" s="1"/>
  <c r="GT133" i="2" a="1"/>
  <c r="GT133" i="2" s="1"/>
  <c r="GT107" i="2" a="1"/>
  <c r="GT107" i="2" s="1"/>
  <c r="GT189" i="2" a="1"/>
  <c r="GT189" i="2" s="1"/>
  <c r="GT184" i="2" a="1"/>
  <c r="GT184" i="2" s="1"/>
  <c r="GT174" i="2" a="1"/>
  <c r="GT174" i="2" s="1"/>
  <c r="GT198" i="2" a="1"/>
  <c r="GT198" i="2" s="1"/>
  <c r="GT11" i="2" a="1"/>
  <c r="GT11" i="2" s="1"/>
  <c r="GT102" i="2" a="1"/>
  <c r="GT102" i="2" s="1"/>
  <c r="GT190" i="2" a="1"/>
  <c r="GT190" i="2" s="1"/>
  <c r="GT191" i="2" a="1"/>
  <c r="GT191" i="2" s="1"/>
  <c r="GT12" i="2" a="1"/>
  <c r="GT12" i="2" s="1"/>
  <c r="GT147" i="2" a="1"/>
  <c r="GT147" i="2" s="1"/>
  <c r="GT21" i="2" a="1"/>
  <c r="GT21" i="2" s="1"/>
  <c r="GT152" i="2" a="1"/>
  <c r="GT152" i="2" s="1"/>
  <c r="GT38" i="2" a="1"/>
  <c r="GT38" i="2" s="1"/>
  <c r="GT126" i="2" a="1"/>
  <c r="GT126" i="2" s="1"/>
  <c r="GT33" i="2" a="1"/>
  <c r="GT33" i="2" s="1"/>
  <c r="GT181" i="2" a="1"/>
  <c r="GT181" i="2" s="1"/>
  <c r="GT115" i="2" a="1"/>
  <c r="GT115" i="2" s="1"/>
  <c r="GT121" i="2" a="1"/>
  <c r="GT121" i="2" s="1"/>
  <c r="GT122" i="2" a="1"/>
  <c r="GT122" i="2" s="1"/>
  <c r="GT68" i="2" a="1"/>
  <c r="GT68" i="2" s="1"/>
  <c r="HH203" i="2"/>
  <c r="HG203" i="2"/>
  <c r="DN135" i="2" a="1"/>
  <c r="DN135" i="2" s="1"/>
  <c r="DN55" i="2" a="1"/>
  <c r="DN55" i="2" s="1"/>
  <c r="DN132" i="2" a="1"/>
  <c r="DN132" i="2" s="1"/>
  <c r="DN177" i="2" a="1"/>
  <c r="DN177" i="2" s="1"/>
  <c r="DN30" i="2" a="1"/>
  <c r="DN30" i="2" s="1"/>
  <c r="DN184" i="2" a="1"/>
  <c r="DN184" i="2" s="1"/>
  <c r="DN164" i="2" a="1"/>
  <c r="DN164" i="2" s="1"/>
  <c r="DN31" i="2" a="1"/>
  <c r="DN31" i="2" s="1"/>
  <c r="DN115" i="2" a="1"/>
  <c r="DN115" i="2" s="1"/>
  <c r="DN170" i="2" a="1"/>
  <c r="DN170" i="2" s="1"/>
  <c r="DN46" i="2" a="1"/>
  <c r="DN46" i="2" s="1"/>
  <c r="DN43" i="2" a="1"/>
  <c r="DN43" i="2" s="1"/>
  <c r="DN123" i="2" a="1"/>
  <c r="DN123" i="2" s="1"/>
  <c r="DN187" i="2" a="1"/>
  <c r="DN187" i="2" s="1"/>
  <c r="DN65" i="2" a="1"/>
  <c r="DN65" i="2" s="1"/>
  <c r="DN70" i="2" a="1"/>
  <c r="DN70" i="2" s="1"/>
  <c r="DN63" i="2" a="1"/>
  <c r="DN63" i="2" s="1"/>
  <c r="DN150" i="2" a="1"/>
  <c r="DN150" i="2" s="1"/>
  <c r="DN152" i="2" a="1"/>
  <c r="DN152" i="2" s="1"/>
  <c r="DN110" i="2" a="1"/>
  <c r="DN110" i="2" s="1"/>
  <c r="DN38" i="2" a="1"/>
  <c r="DN38" i="2" s="1"/>
  <c r="DN153" i="2" a="1"/>
  <c r="DN153" i="2" s="1"/>
  <c r="DN41" i="2" a="1"/>
  <c r="DN41" i="2" s="1"/>
  <c r="DN176" i="2" a="1"/>
  <c r="DN176" i="2" s="1"/>
  <c r="DN167" i="2" a="1"/>
  <c r="DN167" i="2" s="1"/>
  <c r="DN114" i="2" a="1"/>
  <c r="DN114" i="2" s="1"/>
  <c r="DN192" i="2" a="1"/>
  <c r="DN192" i="2" s="1"/>
  <c r="DN129" i="2" a="1"/>
  <c r="DN129" i="2" s="1"/>
  <c r="DN16" i="2" a="1"/>
  <c r="DN16" i="2" s="1"/>
  <c r="DN80" i="2" a="1"/>
  <c r="DN80" i="2" s="1"/>
  <c r="DN103" i="2" a="1"/>
  <c r="DN103" i="2" s="1"/>
  <c r="DN66" i="2" a="1"/>
  <c r="DN66" i="2" s="1"/>
  <c r="DN50" i="2" a="1"/>
  <c r="DN50" i="2" s="1"/>
  <c r="DN45" i="2" a="1"/>
  <c r="DN45" i="2" s="1"/>
  <c r="DN190" i="2" a="1"/>
  <c r="DN190" i="2" s="1"/>
  <c r="DN133" i="2" a="1"/>
  <c r="DN133" i="2" s="1"/>
  <c r="DN162" i="2" a="1"/>
  <c r="DN162" i="2" s="1"/>
  <c r="DN188" i="2" a="1"/>
  <c r="DN188" i="2" s="1"/>
  <c r="DN113" i="2" a="1"/>
  <c r="DN113" i="2" s="1"/>
  <c r="DN49" i="2" a="1"/>
  <c r="DN49" i="2" s="1"/>
  <c r="DN168" i="2" a="1"/>
  <c r="DN168" i="2" s="1"/>
  <c r="DN86" i="2" a="1"/>
  <c r="DN86" i="2" s="1"/>
  <c r="DN25" i="2" a="1"/>
  <c r="DN25" i="2" s="1"/>
  <c r="DN155" i="2" a="1"/>
  <c r="DN155" i="2" s="1"/>
  <c r="DN186" i="2" a="1"/>
  <c r="DN186" i="2" s="1"/>
  <c r="DN137" i="2" a="1"/>
  <c r="DN137" i="2" s="1"/>
  <c r="DN124" i="2" a="1"/>
  <c r="DN124" i="2" s="1"/>
  <c r="DN29" i="2" a="1"/>
  <c r="DN29" i="2" s="1"/>
  <c r="DN56" i="2" a="1"/>
  <c r="DN56" i="2" s="1"/>
  <c r="BC38" i="2" a="1"/>
  <c r="BC38" i="2" s="1"/>
  <c r="BC32" i="2" a="1"/>
  <c r="BC32" i="2" s="1"/>
  <c r="BC83" i="2" a="1"/>
  <c r="BC83" i="2" s="1"/>
  <c r="BC181" i="2" a="1"/>
  <c r="BC181" i="2" s="1"/>
  <c r="BC58" i="2" a="1"/>
  <c r="BC58" i="2" s="1"/>
  <c r="BC164" i="2" a="1"/>
  <c r="BC164" i="2" s="1"/>
  <c r="BC117" i="2" a="1"/>
  <c r="BC117" i="2" s="1"/>
  <c r="BC18" i="2" a="1"/>
  <c r="BC18" i="2" s="1"/>
  <c r="BC84" i="2" a="1"/>
  <c r="BC84" i="2" s="1"/>
  <c r="BC68" i="2" a="1"/>
  <c r="BC68" i="2" s="1"/>
  <c r="BC151" i="2" a="1"/>
  <c r="BC151" i="2" s="1"/>
  <c r="BC192" i="2" a="1"/>
  <c r="BC192" i="2" s="1"/>
  <c r="BC65" i="2" a="1"/>
  <c r="BC65" i="2" s="1"/>
  <c r="BC55" i="2" a="1"/>
  <c r="BC55" i="2" s="1"/>
  <c r="BC114" i="2" a="1"/>
  <c r="BC114" i="2" s="1"/>
  <c r="BC185" i="2" a="1"/>
  <c r="BC185" i="2" s="1"/>
  <c r="BC130" i="2" a="1"/>
  <c r="BC130" i="2" s="1"/>
  <c r="BC126" i="2" a="1"/>
  <c r="BC126" i="2" s="1"/>
  <c r="BC143" i="2" a="1"/>
  <c r="BC143" i="2" s="1"/>
  <c r="BC82" i="2" a="1"/>
  <c r="BC82" i="2" s="1"/>
  <c r="BC7" i="2" a="1"/>
  <c r="BC7" i="2" s="1"/>
  <c r="BD7" i="2" s="1"/>
  <c r="BC31" i="2" a="1"/>
  <c r="BC31" i="2" s="1"/>
  <c r="BC47" i="2" a="1"/>
  <c r="BC47" i="2" s="1"/>
  <c r="FY142" i="2" a="1"/>
  <c r="FY142" i="2" s="1"/>
  <c r="FY167" i="2" a="1"/>
  <c r="FY167" i="2" s="1"/>
  <c r="FY58" i="2" a="1"/>
  <c r="FY58" i="2" s="1"/>
  <c r="FY82" i="2" a="1"/>
  <c r="FY82" i="2" s="1"/>
  <c r="FY121" i="2" a="1"/>
  <c r="FY121" i="2" s="1"/>
  <c r="FY30" i="2" a="1"/>
  <c r="FY30" i="2" s="1"/>
  <c r="FY42" i="2" a="1"/>
  <c r="FY42" i="2" s="1"/>
  <c r="FY196" i="2" a="1"/>
  <c r="FY196" i="2" s="1"/>
  <c r="FY172" i="2" a="1"/>
  <c r="FY172" i="2" s="1"/>
  <c r="FY104" i="2" a="1"/>
  <c r="FY104" i="2" s="1"/>
  <c r="FY80" i="2" a="1"/>
  <c r="FY80" i="2" s="1"/>
  <c r="FY115" i="2" a="1"/>
  <c r="FY115" i="2" s="1"/>
  <c r="FY86" i="2" a="1"/>
  <c r="FY86" i="2" s="1"/>
  <c r="FY34" i="2" a="1"/>
  <c r="FY34" i="2" s="1"/>
  <c r="FY149" i="2" a="1"/>
  <c r="FY149" i="2" s="1"/>
  <c r="FY182" i="2" a="1"/>
  <c r="FY182" i="2" s="1"/>
  <c r="FY169" i="2" a="1"/>
  <c r="FY169" i="2" s="1"/>
  <c r="FY62" i="2" a="1"/>
  <c r="FY62" i="2" s="1"/>
  <c r="FY72" i="2" a="1"/>
  <c r="FY72" i="2" s="1"/>
  <c r="FY55" i="2" a="1"/>
  <c r="FY55" i="2" s="1"/>
  <c r="FY28" i="2" a="1"/>
  <c r="FY28" i="2" s="1"/>
  <c r="FY174" i="2" a="1"/>
  <c r="FY174" i="2" s="1"/>
  <c r="FY24" i="2" a="1"/>
  <c r="FY24" i="2" s="1"/>
  <c r="FY188" i="2" a="1"/>
  <c r="FY188" i="2" s="1"/>
  <c r="FY190" i="2" a="1"/>
  <c r="FY190" i="2" s="1"/>
  <c r="FY78" i="2" a="1"/>
  <c r="FY78" i="2" s="1"/>
  <c r="FY164" i="2" a="1"/>
  <c r="FY164" i="2" s="1"/>
  <c r="FY99" i="2" a="1"/>
  <c r="FY99" i="2" s="1"/>
  <c r="FY178" i="2" a="1"/>
  <c r="FY178" i="2" s="1"/>
  <c r="FY152" i="2" a="1"/>
  <c r="FY152" i="2" s="1"/>
  <c r="FY47" i="2" a="1"/>
  <c r="FY47" i="2" s="1"/>
  <c r="FY124" i="2" a="1"/>
  <c r="FY124" i="2" s="1"/>
  <c r="FY126" i="2" a="1"/>
  <c r="FY126" i="2" s="1"/>
  <c r="FY92" i="2" a="1"/>
  <c r="FY92" i="2" s="1"/>
  <c r="FY111" i="2" a="1"/>
  <c r="FY111" i="2" s="1"/>
  <c r="FY73" i="2" a="1"/>
  <c r="FY73" i="2" s="1"/>
  <c r="FY186" i="2" a="1"/>
  <c r="FY186" i="2" s="1"/>
  <c r="FY110" i="2" a="1"/>
  <c r="FY110" i="2" s="1"/>
  <c r="FY116" i="2" a="1"/>
  <c r="FY116" i="2" s="1"/>
  <c r="FY159" i="2" a="1"/>
  <c r="FY159" i="2" s="1"/>
  <c r="FY143" i="2" a="1"/>
  <c r="FY143" i="2" s="1"/>
  <c r="FY191" i="2" a="1"/>
  <c r="FY191" i="2" s="1"/>
  <c r="FY102" i="2" a="1"/>
  <c r="FY102" i="2" s="1"/>
  <c r="FY18" i="2" a="1"/>
  <c r="FY18" i="2" s="1"/>
  <c r="FY173" i="2" a="1"/>
  <c r="FY173" i="2" s="1"/>
  <c r="FY66" i="2" a="1"/>
  <c r="FY66" i="2" s="1"/>
  <c r="FY120" i="2" a="1"/>
  <c r="FY120" i="2" s="1"/>
  <c r="FY71" i="2" a="1"/>
  <c r="FY71" i="2" s="1"/>
  <c r="FY133" i="2" a="1"/>
  <c r="FY133" i="2" s="1"/>
  <c r="FY153" i="2" a="1"/>
  <c r="FY153" i="2" s="1"/>
  <c r="FY146" i="2" a="1"/>
  <c r="FY146" i="2" s="1"/>
  <c r="FY69" i="2" a="1"/>
  <c r="FY69" i="2" s="1"/>
  <c r="FY29" i="2" a="1"/>
  <c r="FY29" i="2" s="1"/>
  <c r="FY35" i="2" a="1"/>
  <c r="FY35" i="2" s="1"/>
  <c r="FY165" i="2" a="1"/>
  <c r="FY165" i="2" s="1"/>
  <c r="FY32" i="2" a="1"/>
  <c r="FY32" i="2" s="1"/>
  <c r="FY50" i="2" a="1"/>
  <c r="FY50" i="2" s="1"/>
  <c r="FY140" i="2" a="1"/>
  <c r="FY140" i="2" s="1"/>
  <c r="FY90" i="2" a="1"/>
  <c r="FY90" i="2" s="1"/>
  <c r="FY57" i="2" a="1"/>
  <c r="FY57" i="2" s="1"/>
  <c r="FY54" i="2" a="1"/>
  <c r="FY54" i="2" s="1"/>
  <c r="FY109" i="2" a="1"/>
  <c r="FY109" i="2" s="1"/>
  <c r="FY79" i="2" a="1"/>
  <c r="FY79" i="2" s="1"/>
  <c r="FY22" i="2" a="1"/>
  <c r="FY22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J30" i="2" l="1"/>
  <c r="FJ118" i="2"/>
  <c r="FJ32" i="2"/>
  <c r="FJ23" i="2"/>
  <c r="FJ53" i="2"/>
  <c r="FJ133" i="2"/>
  <c r="FJ198" i="2"/>
  <c r="FJ161" i="2"/>
  <c r="FJ173" i="2"/>
  <c r="FJ70" i="2"/>
  <c r="FJ177" i="2"/>
  <c r="FJ28" i="2"/>
  <c r="FJ146" i="2"/>
  <c r="FJ144" i="2"/>
  <c r="FJ113" i="2"/>
  <c r="FJ190" i="2"/>
  <c r="FJ120" i="2"/>
  <c r="FJ131" i="2"/>
  <c r="FJ116" i="2"/>
  <c r="FJ83" i="2"/>
  <c r="FJ63" i="2"/>
  <c r="FJ85" i="2"/>
  <c r="FJ121" i="2"/>
  <c r="FJ135" i="2"/>
  <c r="FJ119" i="2"/>
  <c r="FJ175" i="2"/>
  <c r="FJ162" i="2"/>
  <c r="FJ130" i="2"/>
  <c r="FJ123" i="2"/>
  <c r="FJ65" i="2"/>
  <c r="FJ128" i="2"/>
  <c r="FJ199" i="2"/>
  <c r="FJ139" i="2"/>
  <c r="FJ103" i="2"/>
  <c r="FJ170" i="2"/>
  <c r="FJ197" i="2"/>
  <c r="FJ62" i="2"/>
  <c r="FJ57" i="2"/>
  <c r="FJ150" i="2"/>
  <c r="FJ91" i="2"/>
  <c r="FJ114" i="2"/>
  <c r="FJ186" i="2"/>
  <c r="FJ126" i="2"/>
  <c r="FJ6" i="2"/>
  <c r="FJ95" i="2"/>
  <c r="FJ145" i="2"/>
  <c r="FJ193" i="2"/>
  <c r="FJ35" i="2"/>
  <c r="FJ184" i="2"/>
  <c r="FJ189" i="2"/>
  <c r="FJ107" i="2"/>
  <c r="FJ93" i="2"/>
  <c r="FJ41" i="2"/>
  <c r="FJ136" i="2"/>
  <c r="FJ17" i="2"/>
  <c r="FJ15" i="2"/>
  <c r="FJ203" i="2"/>
  <c r="FJ122" i="2"/>
  <c r="FJ137" i="2"/>
  <c r="FJ71" i="2"/>
  <c r="FJ76" i="2"/>
  <c r="FJ101" i="2"/>
  <c r="FJ96" i="2"/>
  <c r="FJ155" i="2"/>
  <c r="FJ111" i="2"/>
  <c r="FJ98" i="2"/>
  <c r="FJ69" i="2"/>
  <c r="FJ110" i="2"/>
  <c r="FJ124" i="2"/>
  <c r="FJ194" i="2"/>
  <c r="FJ180" i="2"/>
  <c r="FJ11" i="2"/>
  <c r="FJ166" i="2"/>
  <c r="FJ94" i="2"/>
  <c r="FJ27" i="2"/>
  <c r="FJ5" i="2"/>
  <c r="FJ90" i="2"/>
  <c r="FJ64" i="2"/>
  <c r="FJ43" i="2"/>
  <c r="FJ46" i="2"/>
  <c r="FJ79" i="2"/>
  <c r="FJ12" i="2"/>
  <c r="FJ179" i="2"/>
  <c r="FJ22" i="2"/>
  <c r="FJ100" i="2"/>
  <c r="FJ16" i="2"/>
  <c r="FJ29" i="2"/>
  <c r="FJ112" i="2"/>
  <c r="FJ134" i="2"/>
  <c r="FJ183" i="2"/>
  <c r="FJ45" i="2"/>
  <c r="FJ68" i="2"/>
  <c r="FJ140" i="2"/>
  <c r="FJ109" i="2"/>
  <c r="FJ33" i="2"/>
  <c r="FJ152" i="2"/>
  <c r="FJ182" i="2"/>
  <c r="FJ59" i="2"/>
  <c r="FJ66" i="2"/>
  <c r="FJ151" i="2"/>
  <c r="FJ39" i="2"/>
  <c r="FJ156" i="2"/>
  <c r="FJ132" i="2"/>
  <c r="FJ149" i="2"/>
  <c r="FJ158" i="2"/>
  <c r="FJ160" i="2"/>
  <c r="FJ56" i="2"/>
  <c r="FJ14" i="2"/>
  <c r="FJ80" i="2"/>
  <c r="FJ20" i="2"/>
  <c r="FJ24" i="2"/>
  <c r="FJ104" i="2"/>
  <c r="FJ172" i="2"/>
  <c r="FJ157" i="2"/>
  <c r="FJ153" i="2"/>
  <c r="FJ67" i="2"/>
  <c r="FJ188" i="2"/>
  <c r="FJ200" i="2"/>
  <c r="FJ192" i="2"/>
  <c r="FJ9" i="2"/>
  <c r="FJ195" i="2"/>
  <c r="FJ55" i="2"/>
  <c r="FJ168" i="2"/>
  <c r="FJ174" i="2"/>
  <c r="FJ75" i="2"/>
  <c r="FJ165" i="2"/>
  <c r="FJ3" i="2"/>
  <c r="C13" i="4" s="1"/>
  <c r="E13" i="4" s="1"/>
  <c r="F13" i="4" s="1"/>
  <c r="G13" i="4" s="1"/>
  <c r="L13" i="4" s="1"/>
  <c r="FJ74" i="2"/>
  <c r="FJ37" i="2"/>
  <c r="FJ87" i="2"/>
  <c r="FJ44" i="2"/>
  <c r="FJ163" i="2"/>
  <c r="FJ176" i="2"/>
  <c r="FJ49" i="2"/>
  <c r="FJ97" i="2"/>
  <c r="FJ51" i="2"/>
  <c r="FJ72" i="2"/>
  <c r="FJ40" i="2"/>
  <c r="FJ31" i="2"/>
  <c r="FJ52" i="2"/>
  <c r="FJ105" i="2"/>
  <c r="FJ60" i="2"/>
  <c r="FJ167" i="2"/>
  <c r="FJ191" i="2"/>
  <c r="FJ82" i="2"/>
  <c r="FJ25" i="2"/>
  <c r="FJ141" i="2"/>
  <c r="FJ8" i="2"/>
  <c r="FJ106" i="2"/>
  <c r="FJ115" i="2"/>
  <c r="FJ108" i="2"/>
  <c r="FJ202" i="2"/>
  <c r="FJ34" i="2"/>
  <c r="FJ78" i="2"/>
  <c r="FJ81" i="2"/>
  <c r="FJ42" i="2"/>
  <c r="FJ125" i="2"/>
  <c r="FJ7" i="2"/>
  <c r="FJ48" i="2"/>
  <c r="FJ181" i="2"/>
  <c r="FJ54" i="2"/>
  <c r="FJ117" i="2"/>
  <c r="FJ26" i="2"/>
  <c r="FJ89" i="2"/>
  <c r="FJ178" i="2"/>
  <c r="FJ18" i="2"/>
  <c r="FJ58" i="2"/>
  <c r="FJ171" i="2"/>
  <c r="FJ196" i="2"/>
  <c r="FJ185" i="2"/>
  <c r="FJ36" i="2"/>
  <c r="FJ127" i="2"/>
  <c r="FJ159" i="2"/>
  <c r="FJ129" i="2"/>
  <c r="FJ10" i="2"/>
  <c r="FJ201" i="2"/>
  <c r="FJ99" i="2"/>
  <c r="FJ84" i="2"/>
  <c r="FJ86" i="2"/>
  <c r="FJ21" i="2"/>
  <c r="FJ61" i="2"/>
  <c r="FJ73" i="2"/>
  <c r="FJ143" i="2"/>
  <c r="FJ50" i="2"/>
  <c r="FJ19" i="2"/>
  <c r="FJ169" i="2"/>
  <c r="FJ147" i="2"/>
  <c r="FJ138" i="2"/>
  <c r="FJ187" i="2"/>
  <c r="FJ4" i="2"/>
  <c r="FJ77" i="2"/>
  <c r="FJ92" i="2"/>
  <c r="FJ88" i="2"/>
  <c r="FJ102" i="2"/>
  <c r="FJ154" i="2"/>
  <c r="FJ148" i="2"/>
  <c r="FJ164" i="2"/>
  <c r="FJ38" i="2"/>
  <c r="FJ47" i="2"/>
  <c r="FJ13" i="2"/>
  <c r="FJ142" i="2"/>
  <c r="FE104" i="2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GE25" i="2" l="1"/>
  <c r="GE178" i="2"/>
  <c r="GE139" i="2"/>
  <c r="GE142" i="2"/>
  <c r="GE151" i="2"/>
  <c r="GE199" i="2"/>
  <c r="GE113" i="2"/>
  <c r="GE116" i="2"/>
  <c r="GE168" i="2"/>
  <c r="GE82" i="2"/>
  <c r="GE32" i="2"/>
  <c r="GE106" i="2"/>
  <c r="GE105" i="2"/>
  <c r="GE34" i="2"/>
  <c r="GE63" i="2"/>
  <c r="GE130" i="2"/>
  <c r="GE60" i="2"/>
  <c r="GE158" i="2"/>
  <c r="GE17" i="2"/>
  <c r="GE30" i="2"/>
  <c r="GE110" i="2"/>
  <c r="GE93" i="2"/>
  <c r="GE90" i="2"/>
  <c r="GE121" i="2"/>
  <c r="GE73" i="2"/>
  <c r="GE37" i="2"/>
  <c r="GE50" i="2"/>
  <c r="GE47" i="2"/>
  <c r="GE5" i="2"/>
  <c r="GE10" i="2"/>
  <c r="GE161" i="2"/>
  <c r="GE7" i="2"/>
  <c r="GE20" i="2"/>
  <c r="GE15" i="2"/>
  <c r="GE94" i="2"/>
  <c r="GE3" i="2"/>
  <c r="C14" i="4" s="1"/>
  <c r="E14" i="4" s="1"/>
  <c r="F14" i="4" s="1"/>
  <c r="G14" i="4" s="1"/>
  <c r="L14" i="4" s="1"/>
  <c r="GE147" i="2"/>
  <c r="GE102" i="2"/>
  <c r="GE76" i="2"/>
  <c r="GE38" i="2"/>
  <c r="GE156" i="2"/>
  <c r="GE174" i="2"/>
  <c r="GE22" i="2"/>
  <c r="GE57" i="2"/>
  <c r="GE190" i="2"/>
  <c r="GE197" i="2"/>
  <c r="GE100" i="2"/>
  <c r="GE56" i="2"/>
  <c r="GE176" i="2"/>
  <c r="GE148" i="2"/>
  <c r="GE95" i="2"/>
  <c r="GE169" i="2"/>
  <c r="GE31" i="2"/>
  <c r="GE192" i="2"/>
  <c r="GE173" i="2"/>
  <c r="GE36" i="2"/>
  <c r="GE75" i="2"/>
  <c r="GE35" i="2"/>
  <c r="GE48" i="2"/>
  <c r="GE11" i="2"/>
  <c r="GE187" i="2"/>
  <c r="GE13" i="2"/>
  <c r="GE193" i="2"/>
  <c r="GE171" i="2"/>
  <c r="GE98" i="2"/>
  <c r="GE200" i="2"/>
  <c r="GE59" i="2"/>
  <c r="GE88" i="2"/>
  <c r="GE42" i="2"/>
  <c r="GE96" i="2"/>
  <c r="GE195" i="2"/>
  <c r="GE69" i="2"/>
  <c r="GE55" i="2"/>
  <c r="GE160" i="2"/>
  <c r="GE159" i="2"/>
  <c r="GE182" i="2"/>
  <c r="GE149" i="2"/>
  <c r="GE184" i="2"/>
  <c r="GE137" i="2"/>
  <c r="GE109" i="2"/>
  <c r="GE115" i="2"/>
  <c r="GE118" i="2"/>
  <c r="GE166" i="2"/>
  <c r="GE87" i="2"/>
  <c r="GE201" i="2"/>
  <c r="GE111" i="2"/>
  <c r="GE16" i="2"/>
  <c r="GE49" i="2"/>
  <c r="GE179" i="2"/>
  <c r="GE53" i="2"/>
  <c r="GE80" i="2"/>
  <c r="GE92" i="2"/>
  <c r="GE185" i="2"/>
  <c r="GE33" i="2"/>
  <c r="GE134" i="2"/>
  <c r="GE140" i="2"/>
  <c r="GE146" i="2"/>
  <c r="GE189" i="2"/>
  <c r="GE153" i="2"/>
  <c r="GE155" i="2"/>
  <c r="GE52" i="2"/>
  <c r="GE203" i="2"/>
  <c r="GE107" i="2"/>
  <c r="GE180" i="2"/>
  <c r="GE150" i="2"/>
  <c r="GE133" i="2"/>
  <c r="GE64" i="2"/>
  <c r="GE165" i="2"/>
  <c r="GE175" i="2"/>
  <c r="GE97" i="2"/>
  <c r="GE62" i="2"/>
  <c r="GE112" i="2"/>
  <c r="GE162" i="2"/>
  <c r="GE152" i="2"/>
  <c r="GE123" i="2"/>
  <c r="GE28" i="2"/>
  <c r="GE131" i="2"/>
  <c r="GE89" i="2"/>
  <c r="GE188" i="2"/>
  <c r="GE127" i="2"/>
  <c r="GE183" i="2"/>
  <c r="GE54" i="2"/>
  <c r="GE19" i="2"/>
  <c r="GE99" i="2"/>
  <c r="GE45" i="2"/>
  <c r="GE164" i="2"/>
  <c r="GE65" i="2"/>
  <c r="GE67" i="2"/>
  <c r="GE14" i="2"/>
  <c r="GE66" i="2"/>
  <c r="GE104" i="2"/>
  <c r="GE119" i="2"/>
  <c r="GE44" i="2"/>
  <c r="GE40" i="2"/>
  <c r="GE51" i="2"/>
  <c r="GE27" i="2"/>
  <c r="GE78" i="2"/>
  <c r="GE39" i="2"/>
  <c r="GE8" i="2"/>
  <c r="GE85" i="2"/>
  <c r="GE41" i="2"/>
  <c r="GE125" i="2"/>
  <c r="GE61" i="2"/>
  <c r="GE43" i="2"/>
  <c r="GE21" i="2"/>
  <c r="GE124" i="2"/>
  <c r="GE18" i="2"/>
  <c r="GE9" i="2"/>
  <c r="GE84" i="2"/>
  <c r="GE141" i="2"/>
  <c r="GE101" i="2"/>
  <c r="GE120" i="2"/>
  <c r="GE126" i="2"/>
  <c r="GE72" i="2"/>
  <c r="GE6" i="2"/>
  <c r="GE181" i="2"/>
  <c r="GE26" i="2"/>
  <c r="GE157" i="2"/>
  <c r="GE74" i="2"/>
  <c r="GE132" i="2"/>
  <c r="GE24" i="2"/>
  <c r="GE191" i="2"/>
  <c r="GE177" i="2"/>
  <c r="GE143" i="2"/>
  <c r="GE77" i="2"/>
  <c r="GE70" i="2"/>
  <c r="GE23" i="2"/>
  <c r="GE135" i="2"/>
  <c r="GE129" i="2"/>
  <c r="GE103" i="2"/>
  <c r="GE114" i="2"/>
  <c r="GE46" i="2"/>
  <c r="GE136" i="2"/>
  <c r="GE29" i="2"/>
  <c r="GE198" i="2"/>
  <c r="GE202" i="2"/>
  <c r="GE170" i="2"/>
  <c r="GE71" i="2"/>
  <c r="GE186" i="2"/>
  <c r="GE172" i="2"/>
  <c r="GE144" i="2"/>
  <c r="GE79" i="2"/>
  <c r="GE122" i="2"/>
  <c r="GE4" i="2"/>
  <c r="GE128" i="2"/>
  <c r="GE91" i="2"/>
  <c r="GE68" i="2"/>
  <c r="GE163" i="2"/>
  <c r="GE81" i="2"/>
  <c r="GE196" i="2"/>
  <c r="GE12" i="2"/>
  <c r="GE167" i="2"/>
  <c r="GE58" i="2"/>
  <c r="GE138" i="2"/>
  <c r="GE194" i="2"/>
  <c r="GE86" i="2"/>
  <c r="GE83" i="2"/>
  <c r="GE145" i="2"/>
  <c r="GE154" i="2"/>
  <c r="GE108" i="2"/>
  <c r="GE117" i="2"/>
  <c r="FE115" i="2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GZ173" i="2" l="1"/>
  <c r="GZ112" i="2"/>
  <c r="GZ14" i="2"/>
  <c r="GZ28" i="2"/>
  <c r="GZ29" i="2"/>
  <c r="GZ147" i="2"/>
  <c r="GZ198" i="2"/>
  <c r="GZ199" i="2"/>
  <c r="GZ46" i="2"/>
  <c r="GZ177" i="2"/>
  <c r="GZ178" i="2"/>
  <c r="GZ25" i="2"/>
  <c r="GZ140" i="2"/>
  <c r="GZ141" i="2"/>
  <c r="GZ126" i="2"/>
  <c r="GZ111" i="2"/>
  <c r="GZ116" i="2"/>
  <c r="GZ105" i="2"/>
  <c r="GZ90" i="2"/>
  <c r="GZ6" i="2"/>
  <c r="GZ68" i="2"/>
  <c r="GZ53" i="2"/>
  <c r="GZ184" i="2"/>
  <c r="GZ39" i="2"/>
  <c r="GZ32" i="2"/>
  <c r="GZ187" i="2"/>
  <c r="GZ63" i="2"/>
  <c r="GZ202" i="2"/>
  <c r="GZ118" i="2"/>
  <c r="GZ42" i="2"/>
  <c r="GZ165" i="2"/>
  <c r="GZ97" i="2"/>
  <c r="GZ5" i="2"/>
  <c r="GZ144" i="2"/>
  <c r="GZ60" i="2"/>
  <c r="GZ175" i="2"/>
  <c r="GZ51" i="2"/>
  <c r="GZ31" i="2"/>
  <c r="GZ154" i="2"/>
  <c r="GZ78" i="2"/>
  <c r="GZ10" i="2"/>
  <c r="GZ117" i="2"/>
  <c r="GZ8" i="2"/>
  <c r="GZ172" i="2"/>
  <c r="GZ96" i="2"/>
  <c r="GZ81" i="2"/>
  <c r="GZ143" i="2"/>
  <c r="GZ181" i="2"/>
  <c r="GZ44" i="2"/>
  <c r="GZ122" i="2"/>
  <c r="GZ160" i="2"/>
  <c r="GZ15" i="2"/>
  <c r="GZ85" i="2"/>
  <c r="GZ179" i="2"/>
  <c r="GZ18" i="2"/>
  <c r="GZ64" i="2"/>
  <c r="GZ94" i="2"/>
  <c r="GZ180" i="2"/>
  <c r="GZ11" i="2"/>
  <c r="GZ73" i="2"/>
  <c r="GZ151" i="2"/>
  <c r="GZ197" i="2"/>
  <c r="GZ36" i="2"/>
  <c r="GZ130" i="2"/>
  <c r="GZ176" i="2"/>
  <c r="GZ7" i="2"/>
  <c r="GZ93" i="2"/>
  <c r="GZ35" i="2"/>
  <c r="GZ185" i="2"/>
  <c r="GZ72" i="2"/>
  <c r="GZ57" i="2"/>
  <c r="GZ148" i="2"/>
  <c r="GZ75" i="2"/>
  <c r="GZ20" i="2"/>
  <c r="GZ119" i="2"/>
  <c r="GZ136" i="2"/>
  <c r="GZ190" i="2"/>
  <c r="GZ41" i="2"/>
  <c r="GZ98" i="2"/>
  <c r="GZ155" i="2"/>
  <c r="GZ169" i="2"/>
  <c r="GZ61" i="2"/>
  <c r="GZ70" i="2"/>
  <c r="GZ193" i="2"/>
  <c r="GZ40" i="2"/>
  <c r="GZ49" i="2"/>
  <c r="GZ156" i="2"/>
  <c r="GZ67" i="2"/>
  <c r="GZ12" i="2"/>
  <c r="GZ127" i="2"/>
  <c r="GZ19" i="2"/>
  <c r="GZ182" i="2"/>
  <c r="GZ106" i="2"/>
  <c r="GZ30" i="2"/>
  <c r="GZ161" i="2"/>
  <c r="GZ69" i="2"/>
  <c r="GZ9" i="2"/>
  <c r="GZ124" i="2"/>
  <c r="GZ48" i="2"/>
  <c r="GZ99" i="2"/>
  <c r="GZ95" i="2"/>
  <c r="GZ131" i="2"/>
  <c r="GZ89" i="2"/>
  <c r="GZ74" i="2"/>
  <c r="GZ189" i="2"/>
  <c r="GZ52" i="2"/>
  <c r="GZ37" i="2"/>
  <c r="GZ168" i="2"/>
  <c r="GZ23" i="2"/>
  <c r="GZ16" i="2"/>
  <c r="GZ171" i="2"/>
  <c r="GZ132" i="2"/>
  <c r="GZ186" i="2"/>
  <c r="GZ102" i="2"/>
  <c r="GZ103" i="2"/>
  <c r="GZ149" i="2"/>
  <c r="GZ123" i="2"/>
  <c r="GZ82" i="2"/>
  <c r="GZ128" i="2"/>
  <c r="GZ158" i="2"/>
  <c r="GZ110" i="2"/>
  <c r="GZ91" i="2"/>
  <c r="GZ137" i="2"/>
  <c r="GZ24" i="2"/>
  <c r="GZ62" i="2"/>
  <c r="GZ100" i="2"/>
  <c r="GZ194" i="2"/>
  <c r="GZ71" i="2"/>
  <c r="GZ157" i="2"/>
  <c r="GZ142" i="2"/>
  <c r="GZ50" i="2"/>
  <c r="GZ203" i="2"/>
  <c r="GZ121" i="2"/>
  <c r="GZ13" i="2"/>
  <c r="GZ22" i="2"/>
  <c r="GZ84" i="2"/>
  <c r="GZ183" i="2"/>
  <c r="GZ200" i="2"/>
  <c r="GZ201" i="2"/>
  <c r="GZ162" i="2"/>
  <c r="GZ59" i="2"/>
  <c r="GZ164" i="2"/>
  <c r="GZ125" i="2"/>
  <c r="GZ134" i="2"/>
  <c r="GZ135" i="2"/>
  <c r="GZ104" i="2"/>
  <c r="GZ113" i="2"/>
  <c r="GZ114" i="2"/>
  <c r="GZ83" i="2"/>
  <c r="GZ76" i="2"/>
  <c r="GZ77" i="2"/>
  <c r="GZ38" i="2"/>
  <c r="GZ47" i="2"/>
  <c r="GZ56" i="2"/>
  <c r="GZ17" i="2"/>
  <c r="GZ26" i="2"/>
  <c r="GZ195" i="2"/>
  <c r="GZ4" i="2"/>
  <c r="GZ188" i="2"/>
  <c r="GZ120" i="2"/>
  <c r="GZ174" i="2"/>
  <c r="GZ159" i="2"/>
  <c r="GZ27" i="2"/>
  <c r="GZ153" i="2"/>
  <c r="GZ138" i="2"/>
  <c r="GZ54" i="2"/>
  <c r="GZ55" i="2"/>
  <c r="GZ101" i="2"/>
  <c r="GZ33" i="2"/>
  <c r="GZ34" i="2"/>
  <c r="GZ80" i="2"/>
  <c r="GZ163" i="2"/>
  <c r="GZ196" i="2"/>
  <c r="GZ139" i="2"/>
  <c r="GZ166" i="2"/>
  <c r="GZ167" i="2"/>
  <c r="GZ145" i="2"/>
  <c r="GZ146" i="2"/>
  <c r="GZ192" i="2"/>
  <c r="GZ108" i="2"/>
  <c r="GZ109" i="2"/>
  <c r="GZ43" i="2"/>
  <c r="GZ79" i="2"/>
  <c r="GZ88" i="2"/>
  <c r="GZ107" i="2"/>
  <c r="GZ58" i="2"/>
  <c r="GZ45" i="2"/>
  <c r="GZ150" i="2"/>
  <c r="GZ21" i="2"/>
  <c r="GZ152" i="2"/>
  <c r="GZ129" i="2"/>
  <c r="GZ191" i="2"/>
  <c r="GZ115" i="2"/>
  <c r="GZ92" i="2"/>
  <c r="GZ170" i="2"/>
  <c r="GZ86" i="2"/>
  <c r="GZ87" i="2"/>
  <c r="GZ133" i="2"/>
  <c r="GZ65" i="2"/>
  <c r="GZ66" i="2"/>
  <c r="GZ3" i="2"/>
  <c r="C15" i="4" s="1"/>
  <c r="E15" i="4" s="1"/>
  <c r="F15" i="4" s="1"/>
  <c r="G15" i="4" s="1"/>
  <c r="L15" i="4" s="1"/>
  <c r="CY20" i="2"/>
  <c r="CY43" i="2"/>
  <c r="CY24" i="2"/>
  <c r="CY21" i="2"/>
  <c r="CY153" i="2"/>
  <c r="CY45" i="2"/>
  <c r="CY83" i="2"/>
  <c r="CY39" i="2"/>
  <c r="CY71" i="2"/>
  <c r="CY141" i="2"/>
  <c r="CY193" i="2"/>
  <c r="CY72" i="2"/>
  <c r="CY19" i="2"/>
  <c r="CY172" i="2"/>
  <c r="CY59" i="2"/>
  <c r="CY77" i="2"/>
  <c r="CY94" i="2"/>
  <c r="CY17" i="2"/>
  <c r="CY146" i="2"/>
  <c r="CY65" i="2"/>
  <c r="CY87" i="2"/>
  <c r="CY23" i="2"/>
  <c r="CY40" i="2"/>
  <c r="CY63" i="2"/>
  <c r="CY150" i="2"/>
  <c r="CY156" i="2"/>
  <c r="CY12" i="2"/>
  <c r="CY198" i="2"/>
  <c r="CY203" i="2"/>
  <c r="CY179" i="2"/>
  <c r="CY143" i="2"/>
  <c r="CY189" i="2"/>
  <c r="CY171" i="2"/>
  <c r="CY26" i="2"/>
  <c r="CY97" i="2"/>
  <c r="CY164" i="2"/>
  <c r="CY78" i="2"/>
  <c r="CY47" i="2"/>
  <c r="CY42" i="2"/>
  <c r="CY145" i="2"/>
  <c r="CY85" i="2"/>
  <c r="CY88" i="2"/>
  <c r="CY5" i="2"/>
  <c r="CY144" i="2"/>
  <c r="CY98" i="2"/>
  <c r="CY51" i="2"/>
  <c r="CY6" i="2"/>
  <c r="CY66" i="2"/>
  <c r="CY60" i="2"/>
  <c r="CY157" i="2"/>
  <c r="CY99" i="2"/>
  <c r="CY190" i="2"/>
  <c r="CY133" i="2"/>
  <c r="CY33" i="2"/>
  <c r="CY188" i="2"/>
  <c r="CY70" i="2"/>
  <c r="CY166" i="2"/>
  <c r="CY149" i="2"/>
  <c r="CY58" i="2"/>
  <c r="CY132" i="2"/>
  <c r="CY184" i="2"/>
  <c r="CY16" i="2"/>
  <c r="CY44" i="2"/>
  <c r="CY82" i="2"/>
  <c r="CY191" i="2"/>
  <c r="CY167" i="2"/>
  <c r="CY195" i="2"/>
  <c r="CY112" i="2"/>
  <c r="CY11" i="2"/>
  <c r="CY117" i="2"/>
  <c r="CY22" i="2"/>
  <c r="CY103" i="2"/>
  <c r="CY32" i="2"/>
  <c r="CY170" i="2"/>
  <c r="CY7" i="2"/>
  <c r="CY50" i="2"/>
  <c r="CY163" i="2"/>
  <c r="CY116" i="2"/>
  <c r="CY139" i="2"/>
  <c r="CY123" i="2"/>
  <c r="CY126" i="2"/>
  <c r="CY106" i="2"/>
  <c r="CY131" i="2"/>
  <c r="CY31" i="2"/>
  <c r="CY124" i="2"/>
  <c r="CY9" i="2"/>
  <c r="CY201" i="2"/>
  <c r="CY192" i="2"/>
  <c r="CY80" i="2"/>
  <c r="CY154" i="2"/>
  <c r="CY152" i="2"/>
  <c r="CY177" i="2"/>
  <c r="CY199" i="2"/>
  <c r="CY125" i="2"/>
  <c r="CY127" i="2"/>
  <c r="CY119" i="2"/>
  <c r="CY181" i="2"/>
  <c r="CY62" i="2"/>
  <c r="CY95" i="2"/>
  <c r="CY49" i="2"/>
  <c r="CY130" i="2"/>
  <c r="CY54" i="2"/>
  <c r="CY53" i="2"/>
  <c r="CY64" i="2"/>
  <c r="CY183" i="2"/>
  <c r="CY134" i="2"/>
  <c r="CY160" i="2"/>
  <c r="CY67" i="2"/>
  <c r="CY121" i="2"/>
  <c r="CY81" i="2"/>
  <c r="CY111" i="2"/>
  <c r="CY38" i="2"/>
  <c r="CY165" i="2"/>
  <c r="CY69" i="2"/>
  <c r="CY173" i="2"/>
  <c r="CY122" i="2"/>
  <c r="CY102" i="2"/>
  <c r="CY56" i="2"/>
  <c r="CY108" i="2"/>
  <c r="CY10" i="2"/>
  <c r="CY96" i="2"/>
  <c r="CY168" i="2"/>
  <c r="CY76" i="2"/>
  <c r="CY194" i="2"/>
  <c r="CY15" i="2"/>
  <c r="CY73" i="2"/>
  <c r="CY8" i="2"/>
  <c r="CY28" i="2"/>
  <c r="CY113" i="2"/>
  <c r="CY36" i="2"/>
  <c r="CY57" i="2"/>
  <c r="CY180" i="2"/>
  <c r="CY55" i="2"/>
  <c r="CY109" i="2"/>
  <c r="CY176" i="2"/>
  <c r="CY120" i="2"/>
  <c r="CY147" i="2"/>
  <c r="CY107" i="2"/>
  <c r="CY104" i="2"/>
  <c r="CY142" i="2"/>
  <c r="CY138" i="2"/>
  <c r="CY187" i="2"/>
  <c r="CY68" i="2"/>
  <c r="CY91" i="2"/>
  <c r="CY159" i="2"/>
  <c r="CY115" i="2"/>
  <c r="CY89" i="2"/>
  <c r="CY140" i="2"/>
  <c r="CY52" i="2"/>
  <c r="CY128" i="2"/>
  <c r="CY79" i="2"/>
  <c r="CY84" i="2"/>
  <c r="CY25" i="2"/>
  <c r="CY182" i="2"/>
  <c r="CY35" i="2"/>
  <c r="CY148" i="2"/>
  <c r="CY155" i="2"/>
  <c r="CY3" i="2"/>
  <c r="C10" i="4" s="1"/>
  <c r="E10" i="4" s="1"/>
  <c r="F10" i="4" s="1"/>
  <c r="G10" i="4" s="1"/>
  <c r="L10" i="4" s="1"/>
  <c r="CY162" i="2"/>
  <c r="CY169" i="2"/>
  <c r="CY74" i="2"/>
  <c r="CY129" i="2"/>
  <c r="CY178" i="2"/>
  <c r="CY110" i="2"/>
  <c r="CY29" i="2"/>
  <c r="CY48" i="2"/>
  <c r="CY46" i="2"/>
  <c r="CY14" i="2"/>
  <c r="CY105" i="2"/>
  <c r="CY137" i="2"/>
  <c r="CY18" i="2"/>
  <c r="CY114" i="2"/>
  <c r="CY100" i="2"/>
  <c r="CY135" i="2"/>
  <c r="CY37" i="2"/>
  <c r="CY185" i="2"/>
  <c r="CY13" i="2"/>
  <c r="CY186" i="2"/>
  <c r="CY136" i="2"/>
  <c r="CY61" i="2"/>
  <c r="CY101" i="2"/>
  <c r="CY197" i="2"/>
  <c r="CY92" i="2"/>
  <c r="CY158" i="2"/>
  <c r="CY30" i="2"/>
  <c r="CY175" i="2"/>
  <c r="CY27" i="2"/>
  <c r="CY41" i="2"/>
  <c r="CY90" i="2"/>
  <c r="CY93" i="2"/>
  <c r="CY118" i="2"/>
  <c r="CY34" i="2"/>
  <c r="CY86" i="2"/>
  <c r="CY161" i="2"/>
  <c r="CY200" i="2"/>
  <c r="CY174" i="2"/>
  <c r="CY196" i="2"/>
  <c r="CY202" i="2"/>
  <c r="CY4" i="2"/>
  <c r="CY75" i="2"/>
  <c r="CY151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47" i="2" l="1"/>
  <c r="BI160" i="2"/>
  <c r="BI150" i="2"/>
  <c r="BI155" i="2"/>
  <c r="BI78" i="2"/>
  <c r="BI127" i="2"/>
  <c r="BI85" i="2"/>
  <c r="BI163" i="2"/>
  <c r="BI133" i="2"/>
  <c r="BI104" i="2"/>
  <c r="BI168" i="2"/>
  <c r="BI77" i="2"/>
  <c r="BI109" i="2"/>
  <c r="BI119" i="2"/>
  <c r="BI51" i="2"/>
  <c r="BI165" i="2"/>
  <c r="BI199" i="2"/>
  <c r="BI148" i="2"/>
  <c r="BI176" i="2"/>
  <c r="BI196" i="2"/>
  <c r="BI68" i="2"/>
  <c r="BI80" i="2"/>
  <c r="BI144" i="2"/>
  <c r="BI158" i="2"/>
  <c r="BI101" i="2"/>
  <c r="BI145" i="2"/>
  <c r="BI166" i="2"/>
  <c r="BI34" i="2"/>
  <c r="BI30" i="2"/>
  <c r="BI202" i="2"/>
  <c r="BI124" i="2"/>
  <c r="BI96" i="2"/>
  <c r="BI161" i="2"/>
  <c r="BI36" i="2"/>
  <c r="BI115" i="2"/>
  <c r="BI37" i="2"/>
  <c r="BI187" i="2"/>
  <c r="BI159" i="2"/>
  <c r="BI201" i="2"/>
  <c r="BI103" i="2"/>
  <c r="BI42" i="2"/>
  <c r="BI191" i="2"/>
  <c r="BI21" i="2"/>
  <c r="BI67" i="2"/>
  <c r="BI9" i="2"/>
  <c r="BI134" i="2"/>
  <c r="BI6" i="2"/>
  <c r="BI169" i="2"/>
  <c r="BI106" i="2"/>
  <c r="BI46" i="2"/>
  <c r="BI183" i="2"/>
  <c r="BI121" i="2"/>
  <c r="BI44" i="2"/>
  <c r="BI178" i="2"/>
  <c r="BI41" i="2"/>
  <c r="BI22" i="2"/>
  <c r="BI79" i="2"/>
  <c r="BI186" i="2"/>
  <c r="BI162" i="2"/>
  <c r="BI76" i="2"/>
  <c r="BI86" i="2"/>
  <c r="BI20" i="2"/>
  <c r="BI179" i="2"/>
  <c r="BI50" i="2"/>
  <c r="BI100" i="2"/>
  <c r="BI142" i="2"/>
  <c r="BI89" i="2"/>
  <c r="BI117" i="2"/>
  <c r="BI194" i="2"/>
  <c r="BI140" i="2"/>
  <c r="BI143" i="2"/>
  <c r="BI175" i="2"/>
  <c r="BI102" i="2"/>
  <c r="BI123" i="2"/>
  <c r="BI48" i="2"/>
  <c r="BI136" i="2"/>
  <c r="BI118" i="2"/>
  <c r="BI24" i="2"/>
  <c r="BI132" i="2"/>
  <c r="BI53" i="2"/>
  <c r="BI84" i="2"/>
  <c r="BI157" i="2"/>
  <c r="BI184" i="2"/>
  <c r="BI7" i="2"/>
  <c r="BI14" i="2"/>
  <c r="BI107" i="2"/>
  <c r="BI147" i="2"/>
  <c r="BI188" i="2"/>
  <c r="BI56" i="2"/>
  <c r="BI3" i="2"/>
  <c r="C8" i="4" s="1"/>
  <c r="E8" i="4" s="1"/>
  <c r="F8" i="4" s="1"/>
  <c r="G8" i="4" s="1"/>
  <c r="L8" i="4" s="1"/>
  <c r="BI8" i="2"/>
  <c r="BI40" i="2"/>
  <c r="BI74" i="2"/>
  <c r="BI64" i="2"/>
  <c r="BI62" i="2"/>
  <c r="BI112" i="2"/>
  <c r="BI193" i="2"/>
  <c r="BI75" i="2"/>
  <c r="BI126" i="2"/>
  <c r="BI154" i="2"/>
  <c r="BI95" i="2"/>
  <c r="BI18" i="2"/>
  <c r="BI116" i="2"/>
  <c r="BI149" i="2"/>
  <c r="BI135" i="2"/>
  <c r="BI87" i="2"/>
  <c r="BI182" i="2"/>
  <c r="BI55" i="2"/>
  <c r="BI83" i="2"/>
  <c r="BI17" i="2"/>
  <c r="BI19" i="2"/>
  <c r="BI4" i="2"/>
  <c r="BI10" i="2"/>
  <c r="BI151" i="2"/>
  <c r="BI66" i="2"/>
  <c r="BI128" i="2"/>
  <c r="BI181" i="2"/>
  <c r="BI192" i="2"/>
  <c r="BI105" i="2"/>
  <c r="BI73" i="2"/>
  <c r="BI58" i="2"/>
  <c r="BI13" i="2"/>
  <c r="BI57" i="2"/>
  <c r="BI65" i="2"/>
  <c r="BI122" i="2"/>
  <c r="BI200" i="2"/>
  <c r="BI25" i="2"/>
  <c r="BI190" i="2"/>
  <c r="BI170" i="2"/>
  <c r="BI43" i="2"/>
  <c r="BI11" i="2"/>
  <c r="BI129" i="2"/>
  <c r="BI173" i="2"/>
  <c r="BI38" i="2"/>
  <c r="BI180" i="2"/>
  <c r="BI82" i="2"/>
  <c r="BI152" i="2"/>
  <c r="BI63" i="2"/>
  <c r="BI114" i="2"/>
  <c r="BI91" i="2"/>
  <c r="BI59" i="2"/>
  <c r="BI137" i="2"/>
  <c r="BI49" i="2"/>
  <c r="BI92" i="2"/>
  <c r="BI54" i="2"/>
  <c r="BI111" i="2"/>
  <c r="BI16" i="2"/>
  <c r="BI156" i="2"/>
  <c r="BI12" i="2"/>
  <c r="BI52" i="2"/>
  <c r="BI33" i="2"/>
  <c r="BI189" i="2"/>
  <c r="BI108" i="2"/>
  <c r="BI69" i="2"/>
  <c r="BI99" i="2"/>
  <c r="BI120" i="2"/>
  <c r="BI27" i="2"/>
  <c r="BI5" i="2"/>
  <c r="BI61" i="2"/>
  <c r="BI113" i="2"/>
  <c r="BI39" i="2"/>
  <c r="BI185" i="2"/>
  <c r="BI172" i="2"/>
  <c r="BI26" i="2"/>
  <c r="BI32" i="2"/>
  <c r="BI35" i="2"/>
  <c r="BI72" i="2"/>
  <c r="BI90" i="2"/>
  <c r="BI15" i="2"/>
  <c r="BI139" i="2"/>
  <c r="BI23" i="2"/>
  <c r="BI60" i="2"/>
  <c r="BI71" i="2"/>
  <c r="BI45" i="2"/>
  <c r="BI171" i="2"/>
  <c r="BI131" i="2"/>
  <c r="BI203" i="2"/>
  <c r="BI93" i="2"/>
  <c r="BI177" i="2"/>
  <c r="BI153" i="2"/>
  <c r="BI31" i="2"/>
  <c r="BI130" i="2"/>
  <c r="BI197" i="2"/>
  <c r="BI146" i="2"/>
  <c r="BI164" i="2"/>
  <c r="BI167" i="2"/>
  <c r="BI94" i="2"/>
  <c r="BI138" i="2"/>
  <c r="BI174" i="2"/>
  <c r="BI70" i="2"/>
  <c r="BI195" i="2"/>
  <c r="BI28" i="2"/>
  <c r="BI141" i="2"/>
  <c r="BI81" i="2"/>
  <c r="BI98" i="2"/>
  <c r="BI198" i="2"/>
  <c r="BI125" i="2"/>
  <c r="BI110" i="2"/>
  <c r="BI88" i="2"/>
  <c r="BI97" i="2"/>
  <c r="BI29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<sst xmlns="http://schemas.openxmlformats.org/spreadsheetml/2006/main" count="1179" uniqueCount="324">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</sst>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0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161.75563241829539</c:v>
                </c:pt>
                <c:pt idx="22">
                  <c:v>175.89351283227515</c:v>
                </c:pt>
                <c:pt idx="23">
                  <c:v>190.00471981377623</c:v>
                </c:pt>
                <c:pt idx="24">
                  <c:v>204.09151430529414</c:v>
                </c:pt>
                <c:pt idx="25">
                  <c:v>218.15581931274576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262.56193918616879</c:v>
                </c:pt>
                <c:pt idx="32">
                  <c:v>283.53519379457339</c:v>
                </c:pt>
                <c:pt idx="33">
                  <c:v>304.47370954373434</c:v>
                </c:pt>
                <c:pt idx="34">
                  <c:v>325.38021038250321</c:v>
                </c:pt>
                <c:pt idx="35">
                  <c:v>346.25704166537042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302.92383728372175</c:v>
                </c:pt>
                <c:pt idx="39">
                  <c:v>324.60643807826506</c:v>
                </c:pt>
                <c:pt idx="40">
                  <c:v>346.25704166537042</c:v>
                </c:pt>
                <c:pt idx="41">
                  <c:v>368.2637587173711</c:v>
                </c:pt>
                <c:pt idx="42">
                  <c:v>390.24178515868516</c:v>
                </c:pt>
                <c:pt idx="43">
                  <c:v>412.19296293548695</c:v>
                </c:pt>
                <c:pt idx="44">
                  <c:v>434.11892190865478</c:v>
                </c:pt>
                <c:pt idx="45">
                  <c:v>456.02111397099458</c:v>
                </c:pt>
                <c:pt idx="46">
                  <c:v>369.42119511414563</c:v>
                </c:pt>
                <c:pt idx="47">
                  <c:v>390.62711987432004</c:v>
                </c:pt>
                <c:pt idx="48">
                  <c:v>411.8080763786877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473.68012971962668</c:v>
                </c:pt>
                <c:pt idx="52">
                  <c:v>493.24225474849794</c:v>
                </c:pt>
                <c:pt idx="53">
                  <c:v>512.78793950323291</c:v>
                </c:pt>
                <c:pt idx="54">
                  <c:v>532.31789836558266</c:v>
                </c:pt>
                <c:pt idx="55">
                  <c:v>551.83278906179726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551.45028504666311</c:v>
                </c:pt>
                <c:pt idx="62">
                  <c:v>568.27526097606199</c:v>
                </c:pt>
                <c:pt idx="63">
                  <c:v>585.08982917045773</c:v>
                </c:pt>
                <c:pt idx="64">
                  <c:v>601.89433065861692</c:v>
                </c:pt>
                <c:pt idx="65">
                  <c:v>618.68908588691215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604.56686745724687</c:v>
                </c:pt>
                <c:pt idx="72">
                  <c:v>619.07067399707296</c:v>
                </c:pt>
                <c:pt idx="73">
                  <c:v>633.56744133236327</c:v>
                </c:pt>
                <c:pt idx="74">
                  <c:v>648.05735312955619</c:v>
                </c:pt>
                <c:pt idx="75">
                  <c:v>662.54058417706926</c:v>
                </c:pt>
                <c:pt idx="76">
                  <c:v>569.42203544921165</c:v>
                </c:pt>
                <c:pt idx="77">
                  <c:v>583.17959594683214</c:v>
                </c:pt>
                <c:pt idx="78">
                  <c:v>596.93039273337797</c:v>
                </c:pt>
                <c:pt idx="79">
                  <c:v>610.67460350167164</c:v>
                </c:pt>
                <c:pt idx="80">
                  <c:v>624.41239729750225</c:v>
                </c:pt>
                <c:pt idx="81">
                  <c:v>636.99987545603415</c:v>
                </c:pt>
                <c:pt idx="82">
                  <c:v>649.58221541705063</c:v>
                </c:pt>
                <c:pt idx="83">
                  <c:v>662.15953068851047</c:v>
                </c:pt>
                <c:pt idx="84">
                  <c:v>674.73193011676551</c:v>
                </c:pt>
                <c:pt idx="85">
                  <c:v>687.29951816311348</c:v>
                </c:pt>
                <c:pt idx="86">
                  <c:v>699.86239515908403</c:v>
                </c:pt>
                <c:pt idx="87">
                  <c:v>712.42065754245129</c:v>
                </c:pt>
                <c:pt idx="88">
                  <c:v>724.97439807575211</c:v>
                </c:pt>
                <c:pt idx="89">
                  <c:v>737.52370604888972</c:v>
                </c:pt>
                <c:pt idx="90">
                  <c:v>750.06866746724211</c:v>
                </c:pt>
                <c:pt idx="91">
                  <c:v>601.32161215624615</c:v>
                </c:pt>
                <c:pt idx="92">
                  <c:v>612.58301041135394</c:v>
                </c:pt>
                <c:pt idx="93">
                  <c:v>623.84011521480943</c:v>
                </c:pt>
                <c:pt idx="94">
                  <c:v>635.09301493951614</c:v>
                </c:pt>
                <c:pt idx="95">
                  <c:v>646.34179457229266</c:v>
                </c:pt>
                <c:pt idx="96">
                  <c:v>657.58653590152971</c:v>
                </c:pt>
                <c:pt idx="97">
                  <c:v>668.82731769134739</c:v>
                </c:pt>
                <c:pt idx="98">
                  <c:v>680.06421584344105</c:v>
                </c:pt>
                <c:pt idx="99">
                  <c:v>691.29730354768026</c:v>
                </c:pt>
                <c:pt idx="100">
                  <c:v>702.52665142241483</c:v>
                </c:pt>
                <c:pt idx="101">
                  <c:v>712.42065754245107</c:v>
                </c:pt>
                <c:pt idx="102">
                  <c:v>722.31185677865858</c:v>
                </c:pt>
                <c:pt idx="103">
                  <c:v>732.20029297203462</c:v>
                </c:pt>
                <c:pt idx="104">
                  <c:v>742.08600868333099</c:v>
                </c:pt>
                <c:pt idx="105">
                  <c:v>751.96904524735601</c:v>
                </c:pt>
                <c:pt idx="106">
                  <c:v>761.84944282427648</c:v>
                </c:pt>
                <c:pt idx="107">
                  <c:v>771.72724044812094</c:v>
                </c:pt>
                <c:pt idx="108">
                  <c:v>781.60247607267092</c:v>
                </c:pt>
                <c:pt idx="109">
                  <c:v>791.47518661491574</c:v>
                </c:pt>
                <c:pt idx="110">
                  <c:v>801.34540799622619</c:v>
                </c:pt>
                <c:pt idx="111">
                  <c:v>608.19348941446765</c:v>
                </c:pt>
                <c:pt idx="112">
                  <c:v>616.78107210210862</c:v>
                </c:pt>
                <c:pt idx="113">
                  <c:v>625.36617664098856</c:v>
                </c:pt>
                <c:pt idx="114">
                  <c:v>633.94884184663999</c:v>
                </c:pt>
                <c:pt idx="115">
                  <c:v>642.52910539795459</c:v>
                </c:pt>
                <c:pt idx="116">
                  <c:v>651.10700388552493</c:v>
                </c:pt>
                <c:pt idx="117">
                  <c:v>659.68257285730954</c:v>
                </c:pt>
                <c:pt idx="118">
                  <c:v>668.25584686179957</c:v>
                </c:pt>
                <c:pt idx="119">
                  <c:v>676.82685948885762</c:v>
                </c:pt>
                <c:pt idx="120">
                  <c:v>685.39564340837808</c:v>
                </c:pt>
                <c:pt idx="121">
                  <c:v>693.39119233094789</c:v>
                </c:pt>
                <c:pt idx="122">
                  <c:v>701.38485267499789</c:v>
                </c:pt>
                <c:pt idx="123">
                  <c:v>709.37664899579306</c:v>
                </c:pt>
                <c:pt idx="124">
                  <c:v>717.36660525030732</c:v>
                </c:pt>
                <c:pt idx="125">
                  <c:v>725.35474481844449</c:v>
                </c:pt>
                <c:pt idx="126">
                  <c:v>733.34109052327722</c:v>
                </c:pt>
                <c:pt idx="127">
                  <c:v>741.32566465035904</c:v>
                </c:pt>
                <c:pt idx="128">
                  <c:v>749.30848896615805</c:v>
                </c:pt>
                <c:pt idx="129">
                  <c:v>757.28958473566934</c:v>
                </c:pt>
                <c:pt idx="130">
                  <c:v>765.2689727392434</c:v>
                </c:pt>
                <c:pt idx="131">
                  <c:v>599.22154722155733</c:v>
                </c:pt>
                <c:pt idx="132">
                  <c:v>606.47567200029607</c:v>
                </c:pt>
                <c:pt idx="133">
                  <c:v>613.72799533010129</c:v>
                </c:pt>
                <c:pt idx="134">
                  <c:v>620.97854150271451</c:v>
                </c:pt>
                <c:pt idx="135">
                  <c:v>628.22733419629969</c:v>
                </c:pt>
                <c:pt idx="136">
                  <c:v>635.47439649799799</c:v>
                </c:pt>
                <c:pt idx="137">
                  <c:v>642.71975092539503</c:v>
                </c:pt>
                <c:pt idx="138">
                  <c:v>649.96341944697554</c:v>
                </c:pt>
                <c:pt idx="139">
                  <c:v>657.20542350161361</c:v>
                </c:pt>
                <c:pt idx="140">
                  <c:v>664.44578401716376</c:v>
                </c:pt>
                <c:pt idx="141">
                  <c:v>671.1131007030807</c:v>
                </c:pt>
                <c:pt idx="142">
                  <c:v>677.77905606178604</c:v>
                </c:pt>
                <c:pt idx="143">
                  <c:v>684.44366537005408</c:v>
                </c:pt>
                <c:pt idx="144">
                  <c:v>691.10694358289311</c:v>
                </c:pt>
                <c:pt idx="145">
                  <c:v>697.76890534342408</c:v>
                </c:pt>
                <c:pt idx="146">
                  <c:v>704.42956499236743</c:v>
                </c:pt>
                <c:pt idx="147">
                  <c:v>711.08893657714862</c:v>
                </c:pt>
                <c:pt idx="148">
                  <c:v>717.74703386064687</c:v>
                </c:pt>
                <c:pt idx="149">
                  <c:v>724.40387032960223</c:v>
                </c:pt>
                <c:pt idx="150">
                  <c:v>731.05945920269721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8938064"/>
        <c:axId val="528913584"/>
      </c:scatterChart>
      <c:valAx>
        <c:axId val="5289380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28913584"/>
        <c:crosses val="autoZero"/>
        <c:crossBetween val="midCat"/>
      </c:valAx>
      <c:valAx>
        <c:axId val="528913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289380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2.5701199751485899</c:v>
                </c:pt>
                <c:pt idx="2">
                  <c:v>3.1761950482551646</c:v>
                </c:pt>
                <c:pt idx="3">
                  <c:v>3.9257411783807914</c:v>
                </c:pt>
                <c:pt idx="4">
                  <c:v>4.8528436316164436</c:v>
                </c:pt>
                <c:pt idx="5">
                  <c:v>5.9997127748970547</c:v>
                </c:pt>
                <c:pt idx="6">
                  <c:v>7.4186269452783291</c:v>
                </c:pt>
                <c:pt idx="7">
                  <c:v>9.1743412316125035</c:v>
                </c:pt>
                <c:pt idx="8">
                  <c:v>11.347074191266621</c:v>
                </c:pt>
                <c:pt idx="9">
                  <c:v>14.036211523459508</c:v>
                </c:pt>
                <c:pt idx="10">
                  <c:v>17.364899240955943</c:v>
                </c:pt>
                <c:pt idx="11">
                  <c:v>32.173716703656488</c:v>
                </c:pt>
                <c:pt idx="12">
                  <c:v>46.787802861560664</c:v>
                </c:pt>
                <c:pt idx="13">
                  <c:v>61.278573178119878</c:v>
                </c:pt>
                <c:pt idx="14">
                  <c:v>75.679710498558791</c:v>
                </c:pt>
                <c:pt idx="15">
                  <c:v>90.010799689565431</c:v>
                </c:pt>
                <c:pt idx="16">
                  <c:v>107.84522593798255</c:v>
                </c:pt>
                <c:pt idx="17">
                  <c:v>125.60688557852342</c:v>
                </c:pt>
                <c:pt idx="18">
                  <c:v>143.30754256422119</c:v>
                </c:pt>
                <c:pt idx="19">
                  <c:v>160.95580359158967</c:v>
                </c:pt>
                <c:pt idx="20">
                  <c:v>178.55822760704453</c:v>
                </c:pt>
                <c:pt idx="21">
                  <c:v>123.12415447878497</c:v>
                </c:pt>
                <c:pt idx="22">
                  <c:v>138.35696538228595</c:v>
                </c:pt>
                <c:pt idx="23">
                  <c:v>153.54945750312899</c:v>
                </c:pt>
                <c:pt idx="24">
                  <c:v>168.70618534384241</c:v>
                </c:pt>
                <c:pt idx="25">
                  <c:v>183.83081652024464</c:v>
                </c:pt>
                <c:pt idx="26">
                  <c:v>199.27709915885649</c:v>
                </c:pt>
                <c:pt idx="27">
                  <c:v>214.69562221588228</c:v>
                </c:pt>
                <c:pt idx="28">
                  <c:v>230.08866047092724</c:v>
                </c:pt>
                <c:pt idx="29">
                  <c:v>245.45815924548194</c:v>
                </c:pt>
                <c:pt idx="30">
                  <c:v>260.80580020638394</c:v>
                </c:pt>
                <c:pt idx="31">
                  <c:v>276.13305084516719</c:v>
                </c:pt>
                <c:pt idx="32">
                  <c:v>291.44120238295483</c:v>
                </c:pt>
                <c:pt idx="33">
                  <c:v>306.7313992866795</c:v>
                </c:pt>
                <c:pt idx="34">
                  <c:v>322.00466258727732</c:v>
                </c:pt>
                <c:pt idx="35">
                  <c:v>337.26190853958752</c:v>
                </c:pt>
                <c:pt idx="36">
                  <c:v>218.19620322489709</c:v>
                </c:pt>
                <c:pt idx="37">
                  <c:v>231.48683334645435</c:v>
                </c:pt>
                <c:pt idx="38">
                  <c:v>244.76003171038471</c:v>
                </c:pt>
                <c:pt idx="39">
                  <c:v>258.01687712472409</c:v>
                </c:pt>
                <c:pt idx="40">
                  <c:v>271.25832842500023</c:v>
                </c:pt>
                <c:pt idx="41">
                  <c:v>284.48524314677451</c:v>
                </c:pt>
                <c:pt idx="42">
                  <c:v>297.69839254073707</c:v>
                </c:pt>
                <c:pt idx="43">
                  <c:v>310.89847378061245</c:v>
                </c:pt>
                <c:pt idx="44">
                  <c:v>324.0861199880448</c:v>
                </c:pt>
                <c:pt idx="45">
                  <c:v>337.26190853958735</c:v>
                </c:pt>
                <c:pt idx="46">
                  <c:v>350.42636800716019</c:v>
                </c:pt>
                <c:pt idx="47">
                  <c:v>363.5799840007133</c:v>
                </c:pt>
                <c:pt idx="48">
                  <c:v>376.72320412097571</c:v>
                </c:pt>
                <c:pt idx="49">
                  <c:v>389.85644218478711</c:v>
                </c:pt>
                <c:pt idx="50">
                  <c:v>402.98008185125178</c:v>
                </c:pt>
                <c:pt idx="51">
                  <c:v>416.09447975082259</c:v>
                </c:pt>
                <c:pt idx="52">
                  <c:v>429.19996819929173</c:v>
                </c:pt>
                <c:pt idx="53">
                  <c:v>442.2968575630004</c:v>
                </c:pt>
                <c:pt idx="54">
                  <c:v>455.38543832930395</c:v>
                </c:pt>
                <c:pt idx="55">
                  <c:v>468.46598292660588</c:v>
                </c:pt>
                <c:pt idx="56">
                  <c:v>481.19482482996779</c:v>
                </c:pt>
                <c:pt idx="57">
                  <c:v>493.91651328433619</c:v>
                </c:pt>
                <c:pt idx="58">
                  <c:v>506.63125847667106</c:v>
                </c:pt>
                <c:pt idx="59">
                  <c:v>519.33925918522516</c:v>
                </c:pt>
                <c:pt idx="60">
                  <c:v>532.04070366867973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8921200"/>
        <c:axId val="528912496"/>
      </c:scatterChart>
      <c:valAx>
        <c:axId val="5289212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28912496"/>
        <c:crosses val="autoZero"/>
        <c:crossBetween val="midCat"/>
      </c:valAx>
      <c:valAx>
        <c:axId val="528912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289212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2.5739702149710419</c:v>
                </c:pt>
                <c:pt idx="2">
                  <c:v>3.2459194465110297</c:v>
                </c:pt>
                <c:pt idx="3">
                  <c:v>4.0939710189489533</c:v>
                </c:pt>
                <c:pt idx="4">
                  <c:v>5.1644468142220035</c:v>
                </c:pt>
                <c:pt idx="5">
                  <c:v>6.5158949204199574</c:v>
                </c:pt>
                <c:pt idx="6">
                  <c:v>8.2223268474483628</c:v>
                </c:pt>
                <c:pt idx="7">
                  <c:v>10.377314381529446</c:v>
                </c:pt>
                <c:pt idx="8">
                  <c:v>13.0991749633718</c:v>
                </c:pt>
                <c:pt idx="9">
                  <c:v>16.5375355648608</c:v>
                </c:pt>
                <c:pt idx="10">
                  <c:v>20.881642470054704</c:v>
                </c:pt>
                <c:pt idx="11">
                  <c:v>40.158707029353486</c:v>
                </c:pt>
                <c:pt idx="12">
                  <c:v>59.175912716477491</c:v>
                </c:pt>
                <c:pt idx="13">
                  <c:v>78.031511845010769</c:v>
                </c:pt>
                <c:pt idx="14">
                  <c:v>96.770620064133439</c:v>
                </c:pt>
                <c:pt idx="15">
                  <c:v>115.41913240124948</c:v>
                </c:pt>
                <c:pt idx="16">
                  <c:v>139.33857382377983</c:v>
                </c:pt>
                <c:pt idx="17">
                  <c:v>163.15917370613849</c:v>
                </c:pt>
                <c:pt idx="18">
                  <c:v>186.89742338047495</c:v>
                </c:pt>
                <c:pt idx="19">
                  <c:v>210.56526416532461</c:v>
                </c:pt>
                <c:pt idx="20">
                  <c:v>234.1717261002126</c:v>
                </c:pt>
                <c:pt idx="21">
                  <c:v>145.0249982538752</c:v>
                </c:pt>
                <c:pt idx="22">
                  <c:v>170.51654323504027</c:v>
                </c:pt>
                <c:pt idx="23">
                  <c:v>195.91822647250351</c:v>
                </c:pt>
                <c:pt idx="24">
                  <c:v>221.24334918385946</c:v>
                </c:pt>
                <c:pt idx="25">
                  <c:v>246.5019100362974</c:v>
                </c:pt>
                <c:pt idx="26">
                  <c:v>270.88192908271884</c:v>
                </c:pt>
                <c:pt idx="27">
                  <c:v>295.21258396391971</c:v>
                </c:pt>
                <c:pt idx="28">
                  <c:v>319.49851297916712</c:v>
                </c:pt>
                <c:pt idx="29">
                  <c:v>343.7435916472391</c:v>
                </c:pt>
                <c:pt idx="30">
                  <c:v>367.95110424042514</c:v>
                </c:pt>
                <c:pt idx="31">
                  <c:v>270.81361334976526</c:v>
                </c:pt>
                <c:pt idx="32">
                  <c:v>292.86002684671388</c:v>
                </c:pt>
                <c:pt idx="33">
                  <c:v>314.86939629706029</c:v>
                </c:pt>
                <c:pt idx="34">
                  <c:v>336.84467386393629</c:v>
                </c:pt>
                <c:pt idx="35">
                  <c:v>358.78839513118515</c:v>
                </c:pt>
                <c:pt idx="36">
                  <c:v>378.02433866846064</c:v>
                </c:pt>
                <c:pt idx="37">
                  <c:v>397.23898298464991</c:v>
                </c:pt>
                <c:pt idx="38">
                  <c:v>416.43350276675238</c:v>
                </c:pt>
                <c:pt idx="39">
                  <c:v>435.60895562573</c:v>
                </c:pt>
                <c:pt idx="40">
                  <c:v>454.7662985108031</c:v>
                </c:pt>
                <c:pt idx="41">
                  <c:v>352.88083208106292</c:v>
                </c:pt>
                <c:pt idx="42">
                  <c:v>369.54558155288436</c:v>
                </c:pt>
                <c:pt idx="43">
                  <c:v>386.19394120407043</c:v>
                </c:pt>
                <c:pt idx="44">
                  <c:v>402.82671684246179</c:v>
                </c:pt>
                <c:pt idx="45">
                  <c:v>419.44464231919113</c:v>
                </c:pt>
                <c:pt idx="46">
                  <c:v>433.88493422762093</c:v>
                </c:pt>
                <c:pt idx="47">
                  <c:v>448.31491037156951</c:v>
                </c:pt>
                <c:pt idx="48">
                  <c:v>462.73494948769138</c:v>
                </c:pt>
                <c:pt idx="49">
                  <c:v>477.14540478752315</c:v>
                </c:pt>
                <c:pt idx="50">
                  <c:v>491.5466064127836</c:v>
                </c:pt>
                <c:pt idx="51">
                  <c:v>431.21410057407803</c:v>
                </c:pt>
                <c:pt idx="52">
                  <c:v>443.65246288624508</c:v>
                </c:pt>
                <c:pt idx="53">
                  <c:v>456.08335619265745</c:v>
                </c:pt>
                <c:pt idx="54">
                  <c:v>468.50701274734303</c:v>
                </c:pt>
                <c:pt idx="55">
                  <c:v>480.92365148260507</c:v>
                </c:pt>
                <c:pt idx="56">
                  <c:v>491.51289051119289</c:v>
                </c:pt>
                <c:pt idx="57">
                  <c:v>502.09729276427265</c:v>
                </c:pt>
                <c:pt idx="58">
                  <c:v>512.67697458119881</c:v>
                </c:pt>
                <c:pt idx="59">
                  <c:v>523.25204710797016</c:v>
                </c:pt>
                <c:pt idx="60">
                  <c:v>533.8226166315709</c:v>
                </c:pt>
                <c:pt idx="61">
                  <c:v>491.78261635079099</c:v>
                </c:pt>
                <c:pt idx="62">
                  <c:v>500.61441511086258</c:v>
                </c:pt>
                <c:pt idx="63">
                  <c:v>509.44291639898364</c:v>
                </c:pt>
                <c:pt idx="64">
                  <c:v>518.2681854294982</c:v>
                </c:pt>
                <c:pt idx="65">
                  <c:v>527.09028501417185</c:v>
                </c:pt>
                <c:pt idx="66">
                  <c:v>534.66403201436515</c:v>
                </c:pt>
                <c:pt idx="67">
                  <c:v>542.23552329497863</c:v>
                </c:pt>
                <c:pt idx="68">
                  <c:v>549.80479480408326</c:v>
                </c:pt>
                <c:pt idx="69">
                  <c:v>557.37188141896718</c:v>
                </c:pt>
                <c:pt idx="70">
                  <c:v>564.93681699244883</c:v>
                </c:pt>
                <c:pt idx="71">
                  <c:v>528.40323103965056</c:v>
                </c:pt>
                <c:pt idx="72">
                  <c:v>535.43810957066455</c:v>
                </c:pt>
                <c:pt idx="73">
                  <c:v>542.47104501409672</c:v>
                </c:pt>
                <c:pt idx="74">
                  <c:v>549.50206612243039</c:v>
                </c:pt>
                <c:pt idx="75">
                  <c:v>556.53120085211901</c:v>
                </c:pt>
                <c:pt idx="76">
                  <c:v>562.51626962014586</c:v>
                </c:pt>
                <c:pt idx="77">
                  <c:v>568.50000621784136</c:v>
                </c:pt>
                <c:pt idx="78">
                  <c:v>574.48242664981956</c:v>
                </c:pt>
                <c:pt idx="79">
                  <c:v>580.46354656005849</c:v>
                </c:pt>
                <c:pt idx="80">
                  <c:v>586.44338124374281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8928816"/>
        <c:axId val="528920656"/>
      </c:scatterChart>
      <c:valAx>
        <c:axId val="5289288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28920656"/>
        <c:crosses val="autoZero"/>
        <c:crossBetween val="midCat"/>
      </c:valAx>
      <c:valAx>
        <c:axId val="528920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289288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2.8187126632448081</c:v>
                </c:pt>
                <c:pt idx="2">
                  <c:v>3.5573599444099848</c:v>
                </c:pt>
                <c:pt idx="3">
                  <c:v>4.4903248835513372</c:v>
                </c:pt>
                <c:pt idx="4">
                  <c:v>5.6689139821764911</c:v>
                </c:pt>
                <c:pt idx="5">
                  <c:v>7.1580265500992999</c:v>
                </c:pt>
                <c:pt idx="6">
                  <c:v>9.0397672432815401</c:v>
                </c:pt>
                <c:pt idx="7">
                  <c:v>11.418021481537131</c:v>
                </c:pt>
                <c:pt idx="8">
                  <c:v>14.424251070238251</c:v>
                </c:pt>
                <c:pt idx="9">
                  <c:v>18.224836284184136</c:v>
                </c:pt>
                <c:pt idx="10">
                  <c:v>23.030378112650464</c:v>
                </c:pt>
                <c:pt idx="11">
                  <c:v>29.10748529064772</c:v>
                </c:pt>
                <c:pt idx="12">
                  <c:v>36.793711472422189</c:v>
                </c:pt>
                <c:pt idx="13">
                  <c:v>46.516486462668638</c:v>
                </c:pt>
                <c:pt idx="14">
                  <c:v>58.817111995756541</c:v>
                </c:pt>
                <c:pt idx="15">
                  <c:v>74.381180078273346</c:v>
                </c:pt>
                <c:pt idx="16">
                  <c:v>96.627182609604759</c:v>
                </c:pt>
                <c:pt idx="17">
                  <c:v>118.74501570942562</c:v>
                </c:pt>
                <c:pt idx="18">
                  <c:v>140.76205332391956</c:v>
                </c:pt>
                <c:pt idx="19">
                  <c:v>162.69632820049665</c:v>
                </c:pt>
                <c:pt idx="20">
                  <c:v>184.56058608215372</c:v>
                </c:pt>
                <c:pt idx="21">
                  <c:v>126.42510605145075</c:v>
                </c:pt>
                <c:pt idx="22">
                  <c:v>150.23693675874819</c:v>
                </c:pt>
                <c:pt idx="23">
                  <c:v>173.95863427802908</c:v>
                </c:pt>
                <c:pt idx="24">
                  <c:v>197.6042373039995</c:v>
                </c:pt>
                <c:pt idx="25">
                  <c:v>221.18413826147119</c:v>
                </c:pt>
                <c:pt idx="26">
                  <c:v>243.76646443655656</c:v>
                </c:pt>
                <c:pt idx="27">
                  <c:v>266.30123190496232</c:v>
                </c:pt>
                <c:pt idx="28">
                  <c:v>288.79302979328958</c:v>
                </c:pt>
                <c:pt idx="29">
                  <c:v>311.24567377041325</c:v>
                </c:pt>
                <c:pt idx="30">
                  <c:v>333.66238399485115</c:v>
                </c:pt>
                <c:pt idx="31">
                  <c:v>248.99106942038816</c:v>
                </c:pt>
                <c:pt idx="32">
                  <c:v>269.22750746405978</c:v>
                </c:pt>
                <c:pt idx="33">
                  <c:v>289.42971056436858</c:v>
                </c:pt>
                <c:pt idx="34">
                  <c:v>309.60040363725381</c:v>
                </c:pt>
                <c:pt idx="35">
                  <c:v>329.74192753151567</c:v>
                </c:pt>
                <c:pt idx="36">
                  <c:v>347.35742407369844</c:v>
                </c:pt>
                <c:pt idx="37">
                  <c:v>364.95331741434489</c:v>
                </c:pt>
                <c:pt idx="38">
                  <c:v>382.53068541645354</c:v>
                </c:pt>
                <c:pt idx="39">
                  <c:v>400.09049882839162</c:v>
                </c:pt>
                <c:pt idx="40">
                  <c:v>417.63363625997863</c:v>
                </c:pt>
                <c:pt idx="41">
                  <c:v>328.62160871118198</c:v>
                </c:pt>
                <c:pt idx="42">
                  <c:v>343.92546889640727</c:v>
                </c:pt>
                <c:pt idx="43">
                  <c:v>359.21437055941539</c:v>
                </c:pt>
                <c:pt idx="44">
                  <c:v>374.48903994418225</c:v>
                </c:pt>
                <c:pt idx="45">
                  <c:v>389.75013922020395</c:v>
                </c:pt>
                <c:pt idx="46">
                  <c:v>402.99070448907742</c:v>
                </c:pt>
                <c:pt idx="47">
                  <c:v>416.22186287393123</c:v>
                </c:pt>
                <c:pt idx="48">
                  <c:v>429.44395553028397</c:v>
                </c:pt>
                <c:pt idx="49">
                  <c:v>442.65730089301456</c:v>
                </c:pt>
                <c:pt idx="50">
                  <c:v>455.86219683685039</c:v>
                </c:pt>
                <c:pt idx="51">
                  <c:v>396.11127024318756</c:v>
                </c:pt>
                <c:pt idx="52">
                  <c:v>407.48884938461543</c:v>
                </c:pt>
                <c:pt idx="53">
                  <c:v>418.85956651657403</c:v>
                </c:pt>
                <c:pt idx="54">
                  <c:v>430.22363420713367</c:v>
                </c:pt>
                <c:pt idx="55">
                  <c:v>441.58125287689433</c:v>
                </c:pt>
                <c:pt idx="56">
                  <c:v>451.1524130337736</c:v>
                </c:pt>
                <c:pt idx="57">
                  <c:v>460.71923116919589</c:v>
                </c:pt>
                <c:pt idx="58">
                  <c:v>470.28181018094989</c:v>
                </c:pt>
                <c:pt idx="59">
                  <c:v>479.84024843988044</c:v>
                </c:pt>
                <c:pt idx="60">
                  <c:v>489.39464007720022</c:v>
                </c:pt>
                <c:pt idx="61">
                  <c:v>450.74442967684257</c:v>
                </c:pt>
                <c:pt idx="62">
                  <c:v>458.79137961100622</c:v>
                </c:pt>
                <c:pt idx="63">
                  <c:v>466.83531635780349</c:v>
                </c:pt>
                <c:pt idx="64">
                  <c:v>474.87629918090329</c:v>
                </c:pt>
                <c:pt idx="65">
                  <c:v>482.91438517244984</c:v>
                </c:pt>
                <c:pt idx="66">
                  <c:v>489.87595747189181</c:v>
                </c:pt>
                <c:pt idx="67">
                  <c:v>496.83543141169798</c:v>
                </c:pt>
                <c:pt idx="68">
                  <c:v>503.79284054429132</c:v>
                </c:pt>
                <c:pt idx="69">
                  <c:v>510.7482174193658</c:v>
                </c:pt>
                <c:pt idx="70">
                  <c:v>517.70159362740139</c:v>
                </c:pt>
                <c:pt idx="71">
                  <c:v>485.32155123080855</c:v>
                </c:pt>
                <c:pt idx="72">
                  <c:v>491.61602134985714</c:v>
                </c:pt>
                <c:pt idx="73">
                  <c:v>497.90878263760169</c:v>
                </c:pt>
                <c:pt idx="74">
                  <c:v>504.19985974903403</c:v>
                </c:pt>
                <c:pt idx="75">
                  <c:v>510.4892766733779</c:v>
                </c:pt>
                <c:pt idx="76">
                  <c:v>516.00041881937125</c:v>
                </c:pt>
                <c:pt idx="77">
                  <c:v>521.51031888687191</c:v>
                </c:pt>
                <c:pt idx="78">
                  <c:v>527.01899185737477</c:v>
                </c:pt>
                <c:pt idx="79">
                  <c:v>532.52645237346917</c:v>
                </c:pt>
                <c:pt idx="80">
                  <c:v>538.03271475000724</c:v>
                </c:pt>
                <c:pt idx="81">
                  <c:v>7.384408744560063E-12</c:v>
                </c:pt>
                <c:pt idx="82">
                  <c:v>7.384408744560063E-12</c:v>
                </c:pt>
                <c:pt idx="83">
                  <c:v>7.384408744560063E-12</c:v>
                </c:pt>
                <c:pt idx="84">
                  <c:v>7.384408744560063E-12</c:v>
                </c:pt>
                <c:pt idx="85">
                  <c:v>7.384408744560063E-12</c:v>
                </c:pt>
                <c:pt idx="86">
                  <c:v>7.384408744560063E-12</c:v>
                </c:pt>
                <c:pt idx="87">
                  <c:v>7.384408744560063E-12</c:v>
                </c:pt>
                <c:pt idx="88">
                  <c:v>7.384408744560063E-12</c:v>
                </c:pt>
                <c:pt idx="89">
                  <c:v>7.384408744560063E-12</c:v>
                </c:pt>
                <c:pt idx="90">
                  <c:v>7.384408744560063E-12</c:v>
                </c:pt>
                <c:pt idx="91">
                  <c:v>7.384408744560063E-12</c:v>
                </c:pt>
                <c:pt idx="92">
                  <c:v>7.384408744560063E-12</c:v>
                </c:pt>
                <c:pt idx="93">
                  <c:v>7.384408744560063E-12</c:v>
                </c:pt>
                <c:pt idx="94">
                  <c:v>7.384408744560063E-12</c:v>
                </c:pt>
                <c:pt idx="95">
                  <c:v>7.384408744560063E-12</c:v>
                </c:pt>
                <c:pt idx="96">
                  <c:v>7.384408744560063E-12</c:v>
                </c:pt>
                <c:pt idx="97">
                  <c:v>7.384408744560063E-12</c:v>
                </c:pt>
                <c:pt idx="98">
                  <c:v>7.384408744560063E-12</c:v>
                </c:pt>
                <c:pt idx="99">
                  <c:v>7.384408744560063E-12</c:v>
                </c:pt>
                <c:pt idx="100">
                  <c:v>7.384408744560063E-12</c:v>
                </c:pt>
                <c:pt idx="101">
                  <c:v>7.384408744560063E-12</c:v>
                </c:pt>
                <c:pt idx="102">
                  <c:v>7.384408744560063E-12</c:v>
                </c:pt>
                <c:pt idx="103">
                  <c:v>7.384408744560063E-12</c:v>
                </c:pt>
                <c:pt idx="104">
                  <c:v>7.384408744560063E-12</c:v>
                </c:pt>
                <c:pt idx="105">
                  <c:v>7.384408744560063E-12</c:v>
                </c:pt>
                <c:pt idx="106">
                  <c:v>7.384408744560063E-12</c:v>
                </c:pt>
                <c:pt idx="107">
                  <c:v>7.384408744560063E-12</c:v>
                </c:pt>
                <c:pt idx="108">
                  <c:v>7.384408744560063E-12</c:v>
                </c:pt>
                <c:pt idx="109">
                  <c:v>7.384408744560063E-12</c:v>
                </c:pt>
                <c:pt idx="110">
                  <c:v>7.384408744560063E-12</c:v>
                </c:pt>
                <c:pt idx="111">
                  <c:v>7.384408744560063E-12</c:v>
                </c:pt>
                <c:pt idx="112">
                  <c:v>7.384408744560063E-12</c:v>
                </c:pt>
                <c:pt idx="113">
                  <c:v>7.384408744560063E-12</c:v>
                </c:pt>
                <c:pt idx="114">
                  <c:v>7.384408744560063E-12</c:v>
                </c:pt>
                <c:pt idx="115">
                  <c:v>7.384408744560063E-12</c:v>
                </c:pt>
                <c:pt idx="116">
                  <c:v>7.384408744560063E-12</c:v>
                </c:pt>
                <c:pt idx="117">
                  <c:v>7.384408744560063E-12</c:v>
                </c:pt>
                <c:pt idx="118">
                  <c:v>7.384408744560063E-12</c:v>
                </c:pt>
                <c:pt idx="119">
                  <c:v>7.384408744560063E-12</c:v>
                </c:pt>
                <c:pt idx="120">
                  <c:v>7.384408744560063E-12</c:v>
                </c:pt>
                <c:pt idx="121">
                  <c:v>7.384408744560063E-12</c:v>
                </c:pt>
                <c:pt idx="122">
                  <c:v>7.384408744560063E-12</c:v>
                </c:pt>
                <c:pt idx="123">
                  <c:v>7.384408744560063E-12</c:v>
                </c:pt>
                <c:pt idx="124">
                  <c:v>7.384408744560063E-12</c:v>
                </c:pt>
                <c:pt idx="125">
                  <c:v>7.384408744560063E-12</c:v>
                </c:pt>
                <c:pt idx="126">
                  <c:v>7.384408744560063E-12</c:v>
                </c:pt>
                <c:pt idx="127">
                  <c:v>7.384408744560063E-12</c:v>
                </c:pt>
                <c:pt idx="128">
                  <c:v>7.384408744560063E-12</c:v>
                </c:pt>
                <c:pt idx="129">
                  <c:v>7.384408744560063E-12</c:v>
                </c:pt>
                <c:pt idx="130">
                  <c:v>7.384408744560063E-12</c:v>
                </c:pt>
                <c:pt idx="131">
                  <c:v>7.384408744560063E-12</c:v>
                </c:pt>
                <c:pt idx="132">
                  <c:v>7.384408744560063E-12</c:v>
                </c:pt>
                <c:pt idx="133">
                  <c:v>7.384408744560063E-12</c:v>
                </c:pt>
                <c:pt idx="134">
                  <c:v>7.384408744560063E-12</c:v>
                </c:pt>
                <c:pt idx="135">
                  <c:v>7.384408744560063E-12</c:v>
                </c:pt>
                <c:pt idx="136">
                  <c:v>7.384408744560063E-12</c:v>
                </c:pt>
                <c:pt idx="137">
                  <c:v>7.384408744560063E-12</c:v>
                </c:pt>
                <c:pt idx="138">
                  <c:v>7.384408744560063E-12</c:v>
                </c:pt>
                <c:pt idx="139">
                  <c:v>7.384408744560063E-12</c:v>
                </c:pt>
                <c:pt idx="140">
                  <c:v>7.384408744560063E-12</c:v>
                </c:pt>
                <c:pt idx="141">
                  <c:v>7.384408744560063E-12</c:v>
                </c:pt>
                <c:pt idx="142">
                  <c:v>7.384408744560063E-12</c:v>
                </c:pt>
                <c:pt idx="143">
                  <c:v>7.384408744560063E-12</c:v>
                </c:pt>
                <c:pt idx="144">
                  <c:v>7.384408744560063E-12</c:v>
                </c:pt>
                <c:pt idx="145">
                  <c:v>7.384408744560063E-12</c:v>
                </c:pt>
                <c:pt idx="146">
                  <c:v>7.384408744560063E-12</c:v>
                </c:pt>
                <c:pt idx="147">
                  <c:v>7.384408744560063E-12</c:v>
                </c:pt>
                <c:pt idx="148">
                  <c:v>7.384408744560063E-12</c:v>
                </c:pt>
                <c:pt idx="149">
                  <c:v>7.384408744560063E-12</c:v>
                </c:pt>
                <c:pt idx="150">
                  <c:v>7.384408744560063E-12</c:v>
                </c:pt>
                <c:pt idx="151">
                  <c:v>7.384408744560063E-12</c:v>
                </c:pt>
                <c:pt idx="152">
                  <c:v>7.384408744560063E-12</c:v>
                </c:pt>
                <c:pt idx="153">
                  <c:v>7.384408744560063E-12</c:v>
                </c:pt>
                <c:pt idx="154">
                  <c:v>7.384408744560063E-12</c:v>
                </c:pt>
                <c:pt idx="155">
                  <c:v>7.384408744560063E-12</c:v>
                </c:pt>
                <c:pt idx="156">
                  <c:v>7.384408744560063E-12</c:v>
                </c:pt>
                <c:pt idx="157">
                  <c:v>7.384408744560063E-12</c:v>
                </c:pt>
                <c:pt idx="158">
                  <c:v>7.384408744560063E-12</c:v>
                </c:pt>
                <c:pt idx="159">
                  <c:v>7.384408744560063E-12</c:v>
                </c:pt>
                <c:pt idx="160">
                  <c:v>7.384408744560063E-12</c:v>
                </c:pt>
                <c:pt idx="161">
                  <c:v>7.384408744560063E-12</c:v>
                </c:pt>
                <c:pt idx="162">
                  <c:v>7.384408744560063E-12</c:v>
                </c:pt>
                <c:pt idx="163">
                  <c:v>7.384408744560063E-12</c:v>
                </c:pt>
                <c:pt idx="164">
                  <c:v>7.384408744560063E-12</c:v>
                </c:pt>
                <c:pt idx="165">
                  <c:v>7.384408744560063E-12</c:v>
                </c:pt>
                <c:pt idx="166">
                  <c:v>7.384408744560063E-12</c:v>
                </c:pt>
                <c:pt idx="167">
                  <c:v>7.384408744560063E-12</c:v>
                </c:pt>
                <c:pt idx="168">
                  <c:v>7.384408744560063E-12</c:v>
                </c:pt>
                <c:pt idx="169">
                  <c:v>7.384408744560063E-12</c:v>
                </c:pt>
                <c:pt idx="170">
                  <c:v>7.384408744560063E-12</c:v>
                </c:pt>
                <c:pt idx="171">
                  <c:v>7.384408744560063E-12</c:v>
                </c:pt>
                <c:pt idx="172">
                  <c:v>7.384408744560063E-12</c:v>
                </c:pt>
                <c:pt idx="173">
                  <c:v>7.384408744560063E-12</c:v>
                </c:pt>
                <c:pt idx="174">
                  <c:v>7.384408744560063E-12</c:v>
                </c:pt>
                <c:pt idx="175">
                  <c:v>7.384408744560063E-12</c:v>
                </c:pt>
                <c:pt idx="176">
                  <c:v>7.384408744560063E-12</c:v>
                </c:pt>
                <c:pt idx="177">
                  <c:v>7.384408744560063E-12</c:v>
                </c:pt>
                <c:pt idx="178">
                  <c:v>7.384408744560063E-12</c:v>
                </c:pt>
                <c:pt idx="179">
                  <c:v>7.384408744560063E-12</c:v>
                </c:pt>
                <c:pt idx="180">
                  <c:v>7.384408744560063E-12</c:v>
                </c:pt>
                <c:pt idx="181">
                  <c:v>7.384408744560063E-12</c:v>
                </c:pt>
                <c:pt idx="182">
                  <c:v>7.384408744560063E-12</c:v>
                </c:pt>
                <c:pt idx="183">
                  <c:v>7.384408744560063E-12</c:v>
                </c:pt>
                <c:pt idx="184">
                  <c:v>7.384408744560063E-12</c:v>
                </c:pt>
                <c:pt idx="185">
                  <c:v>7.384408744560063E-12</c:v>
                </c:pt>
                <c:pt idx="186">
                  <c:v>7.384408744560063E-12</c:v>
                </c:pt>
                <c:pt idx="187">
                  <c:v>7.384408744560063E-12</c:v>
                </c:pt>
                <c:pt idx="188">
                  <c:v>7.384408744560063E-12</c:v>
                </c:pt>
                <c:pt idx="189">
                  <c:v>7.384408744560063E-12</c:v>
                </c:pt>
                <c:pt idx="190">
                  <c:v>7.384408744560063E-12</c:v>
                </c:pt>
                <c:pt idx="191">
                  <c:v>7.384408744560063E-12</c:v>
                </c:pt>
                <c:pt idx="192">
                  <c:v>7.384408744560063E-12</c:v>
                </c:pt>
                <c:pt idx="193">
                  <c:v>7.384408744560063E-12</c:v>
                </c:pt>
                <c:pt idx="194">
                  <c:v>7.384408744560063E-12</c:v>
                </c:pt>
                <c:pt idx="195">
                  <c:v>7.384408744560063E-12</c:v>
                </c:pt>
                <c:pt idx="196">
                  <c:v>7.384408744560063E-12</c:v>
                </c:pt>
                <c:pt idx="197">
                  <c:v>7.384408744560063E-12</c:v>
                </c:pt>
                <c:pt idx="198">
                  <c:v>7.384408744560063E-12</c:v>
                </c:pt>
                <c:pt idx="199">
                  <c:v>7.384408744560063E-12</c:v>
                </c:pt>
                <c:pt idx="200">
                  <c:v>7.384408744560063E-12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8935344"/>
        <c:axId val="528938608"/>
      </c:scatterChart>
      <c:valAx>
        <c:axId val="52893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28938608"/>
        <c:crosses val="autoZero"/>
        <c:crossBetween val="midCat"/>
      </c:valAx>
      <c:valAx>
        <c:axId val="528938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2893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3.1079825342915606</c:v>
                </c:pt>
                <c:pt idx="2">
                  <c:v>3.9831352858359232</c:v>
                </c:pt>
                <c:pt idx="3">
                  <c:v>5.1056841629476652</c:v>
                </c:pt>
                <c:pt idx="4">
                  <c:v>6.5458229996824224</c:v>
                </c:pt>
                <c:pt idx="5">
                  <c:v>8.3937300292591015</c:v>
                </c:pt>
                <c:pt idx="6">
                  <c:v>10.765275524303604</c:v>
                </c:pt>
                <c:pt idx="7">
                  <c:v>13.809364307377871</c:v>
                </c:pt>
                <c:pt idx="8">
                  <c:v>17.717382659817904</c:v>
                </c:pt>
                <c:pt idx="9">
                  <c:v>22.735354328524441</c:v>
                </c:pt>
                <c:pt idx="10">
                  <c:v>29.179584501081067</c:v>
                </c:pt>
                <c:pt idx="11">
                  <c:v>37.456795063324897</c:v>
                </c:pt>
                <c:pt idx="12">
                  <c:v>48.090043708972111</c:v>
                </c:pt>
                <c:pt idx="13">
                  <c:v>61.752092288547864</c:v>
                </c:pt>
                <c:pt idx="14">
                  <c:v>79.308370348833833</c:v>
                </c:pt>
                <c:pt idx="15">
                  <c:v>101.87229931916873</c:v>
                </c:pt>
                <c:pt idx="16">
                  <c:v>117.38937647857762</c:v>
                </c:pt>
                <c:pt idx="17">
                  <c:v>132.85632044015878</c:v>
                </c:pt>
                <c:pt idx="18">
                  <c:v>148.27979814657829</c:v>
                </c:pt>
                <c:pt idx="19">
                  <c:v>163.66497200540442</c:v>
                </c:pt>
                <c:pt idx="20">
                  <c:v>179.01595233014768</c:v>
                </c:pt>
                <c:pt idx="21">
                  <c:v>194.59997246881539</c:v>
                </c:pt>
                <c:pt idx="22">
                  <c:v>210.1549883131822</c:v>
                </c:pt>
                <c:pt idx="23">
                  <c:v>225.68344951574352</c:v>
                </c:pt>
                <c:pt idx="24">
                  <c:v>241.18744081547302</c:v>
                </c:pt>
                <c:pt idx="25">
                  <c:v>256.66875686937959</c:v>
                </c:pt>
                <c:pt idx="26">
                  <c:v>198.29351956846904</c:v>
                </c:pt>
                <c:pt idx="27">
                  <c:v>213.57871664581691</c:v>
                </c:pt>
                <c:pt idx="28">
                  <c:v>228.83872386815744</c:v>
                </c:pt>
                <c:pt idx="29">
                  <c:v>244.0754578704227</c:v>
                </c:pt>
                <c:pt idx="30">
                  <c:v>259.29057630253919</c:v>
                </c:pt>
                <c:pt idx="31">
                  <c:v>273.96188391382958</c:v>
                </c:pt>
                <c:pt idx="32">
                  <c:v>288.61553966190291</c:v>
                </c:pt>
                <c:pt idx="33">
                  <c:v>303.25256606374194</c:v>
                </c:pt>
                <c:pt idx="34">
                  <c:v>317.87387884766321</c:v>
                </c:pt>
                <c:pt idx="35">
                  <c:v>332.48030260881734</c:v>
                </c:pt>
                <c:pt idx="36">
                  <c:v>278.41213183083715</c:v>
                </c:pt>
                <c:pt idx="37">
                  <c:v>292.27631779996528</c:v>
                </c:pt>
                <c:pt idx="38">
                  <c:v>306.12582263909644</c:v>
                </c:pt>
                <c:pt idx="39">
                  <c:v>319.96140418627698</c:v>
                </c:pt>
                <c:pt idx="40">
                  <c:v>333.78374937501832</c:v>
                </c:pt>
                <c:pt idx="41">
                  <c:v>346.55166637710568</c:v>
                </c:pt>
                <c:pt idx="42">
                  <c:v>359.30925781067913</c:v>
                </c:pt>
                <c:pt idx="43">
                  <c:v>372.05694200295653</c:v>
                </c:pt>
                <c:pt idx="44">
                  <c:v>384.79510627137751</c:v>
                </c:pt>
                <c:pt idx="45">
                  <c:v>397.52411019447646</c:v>
                </c:pt>
                <c:pt idx="46">
                  <c:v>339.51758892007979</c:v>
                </c:pt>
                <c:pt idx="47">
                  <c:v>351.76006924925809</c:v>
                </c:pt>
                <c:pt idx="48">
                  <c:v>363.99321066425381</c:v>
                </c:pt>
                <c:pt idx="49">
                  <c:v>376.21737131771482</c:v>
                </c:pt>
                <c:pt idx="50">
                  <c:v>388.4328841840873</c:v>
                </c:pt>
                <c:pt idx="51">
                  <c:v>399.86112159092801</c:v>
                </c:pt>
                <c:pt idx="52">
                  <c:v>411.28229041391364</c:v>
                </c:pt>
                <c:pt idx="53">
                  <c:v>422.69661464593588</c:v>
                </c:pt>
                <c:pt idx="54">
                  <c:v>434.10430519378178</c:v>
                </c:pt>
                <c:pt idx="55">
                  <c:v>445.50556097376767</c:v>
                </c:pt>
                <c:pt idx="56">
                  <c:v>386.35424502436632</c:v>
                </c:pt>
                <c:pt idx="57">
                  <c:v>397.26442392273333</c:v>
                </c:pt>
                <c:pt idx="58">
                  <c:v>408.16811416868921</c:v>
                </c:pt>
                <c:pt idx="59">
                  <c:v>419.06551357352504</c:v>
                </c:pt>
                <c:pt idx="60">
                  <c:v>429.95680881908919</c:v>
                </c:pt>
                <c:pt idx="61">
                  <c:v>440.06484307342475</c:v>
                </c:pt>
                <c:pt idx="62">
                  <c:v>450.16790026276612</c:v>
                </c:pt>
                <c:pt idx="63">
                  <c:v>460.26610785970826</c:v>
                </c:pt>
                <c:pt idx="64">
                  <c:v>470.35958728592249</c:v>
                </c:pt>
                <c:pt idx="65">
                  <c:v>480.44845432585157</c:v>
                </c:pt>
                <c:pt idx="66">
                  <c:v>423.993273379458</c:v>
                </c:pt>
                <c:pt idx="67">
                  <c:v>433.58591486422876</c:v>
                </c:pt>
                <c:pt idx="68">
                  <c:v>443.17400011470886</c:v>
                </c:pt>
                <c:pt idx="69">
                  <c:v>452.75764163369041</c:v>
                </c:pt>
                <c:pt idx="70">
                  <c:v>462.33694677132871</c:v>
                </c:pt>
                <c:pt idx="71">
                  <c:v>471.39455324221279</c:v>
                </c:pt>
                <c:pt idx="72">
                  <c:v>480.44845432585163</c:v>
                </c:pt>
                <c:pt idx="73">
                  <c:v>489.49872971371423</c:v>
                </c:pt>
                <c:pt idx="74">
                  <c:v>498.54545590936368</c:v>
                </c:pt>
                <c:pt idx="75">
                  <c:v>507.58870641276627</c:v>
                </c:pt>
                <c:pt idx="76">
                  <c:v>454.31133429442997</c:v>
                </c:pt>
                <c:pt idx="77">
                  <c:v>463.11346028434019</c:v>
                </c:pt>
                <c:pt idx="78">
                  <c:v>471.91201806530245</c:v>
                </c:pt>
                <c:pt idx="79">
                  <c:v>480.70708356712709</c:v>
                </c:pt>
                <c:pt idx="80">
                  <c:v>489.49872971371423</c:v>
                </c:pt>
                <c:pt idx="81">
                  <c:v>498.02859444198822</c:v>
                </c:pt>
                <c:pt idx="82">
                  <c:v>506.55536570967496</c:v>
                </c:pt>
                <c:pt idx="83">
                  <c:v>515.07910294474061</c:v>
                </c:pt>
                <c:pt idx="84">
                  <c:v>523.59986344738036</c:v>
                </c:pt>
                <c:pt idx="85">
                  <c:v>532.1177025003368</c:v>
                </c:pt>
                <c:pt idx="86">
                  <c:v>481.74157097323285</c:v>
                </c:pt>
                <c:pt idx="87">
                  <c:v>489.49872971371445</c:v>
                </c:pt>
                <c:pt idx="88">
                  <c:v>497.25328093317034</c:v>
                </c:pt>
                <c:pt idx="89">
                  <c:v>505.00527104516345</c:v>
                </c:pt>
                <c:pt idx="90">
                  <c:v>512.7547449216022</c:v>
                </c:pt>
                <c:pt idx="91">
                  <c:v>520.50174596698128</c:v>
                </c:pt>
                <c:pt idx="92">
                  <c:v>528.24631618797048</c:v>
                </c:pt>
                <c:pt idx="93">
                  <c:v>535.98849625870969</c:v>
                </c:pt>
                <c:pt idx="94">
                  <c:v>543.72832558213634</c:v>
                </c:pt>
                <c:pt idx="95">
                  <c:v>551.46584234763566</c:v>
                </c:pt>
                <c:pt idx="96">
                  <c:v>503.19670004131399</c:v>
                </c:pt>
                <c:pt idx="97">
                  <c:v>510.4301643532047</c:v>
                </c:pt>
                <c:pt idx="98">
                  <c:v>517.66146335524525</c:v>
                </c:pt>
                <c:pt idx="99">
                  <c:v>524.89063157230294</c:v>
                </c:pt>
                <c:pt idx="100">
                  <c:v>532.11770250033692</c:v>
                </c:pt>
                <c:pt idx="101">
                  <c:v>538.95570657046494</c:v>
                </c:pt>
                <c:pt idx="102">
                  <c:v>545.7918879539825</c:v>
                </c:pt>
                <c:pt idx="103">
                  <c:v>552.62627270805831</c:v>
                </c:pt>
                <c:pt idx="104">
                  <c:v>559.4588861925846</c:v>
                </c:pt>
                <c:pt idx="105">
                  <c:v>566.28975309730868</c:v>
                </c:pt>
                <c:pt idx="106">
                  <c:v>573.11889746758982</c:v>
                </c:pt>
                <c:pt idx="107">
                  <c:v>579.94634272886162</c:v>
                </c:pt>
                <c:pt idx="108">
                  <c:v>586.77211170988437</c:v>
                </c:pt>
                <c:pt idx="109">
                  <c:v>593.59622666485791</c:v>
                </c:pt>
                <c:pt idx="110">
                  <c:v>600.41870929446566</c:v>
                </c:pt>
                <c:pt idx="111">
                  <c:v>530.69826324876692</c:v>
                </c:pt>
                <c:pt idx="112">
                  <c:v>537.02060847710493</c:v>
                </c:pt>
                <c:pt idx="113">
                  <c:v>543.34138935187991</c:v>
                </c:pt>
                <c:pt idx="114">
                  <c:v>549.66062664564004</c:v>
                </c:pt>
                <c:pt idx="115">
                  <c:v>555.97834061416404</c:v>
                </c:pt>
                <c:pt idx="116">
                  <c:v>562.29455101517226</c:v>
                </c:pt>
                <c:pt idx="117">
                  <c:v>568.60927712615228</c:v>
                </c:pt>
                <c:pt idx="118">
                  <c:v>574.92253776135237</c:v>
                </c:pt>
                <c:pt idx="119">
                  <c:v>581.2343512879894</c:v>
                </c:pt>
                <c:pt idx="120">
                  <c:v>587.54473564171474</c:v>
                </c:pt>
                <c:pt idx="121">
                  <c:v>1.6144600406554537E-12</c:v>
                </c:pt>
                <c:pt idx="122">
                  <c:v>1.6144600406554537E-12</c:v>
                </c:pt>
                <c:pt idx="123">
                  <c:v>1.6144600406554537E-12</c:v>
                </c:pt>
                <c:pt idx="124">
                  <c:v>1.6144600406554537E-12</c:v>
                </c:pt>
                <c:pt idx="125">
                  <c:v>1.6144600406554537E-12</c:v>
                </c:pt>
                <c:pt idx="126">
                  <c:v>1.6144600406554537E-12</c:v>
                </c:pt>
                <c:pt idx="127">
                  <c:v>1.6144600406554537E-12</c:v>
                </c:pt>
                <c:pt idx="128">
                  <c:v>1.6144600406554537E-12</c:v>
                </c:pt>
                <c:pt idx="129">
                  <c:v>1.6144600406554537E-12</c:v>
                </c:pt>
                <c:pt idx="130">
                  <c:v>1.6144600406554537E-12</c:v>
                </c:pt>
                <c:pt idx="131">
                  <c:v>1.6144600406554537E-12</c:v>
                </c:pt>
                <c:pt idx="132">
                  <c:v>1.6144600406554537E-12</c:v>
                </c:pt>
                <c:pt idx="133">
                  <c:v>1.6144600406554537E-12</c:v>
                </c:pt>
                <c:pt idx="134">
                  <c:v>1.6144600406554537E-12</c:v>
                </c:pt>
                <c:pt idx="135">
                  <c:v>1.6144600406554537E-12</c:v>
                </c:pt>
                <c:pt idx="136">
                  <c:v>1.6144600406554537E-12</c:v>
                </c:pt>
                <c:pt idx="137">
                  <c:v>1.6144600406554537E-12</c:v>
                </c:pt>
                <c:pt idx="138">
                  <c:v>1.6144600406554537E-12</c:v>
                </c:pt>
                <c:pt idx="139">
                  <c:v>1.6144600406554537E-12</c:v>
                </c:pt>
                <c:pt idx="140">
                  <c:v>1.6144600406554537E-12</c:v>
                </c:pt>
                <c:pt idx="141">
                  <c:v>1.6144600406554537E-12</c:v>
                </c:pt>
                <c:pt idx="142">
                  <c:v>1.6144600406554537E-12</c:v>
                </c:pt>
                <c:pt idx="143">
                  <c:v>1.6144600406554537E-12</c:v>
                </c:pt>
                <c:pt idx="144">
                  <c:v>1.6144600406554537E-12</c:v>
                </c:pt>
                <c:pt idx="145">
                  <c:v>1.6144600406554537E-12</c:v>
                </c:pt>
                <c:pt idx="146">
                  <c:v>1.6144600406554537E-12</c:v>
                </c:pt>
                <c:pt idx="147">
                  <c:v>1.6144600406554537E-12</c:v>
                </c:pt>
                <c:pt idx="148">
                  <c:v>1.6144600406554537E-12</c:v>
                </c:pt>
                <c:pt idx="149">
                  <c:v>1.6144600406554537E-12</c:v>
                </c:pt>
                <c:pt idx="150">
                  <c:v>1.6144600406554537E-12</c:v>
                </c:pt>
                <c:pt idx="151">
                  <c:v>1.6144600406554537E-12</c:v>
                </c:pt>
                <c:pt idx="152">
                  <c:v>1.6144600406554537E-12</c:v>
                </c:pt>
                <c:pt idx="153">
                  <c:v>1.6144600406554537E-12</c:v>
                </c:pt>
                <c:pt idx="154">
                  <c:v>1.6144600406554537E-12</c:v>
                </c:pt>
                <c:pt idx="155">
                  <c:v>1.6144600406554537E-12</c:v>
                </c:pt>
                <c:pt idx="156">
                  <c:v>1.6144600406554537E-12</c:v>
                </c:pt>
                <c:pt idx="157">
                  <c:v>1.6144600406554537E-12</c:v>
                </c:pt>
                <c:pt idx="158">
                  <c:v>1.6144600406554537E-12</c:v>
                </c:pt>
                <c:pt idx="159">
                  <c:v>1.6144600406554537E-12</c:v>
                </c:pt>
                <c:pt idx="160">
                  <c:v>1.6144600406554537E-12</c:v>
                </c:pt>
                <c:pt idx="161">
                  <c:v>1.6144600406554537E-12</c:v>
                </c:pt>
                <c:pt idx="162">
                  <c:v>1.6144600406554537E-12</c:v>
                </c:pt>
                <c:pt idx="163">
                  <c:v>1.6144600406554537E-12</c:v>
                </c:pt>
                <c:pt idx="164">
                  <c:v>1.6144600406554537E-12</c:v>
                </c:pt>
                <c:pt idx="165">
                  <c:v>1.6144600406554537E-12</c:v>
                </c:pt>
                <c:pt idx="166">
                  <c:v>1.6144600406554537E-12</c:v>
                </c:pt>
                <c:pt idx="167">
                  <c:v>1.6144600406554537E-12</c:v>
                </c:pt>
                <c:pt idx="168">
                  <c:v>1.6144600406554537E-12</c:v>
                </c:pt>
                <c:pt idx="169">
                  <c:v>1.6144600406554537E-12</c:v>
                </c:pt>
                <c:pt idx="170">
                  <c:v>1.6144600406554537E-12</c:v>
                </c:pt>
                <c:pt idx="171">
                  <c:v>1.6144600406554537E-12</c:v>
                </c:pt>
                <c:pt idx="172">
                  <c:v>1.6144600406554537E-12</c:v>
                </c:pt>
                <c:pt idx="173">
                  <c:v>1.6144600406554537E-12</c:v>
                </c:pt>
                <c:pt idx="174">
                  <c:v>1.6144600406554537E-12</c:v>
                </c:pt>
                <c:pt idx="175">
                  <c:v>1.6144600406554537E-12</c:v>
                </c:pt>
                <c:pt idx="176">
                  <c:v>1.6144600406554537E-12</c:v>
                </c:pt>
                <c:pt idx="177">
                  <c:v>1.6144600406554537E-12</c:v>
                </c:pt>
                <c:pt idx="178">
                  <c:v>1.6144600406554537E-12</c:v>
                </c:pt>
                <c:pt idx="179">
                  <c:v>1.6144600406554537E-12</c:v>
                </c:pt>
                <c:pt idx="180">
                  <c:v>1.6144600406554537E-12</c:v>
                </c:pt>
                <c:pt idx="181">
                  <c:v>1.6144600406554537E-12</c:v>
                </c:pt>
                <c:pt idx="182">
                  <c:v>1.6144600406554537E-12</c:v>
                </c:pt>
                <c:pt idx="183">
                  <c:v>1.6144600406554537E-12</c:v>
                </c:pt>
                <c:pt idx="184">
                  <c:v>1.6144600406554537E-12</c:v>
                </c:pt>
                <c:pt idx="185">
                  <c:v>1.6144600406554537E-12</c:v>
                </c:pt>
                <c:pt idx="186">
                  <c:v>1.6144600406554537E-12</c:v>
                </c:pt>
                <c:pt idx="187">
                  <c:v>1.6144600406554537E-12</c:v>
                </c:pt>
                <c:pt idx="188">
                  <c:v>1.6144600406554537E-12</c:v>
                </c:pt>
                <c:pt idx="189">
                  <c:v>1.6144600406554537E-12</c:v>
                </c:pt>
                <c:pt idx="190">
                  <c:v>1.6144600406554537E-12</c:v>
                </c:pt>
                <c:pt idx="191">
                  <c:v>1.6144600406554537E-12</c:v>
                </c:pt>
                <c:pt idx="192">
                  <c:v>1.6144600406554537E-12</c:v>
                </c:pt>
                <c:pt idx="193">
                  <c:v>1.6144600406554537E-12</c:v>
                </c:pt>
                <c:pt idx="194">
                  <c:v>1.6144600406554537E-12</c:v>
                </c:pt>
                <c:pt idx="195">
                  <c:v>1.6144600406554537E-12</c:v>
                </c:pt>
                <c:pt idx="196">
                  <c:v>1.6144600406554537E-12</c:v>
                </c:pt>
                <c:pt idx="197">
                  <c:v>1.6144600406554537E-12</c:v>
                </c:pt>
                <c:pt idx="198">
                  <c:v>1.6144600406554537E-12</c:v>
                </c:pt>
                <c:pt idx="199">
                  <c:v>1.6144600406554537E-12</c:v>
                </c:pt>
                <c:pt idx="200">
                  <c:v>1.6144600406554537E-12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8941328"/>
        <c:axId val="528929904"/>
      </c:scatterChart>
      <c:valAx>
        <c:axId val="5289413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28929904"/>
        <c:crosses val="autoZero"/>
        <c:crossBetween val="midCat"/>
      </c:valAx>
      <c:valAx>
        <c:axId val="52892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289413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2.3792316710116794</c:v>
                </c:pt>
                <c:pt idx="2">
                  <c:v>3.0001714302004134</c:v>
                </c:pt>
                <c:pt idx="3">
                  <c:v>3.7838026635400475</c:v>
                </c:pt>
                <c:pt idx="4">
                  <c:v>4.7729092148501211</c:v>
                </c:pt>
                <c:pt idx="5">
                  <c:v>6.0215647416368272</c:v>
                </c:pt>
                <c:pt idx="6">
                  <c:v>7.5981213697524668</c:v>
                </c:pt>
                <c:pt idx="7">
                  <c:v>9.5889918293318406</c:v>
                </c:pt>
                <c:pt idx="8">
                  <c:v>12.103436304894307</c:v>
                </c:pt>
                <c:pt idx="9">
                  <c:v>15.279621602197665</c:v>
                </c:pt>
                <c:pt idx="10">
                  <c:v>19.292291680236925</c:v>
                </c:pt>
                <c:pt idx="11">
                  <c:v>37.096852338099858</c:v>
                </c:pt>
                <c:pt idx="12">
                  <c:v>54.659647561719503</c:v>
                </c:pt>
                <c:pt idx="13">
                  <c:v>72.072088558495707</c:v>
                </c:pt>
                <c:pt idx="14">
                  <c:v>89.376149667899369</c:v>
                </c:pt>
                <c:pt idx="15">
                  <c:v>106.595922899923</c:v>
                </c:pt>
                <c:pt idx="16">
                  <c:v>128.68204943403745</c:v>
                </c:pt>
                <c:pt idx="17">
                  <c:v>150.67621656079791</c:v>
                </c:pt>
                <c:pt idx="18">
                  <c:v>172.59376735487015</c:v>
                </c:pt>
                <c:pt idx="19">
                  <c:v>194.44581168538045</c:v>
                </c:pt>
                <c:pt idx="20">
                  <c:v>216.24075084880474</c:v>
                </c:pt>
                <c:pt idx="21">
                  <c:v>133.93252826541888</c:v>
                </c:pt>
                <c:pt idx="22">
                  <c:v>157.46934134660478</c:v>
                </c:pt>
                <c:pt idx="23">
                  <c:v>180.92254957217764</c:v>
                </c:pt>
                <c:pt idx="24">
                  <c:v>204.3045280233529</c:v>
                </c:pt>
                <c:pt idx="25">
                  <c:v>227.62457918072189</c:v>
                </c:pt>
                <c:pt idx="26">
                  <c:v>250.13311494134999</c:v>
                </c:pt>
                <c:pt idx="27">
                  <c:v>272.59572366188627</c:v>
                </c:pt>
                <c:pt idx="28">
                  <c:v>295.01672068637509</c:v>
                </c:pt>
                <c:pt idx="29">
                  <c:v>317.39971168920596</c:v>
                </c:pt>
                <c:pt idx="30">
                  <c:v>339.74775226555522</c:v>
                </c:pt>
                <c:pt idx="31">
                  <c:v>250.07004383824537</c:v>
                </c:pt>
                <c:pt idx="32">
                  <c:v>270.42380439071962</c:v>
                </c:pt>
                <c:pt idx="33">
                  <c:v>290.74310019724186</c:v>
                </c:pt>
                <c:pt idx="34">
                  <c:v>311.03067786790672</c:v>
                </c:pt>
                <c:pt idx="35">
                  <c:v>331.28889643907786</c:v>
                </c:pt>
                <c:pt idx="36">
                  <c:v>349.04714813629499</c:v>
                </c:pt>
                <c:pt idx="37">
                  <c:v>366.78558363331143</c:v>
                </c:pt>
                <c:pt idx="38">
                  <c:v>384.50529582609062</c:v>
                </c:pt>
                <c:pt idx="39">
                  <c:v>402.20726868632238</c:v>
                </c:pt>
                <c:pt idx="40">
                  <c:v>419.89239253282386</c:v>
                </c:pt>
                <c:pt idx="41">
                  <c:v>325.83511614471871</c:v>
                </c:pt>
                <c:pt idx="42">
                  <c:v>341.21974267416618</c:v>
                </c:pt>
                <c:pt idx="43">
                  <c:v>356.58912057242401</c:v>
                </c:pt>
                <c:pt idx="44">
                  <c:v>371.94399954059327</c:v>
                </c:pt>
                <c:pt idx="45">
                  <c:v>387.28506233326408</c:v>
                </c:pt>
                <c:pt idx="46">
                  <c:v>400.61572997207281</c:v>
                </c:pt>
                <c:pt idx="47">
                  <c:v>413.9368001118296</c:v>
                </c:pt>
                <c:pt idx="48">
                  <c:v>427.24862511853593</c:v>
                </c:pt>
                <c:pt idx="49">
                  <c:v>440.55153361033672</c:v>
                </c:pt>
                <c:pt idx="50">
                  <c:v>453.84583274186275</c:v>
                </c:pt>
                <c:pt idx="51">
                  <c:v>398.15013483461621</c:v>
                </c:pt>
                <c:pt idx="52">
                  <c:v>409.63265752074312</c:v>
                </c:pt>
                <c:pt idx="53">
                  <c:v>421.10823125259907</c:v>
                </c:pt>
                <c:pt idx="54">
                  <c:v>432.57707211284247</c:v>
                </c:pt>
                <c:pt idx="55">
                  <c:v>444.03938378997123</c:v>
                </c:pt>
                <c:pt idx="56">
                  <c:v>453.81470838209202</c:v>
                </c:pt>
                <c:pt idx="57">
                  <c:v>463.58553297341928</c:v>
                </c:pt>
                <c:pt idx="58">
                  <c:v>473.35196580283736</c:v>
                </c:pt>
                <c:pt idx="59">
                  <c:v>483.1141102774788</c:v>
                </c:pt>
                <c:pt idx="60">
                  <c:v>492.8720652837838</c:v>
                </c:pt>
                <c:pt idx="61">
                  <c:v>454.06370198273868</c:v>
                </c:pt>
                <c:pt idx="62">
                  <c:v>462.21663985035343</c:v>
                </c:pt>
                <c:pt idx="63">
                  <c:v>470.36650984219659</c:v>
                </c:pt>
                <c:pt idx="64">
                  <c:v>478.51337263187162</c:v>
                </c:pt>
                <c:pt idx="65">
                  <c:v>486.65728665769001</c:v>
                </c:pt>
                <c:pt idx="66">
                  <c:v>493.64879532061622</c:v>
                </c:pt>
                <c:pt idx="67">
                  <c:v>500.63820532506929</c:v>
                </c:pt>
                <c:pt idx="68">
                  <c:v>507.62555011613114</c:v>
                </c:pt>
                <c:pt idx="69">
                  <c:v>514.61086214265538</c:v>
                </c:pt>
                <c:pt idx="70">
                  <c:v>521.59417290035935</c:v>
                </c:pt>
                <c:pt idx="71">
                  <c:v>487.8693000072526</c:v>
                </c:pt>
                <c:pt idx="72">
                  <c:v>494.36336407119035</c:v>
                </c:pt>
                <c:pt idx="73">
                  <c:v>500.85562034073132</c:v>
                </c:pt>
                <c:pt idx="74">
                  <c:v>507.34609556638321</c:v>
                </c:pt>
                <c:pt idx="75">
                  <c:v>513.83481575804865</c:v>
                </c:pt>
                <c:pt idx="76">
                  <c:v>519.35972931464255</c:v>
                </c:pt>
                <c:pt idx="77">
                  <c:v>524.88340345718075</c:v>
                </c:pt>
                <c:pt idx="78">
                  <c:v>530.40585307590879</c:v>
                </c:pt>
                <c:pt idx="79">
                  <c:v>535.9270927255476</c:v>
                </c:pt>
                <c:pt idx="80">
                  <c:v>541.44713663630864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8939152"/>
        <c:axId val="528925552"/>
      </c:scatterChart>
      <c:valAx>
        <c:axId val="52893915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28925552"/>
        <c:crosses val="autoZero"/>
        <c:crossBetween val="midCat"/>
      </c:valAx>
      <c:valAx>
        <c:axId val="528925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289391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2.5380918812887914</c:v>
                </c:pt>
                <c:pt idx="2">
                  <c:v>3.2168218116837237</c:v>
                </c:pt>
                <c:pt idx="3">
                  <c:v>4.0777698035291934</c:v>
                </c:pt>
                <c:pt idx="4">
                  <c:v>5.1700364339554419</c:v>
                </c:pt>
                <c:pt idx="5">
                  <c:v>6.5559984815227494</c:v>
                </c:pt>
                <c:pt idx="6">
                  <c:v>8.3149100852329703</c:v>
                </c:pt>
                <c:pt idx="7">
                  <c:v>10.54748357687275</c:v>
                </c:pt>
                <c:pt idx="8">
                  <c:v>13.381717214799407</c:v>
                </c:pt>
                <c:pt idx="9">
                  <c:v>16.980310117401761</c:v>
                </c:pt>
                <c:pt idx="10">
                  <c:v>21.550097788741649</c:v>
                </c:pt>
                <c:pt idx="11">
                  <c:v>27.354060245633761</c:v>
                </c:pt>
                <c:pt idx="12">
                  <c:v>34.726605905427995</c:v>
                </c:pt>
                <c:pt idx="13">
                  <c:v>44.093027016943331</c:v>
                </c:pt>
                <c:pt idx="14">
                  <c:v>55.994267914108548</c:v>
                </c:pt>
                <c:pt idx="15">
                  <c:v>71.118460282851473</c:v>
                </c:pt>
                <c:pt idx="16">
                  <c:v>87.672415653160499</c:v>
                </c:pt>
                <c:pt idx="17">
                  <c:v>104.14760645595801</c:v>
                </c:pt>
                <c:pt idx="18">
                  <c:v>120.55829551377816</c:v>
                </c:pt>
                <c:pt idx="19">
                  <c:v>136.9145198877824</c:v>
                </c:pt>
                <c:pt idx="20">
                  <c:v>153.22371186614834</c:v>
                </c:pt>
                <c:pt idx="21">
                  <c:v>171.18397278750868</c:v>
                </c:pt>
                <c:pt idx="22">
                  <c:v>189.09987078266826</c:v>
                </c:pt>
                <c:pt idx="23">
                  <c:v>206.97620217195148</c:v>
                </c:pt>
                <c:pt idx="24">
                  <c:v>224.81686592693052</c:v>
                </c:pt>
                <c:pt idx="25">
                  <c:v>242.62509103866606</c:v>
                </c:pt>
                <c:pt idx="26">
                  <c:v>169.32232688472158</c:v>
                </c:pt>
                <c:pt idx="27">
                  <c:v>188.76221470729047</c:v>
                </c:pt>
                <c:pt idx="28">
                  <c:v>208.15542061438953</c:v>
                </c:pt>
                <c:pt idx="29">
                  <c:v>227.50690659831912</c:v>
                </c:pt>
                <c:pt idx="30">
                  <c:v>246.82072062447358</c:v>
                </c:pt>
                <c:pt idx="31">
                  <c:v>266.10022493300397</c:v>
                </c:pt>
                <c:pt idx="32">
                  <c:v>224.98501498915437</c:v>
                </c:pt>
                <c:pt idx="33">
                  <c:v>244.30353923844871</c:v>
                </c:pt>
                <c:pt idx="34">
                  <c:v>263.58734797276014</c:v>
                </c:pt>
                <c:pt idx="35">
                  <c:v>282.83933776674911</c:v>
                </c:pt>
                <c:pt idx="36">
                  <c:v>302.06197856553018</c:v>
                </c:pt>
                <c:pt idx="37">
                  <c:v>321.25740024962437</c:v>
                </c:pt>
                <c:pt idx="38">
                  <c:v>279.73236813579507</c:v>
                </c:pt>
                <c:pt idx="39">
                  <c:v>298.36290228402572</c:v>
                </c:pt>
                <c:pt idx="40">
                  <c:v>316.96751977104663</c:v>
                </c:pt>
                <c:pt idx="41">
                  <c:v>335.54795535646372</c:v>
                </c:pt>
                <c:pt idx="42">
                  <c:v>354.10573601815048</c:v>
                </c:pt>
                <c:pt idx="43">
                  <c:v>372.64221565134471</c:v>
                </c:pt>
                <c:pt idx="44">
                  <c:v>391.15860250001066</c:v>
                </c:pt>
                <c:pt idx="45">
                  <c:v>336.88699770815003</c:v>
                </c:pt>
                <c:pt idx="46">
                  <c:v>354.16518115704031</c:v>
                </c:pt>
                <c:pt idx="47">
                  <c:v>371.42490308727605</c:v>
                </c:pt>
                <c:pt idx="48">
                  <c:v>388.66714186934956</c:v>
                </c:pt>
                <c:pt idx="49">
                  <c:v>405.89278200614257</c:v>
                </c:pt>
                <c:pt idx="50">
                  <c:v>423.1026268227929</c:v>
                </c:pt>
                <c:pt idx="51">
                  <c:v>440.29740898417259</c:v>
                </c:pt>
                <c:pt idx="52">
                  <c:v>457.47779928386598</c:v>
                </c:pt>
                <c:pt idx="53">
                  <c:v>393.44213889474253</c:v>
                </c:pt>
                <c:pt idx="54">
                  <c:v>409.00414204035161</c:v>
                </c:pt>
                <c:pt idx="55">
                  <c:v>424.55336102424576</c:v>
                </c:pt>
                <c:pt idx="56">
                  <c:v>440.09032987714431</c:v>
                </c:pt>
                <c:pt idx="57">
                  <c:v>455.61554185670815</c:v>
                </c:pt>
                <c:pt idx="58">
                  <c:v>471.12945387268002</c:v>
                </c:pt>
                <c:pt idx="59">
                  <c:v>486.63249029889352</c:v>
                </c:pt>
                <c:pt idx="60">
                  <c:v>502.12504627431412</c:v>
                </c:pt>
                <c:pt idx="61">
                  <c:v>438.70974904240546</c:v>
                </c:pt>
                <c:pt idx="62">
                  <c:v>453.06329508642131</c:v>
                </c:pt>
                <c:pt idx="63">
                  <c:v>467.40712233198587</c:v>
                </c:pt>
                <c:pt idx="64">
                  <c:v>481.74157097323291</c:v>
                </c:pt>
                <c:pt idx="65">
                  <c:v>496.06695931286299</c:v>
                </c:pt>
                <c:pt idx="66">
                  <c:v>510.38358577553487</c:v>
                </c:pt>
                <c:pt idx="67">
                  <c:v>524.69173068364421</c:v>
                </c:pt>
                <c:pt idx="68">
                  <c:v>538.99165782937473</c:v>
                </c:pt>
                <c:pt idx="69">
                  <c:v>553.28361587129064</c:v>
                </c:pt>
                <c:pt idx="70">
                  <c:v>2.5073107750038623E-12</c:v>
                </c:pt>
                <c:pt idx="71">
                  <c:v>2.5073107750038623E-12</c:v>
                </c:pt>
                <c:pt idx="72">
                  <c:v>2.5073107750038623E-12</c:v>
                </c:pt>
                <c:pt idx="73">
                  <c:v>2.5073107750038623E-12</c:v>
                </c:pt>
                <c:pt idx="74">
                  <c:v>2.5073107750038623E-12</c:v>
                </c:pt>
                <c:pt idx="75">
                  <c:v>2.5073107750038623E-12</c:v>
                </c:pt>
                <c:pt idx="76">
                  <c:v>2.5073107750038623E-12</c:v>
                </c:pt>
                <c:pt idx="77">
                  <c:v>2.5073107750038623E-12</c:v>
                </c:pt>
                <c:pt idx="78">
                  <c:v>2.5073107750038623E-12</c:v>
                </c:pt>
                <c:pt idx="79">
                  <c:v>2.5073107750038623E-12</c:v>
                </c:pt>
                <c:pt idx="80">
                  <c:v>2.5073107750038623E-12</c:v>
                </c:pt>
                <c:pt idx="81">
                  <c:v>2.5073107750038623E-12</c:v>
                </c:pt>
                <c:pt idx="82">
                  <c:v>2.5073107750038623E-12</c:v>
                </c:pt>
                <c:pt idx="83">
                  <c:v>2.5073107750038623E-12</c:v>
                </c:pt>
                <c:pt idx="84">
                  <c:v>2.5073107750038623E-12</c:v>
                </c:pt>
                <c:pt idx="85">
                  <c:v>2.5073107750038623E-12</c:v>
                </c:pt>
                <c:pt idx="86">
                  <c:v>2.5073107750038623E-12</c:v>
                </c:pt>
                <c:pt idx="87">
                  <c:v>2.5073107750038623E-12</c:v>
                </c:pt>
                <c:pt idx="88">
                  <c:v>2.5073107750038623E-12</c:v>
                </c:pt>
                <c:pt idx="89">
                  <c:v>2.5073107750038623E-12</c:v>
                </c:pt>
                <c:pt idx="90">
                  <c:v>2.5073107750038623E-12</c:v>
                </c:pt>
                <c:pt idx="91">
                  <c:v>2.5073107750038623E-12</c:v>
                </c:pt>
                <c:pt idx="92">
                  <c:v>2.5073107750038623E-12</c:v>
                </c:pt>
                <c:pt idx="93">
                  <c:v>2.5073107750038623E-12</c:v>
                </c:pt>
                <c:pt idx="94">
                  <c:v>2.5073107750038623E-12</c:v>
                </c:pt>
                <c:pt idx="95">
                  <c:v>2.5073107750038623E-12</c:v>
                </c:pt>
                <c:pt idx="96">
                  <c:v>2.5073107750038623E-12</c:v>
                </c:pt>
                <c:pt idx="97">
                  <c:v>2.5073107750038623E-12</c:v>
                </c:pt>
                <c:pt idx="98">
                  <c:v>2.5073107750038623E-12</c:v>
                </c:pt>
                <c:pt idx="99">
                  <c:v>2.5073107750038623E-12</c:v>
                </c:pt>
                <c:pt idx="100">
                  <c:v>2.5073107750038623E-12</c:v>
                </c:pt>
                <c:pt idx="101">
                  <c:v>2.5073107750038623E-12</c:v>
                </c:pt>
                <c:pt idx="102">
                  <c:v>2.5073107750038623E-12</c:v>
                </c:pt>
                <c:pt idx="103">
                  <c:v>2.5073107750038623E-12</c:v>
                </c:pt>
                <c:pt idx="104">
                  <c:v>2.5073107750038623E-12</c:v>
                </c:pt>
                <c:pt idx="105">
                  <c:v>2.5073107750038623E-12</c:v>
                </c:pt>
                <c:pt idx="106">
                  <c:v>2.5073107750038623E-12</c:v>
                </c:pt>
                <c:pt idx="107">
                  <c:v>2.5073107750038623E-12</c:v>
                </c:pt>
                <c:pt idx="108">
                  <c:v>2.5073107750038623E-12</c:v>
                </c:pt>
                <c:pt idx="109">
                  <c:v>2.5073107750038623E-12</c:v>
                </c:pt>
                <c:pt idx="110">
                  <c:v>2.5073107750038623E-12</c:v>
                </c:pt>
                <c:pt idx="111">
                  <c:v>2.5073107750038623E-12</c:v>
                </c:pt>
                <c:pt idx="112">
                  <c:v>2.5073107750038623E-12</c:v>
                </c:pt>
                <c:pt idx="113">
                  <c:v>2.5073107750038623E-12</c:v>
                </c:pt>
                <c:pt idx="114">
                  <c:v>2.5073107750038623E-12</c:v>
                </c:pt>
                <c:pt idx="115">
                  <c:v>2.5073107750038623E-12</c:v>
                </c:pt>
                <c:pt idx="116">
                  <c:v>2.5073107750038623E-12</c:v>
                </c:pt>
                <c:pt idx="117">
                  <c:v>2.5073107750038623E-12</c:v>
                </c:pt>
                <c:pt idx="118">
                  <c:v>2.5073107750038623E-12</c:v>
                </c:pt>
                <c:pt idx="119">
                  <c:v>2.5073107750038623E-12</c:v>
                </c:pt>
                <c:pt idx="120">
                  <c:v>2.5073107750038623E-12</c:v>
                </c:pt>
                <c:pt idx="121">
                  <c:v>2.5073107750038623E-12</c:v>
                </c:pt>
                <c:pt idx="122">
                  <c:v>2.5073107750038623E-12</c:v>
                </c:pt>
                <c:pt idx="123">
                  <c:v>2.5073107750038623E-12</c:v>
                </c:pt>
                <c:pt idx="124">
                  <c:v>2.5073107750038623E-12</c:v>
                </c:pt>
                <c:pt idx="125">
                  <c:v>2.5073107750038623E-12</c:v>
                </c:pt>
                <c:pt idx="126">
                  <c:v>2.5073107750038623E-12</c:v>
                </c:pt>
                <c:pt idx="127">
                  <c:v>2.5073107750038623E-12</c:v>
                </c:pt>
                <c:pt idx="128">
                  <c:v>2.5073107750038623E-12</c:v>
                </c:pt>
                <c:pt idx="129">
                  <c:v>2.5073107750038623E-12</c:v>
                </c:pt>
                <c:pt idx="130">
                  <c:v>2.5073107750038623E-12</c:v>
                </c:pt>
                <c:pt idx="131">
                  <c:v>2.5073107750038623E-12</c:v>
                </c:pt>
                <c:pt idx="132">
                  <c:v>2.5073107750038623E-12</c:v>
                </c:pt>
                <c:pt idx="133">
                  <c:v>2.5073107750038623E-12</c:v>
                </c:pt>
                <c:pt idx="134">
                  <c:v>2.5073107750038623E-12</c:v>
                </c:pt>
                <c:pt idx="135">
                  <c:v>2.5073107750038623E-12</c:v>
                </c:pt>
                <c:pt idx="136">
                  <c:v>2.5073107750038623E-12</c:v>
                </c:pt>
                <c:pt idx="137">
                  <c:v>2.5073107750038623E-12</c:v>
                </c:pt>
                <c:pt idx="138">
                  <c:v>2.5073107750038623E-12</c:v>
                </c:pt>
                <c:pt idx="139">
                  <c:v>2.5073107750038623E-12</c:v>
                </c:pt>
                <c:pt idx="140">
                  <c:v>2.5073107750038623E-12</c:v>
                </c:pt>
                <c:pt idx="141">
                  <c:v>2.5073107750038623E-12</c:v>
                </c:pt>
                <c:pt idx="142">
                  <c:v>2.5073107750038623E-12</c:v>
                </c:pt>
                <c:pt idx="143">
                  <c:v>2.5073107750038623E-12</c:v>
                </c:pt>
                <c:pt idx="144">
                  <c:v>2.5073107750038623E-12</c:v>
                </c:pt>
                <c:pt idx="145">
                  <c:v>2.5073107750038623E-12</c:v>
                </c:pt>
                <c:pt idx="146">
                  <c:v>2.5073107750038623E-12</c:v>
                </c:pt>
                <c:pt idx="147">
                  <c:v>2.5073107750038623E-12</c:v>
                </c:pt>
                <c:pt idx="148">
                  <c:v>2.5073107750038623E-12</c:v>
                </c:pt>
                <c:pt idx="149">
                  <c:v>2.5073107750038623E-12</c:v>
                </c:pt>
                <c:pt idx="150">
                  <c:v>2.5073107750038623E-12</c:v>
                </c:pt>
                <c:pt idx="151">
                  <c:v>2.5073107750038623E-12</c:v>
                </c:pt>
                <c:pt idx="152">
                  <c:v>2.5073107750038623E-12</c:v>
                </c:pt>
                <c:pt idx="153">
                  <c:v>2.5073107750038623E-12</c:v>
                </c:pt>
                <c:pt idx="154">
                  <c:v>2.5073107750038623E-12</c:v>
                </c:pt>
                <c:pt idx="155">
                  <c:v>2.5073107750038623E-12</c:v>
                </c:pt>
                <c:pt idx="156">
                  <c:v>2.5073107750038623E-12</c:v>
                </c:pt>
                <c:pt idx="157">
                  <c:v>2.5073107750038623E-12</c:v>
                </c:pt>
                <c:pt idx="158">
                  <c:v>2.5073107750038623E-12</c:v>
                </c:pt>
                <c:pt idx="159">
                  <c:v>2.5073107750038623E-12</c:v>
                </c:pt>
                <c:pt idx="160">
                  <c:v>2.5073107750038623E-12</c:v>
                </c:pt>
                <c:pt idx="161">
                  <c:v>2.5073107750038623E-12</c:v>
                </c:pt>
                <c:pt idx="162">
                  <c:v>2.5073107750038623E-12</c:v>
                </c:pt>
                <c:pt idx="163">
                  <c:v>2.5073107750038623E-12</c:v>
                </c:pt>
                <c:pt idx="164">
                  <c:v>2.5073107750038623E-12</c:v>
                </c:pt>
                <c:pt idx="165">
                  <c:v>2.5073107750038623E-12</c:v>
                </c:pt>
                <c:pt idx="166">
                  <c:v>2.5073107750038623E-12</c:v>
                </c:pt>
                <c:pt idx="167">
                  <c:v>2.5073107750038623E-12</c:v>
                </c:pt>
                <c:pt idx="168">
                  <c:v>2.5073107750038623E-12</c:v>
                </c:pt>
                <c:pt idx="169">
                  <c:v>2.5073107750038623E-12</c:v>
                </c:pt>
                <c:pt idx="170">
                  <c:v>2.5073107750038623E-12</c:v>
                </c:pt>
                <c:pt idx="171">
                  <c:v>2.5073107750038623E-12</c:v>
                </c:pt>
                <c:pt idx="172">
                  <c:v>2.5073107750038623E-12</c:v>
                </c:pt>
                <c:pt idx="173">
                  <c:v>2.5073107750038623E-12</c:v>
                </c:pt>
                <c:pt idx="174">
                  <c:v>2.5073107750038623E-12</c:v>
                </c:pt>
                <c:pt idx="175">
                  <c:v>2.5073107750038623E-12</c:v>
                </c:pt>
                <c:pt idx="176">
                  <c:v>2.5073107750038623E-12</c:v>
                </c:pt>
                <c:pt idx="177">
                  <c:v>2.5073107750038623E-12</c:v>
                </c:pt>
                <c:pt idx="178">
                  <c:v>2.5073107750038623E-12</c:v>
                </c:pt>
                <c:pt idx="179">
                  <c:v>2.5073107750038623E-12</c:v>
                </c:pt>
                <c:pt idx="180">
                  <c:v>2.5073107750038623E-12</c:v>
                </c:pt>
                <c:pt idx="181">
                  <c:v>2.5073107750038623E-12</c:v>
                </c:pt>
                <c:pt idx="182">
                  <c:v>2.5073107750038623E-12</c:v>
                </c:pt>
                <c:pt idx="183">
                  <c:v>2.5073107750038623E-12</c:v>
                </c:pt>
                <c:pt idx="184">
                  <c:v>2.5073107750038623E-12</c:v>
                </c:pt>
                <c:pt idx="185">
                  <c:v>2.5073107750038623E-12</c:v>
                </c:pt>
                <c:pt idx="186">
                  <c:v>2.5073107750038623E-12</c:v>
                </c:pt>
                <c:pt idx="187">
                  <c:v>2.5073107750038623E-12</c:v>
                </c:pt>
                <c:pt idx="188">
                  <c:v>2.5073107750038623E-12</c:v>
                </c:pt>
                <c:pt idx="189">
                  <c:v>2.5073107750038623E-12</c:v>
                </c:pt>
                <c:pt idx="190">
                  <c:v>2.5073107750038623E-12</c:v>
                </c:pt>
                <c:pt idx="191">
                  <c:v>2.5073107750038623E-12</c:v>
                </c:pt>
                <c:pt idx="192">
                  <c:v>2.5073107750038623E-12</c:v>
                </c:pt>
                <c:pt idx="193">
                  <c:v>2.5073107750038623E-12</c:v>
                </c:pt>
                <c:pt idx="194">
                  <c:v>2.5073107750038623E-12</c:v>
                </c:pt>
                <c:pt idx="195">
                  <c:v>2.5073107750038623E-12</c:v>
                </c:pt>
                <c:pt idx="196">
                  <c:v>2.5073107750038623E-12</c:v>
                </c:pt>
                <c:pt idx="197">
                  <c:v>2.5073107750038623E-12</c:v>
                </c:pt>
                <c:pt idx="198">
                  <c:v>2.5073107750038623E-12</c:v>
                </c:pt>
                <c:pt idx="199">
                  <c:v>2.5073107750038623E-12</c:v>
                </c:pt>
                <c:pt idx="200">
                  <c:v>2.5073107750038623E-12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8914128"/>
        <c:axId val="528921744"/>
      </c:scatterChart>
      <c:valAx>
        <c:axId val="5289141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28921744"/>
        <c:crosses val="autoZero"/>
        <c:crossBetween val="midCat"/>
      </c:valAx>
      <c:valAx>
        <c:axId val="528921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289141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2.563317265587385</c:v>
                </c:pt>
                <c:pt idx="2">
                  <c:v>2.9931242698209175</c:v>
                </c:pt>
                <c:pt idx="3">
                  <c:v>3.495262379874847</c:v>
                </c:pt>
                <c:pt idx="4">
                  <c:v>4.0819457908313188</c:v>
                </c:pt>
                <c:pt idx="5">
                  <c:v>4.767457867928365</c:v>
                </c:pt>
                <c:pt idx="6">
                  <c:v>5.5685027236698934</c:v>
                </c:pt>
                <c:pt idx="7">
                  <c:v>6.5046166966546997</c:v>
                </c:pt>
                <c:pt idx="8">
                  <c:v>7.5986499639953875</c:v>
                </c:pt>
                <c:pt idx="9">
                  <c:v>8.8773302709534629</c:v>
                </c:pt>
                <c:pt idx="10">
                  <c:v>10.371922813713566</c:v>
                </c:pt>
                <c:pt idx="11">
                  <c:v>12.119002715718514</c:v>
                </c:pt>
                <c:pt idx="12">
                  <c:v>14.161359355243766</c:v>
                </c:pt>
                <c:pt idx="13">
                  <c:v>16.549055102890339</c:v>
                </c:pt>
                <c:pt idx="14">
                  <c:v>19.34066489563363</c:v>
                </c:pt>
                <c:pt idx="15">
                  <c:v>22.604727606533277</c:v>
                </c:pt>
                <c:pt idx="16">
                  <c:v>26.421445480550759</c:v>
                </c:pt>
                <c:pt idx="17">
                  <c:v>30.884674131214894</c:v>
                </c:pt>
                <c:pt idx="18">
                  <c:v>36.104252887315027</c:v>
                </c:pt>
                <c:pt idx="19">
                  <c:v>42.208733827691781</c:v>
                </c:pt>
                <c:pt idx="20">
                  <c:v>49.348577861626978</c:v>
                </c:pt>
                <c:pt idx="21">
                  <c:v>57.699897955682388</c:v>
                </c:pt>
                <c:pt idx="22">
                  <c:v>67.468843372192154</c:v>
                </c:pt>
                <c:pt idx="23">
                  <c:v>78.896734918347235</c:v>
                </c:pt>
                <c:pt idx="24">
                  <c:v>92.266080116422515</c:v>
                </c:pt>
                <c:pt idx="25">
                  <c:v>107.90761937422224</c:v>
                </c:pt>
                <c:pt idx="26">
                  <c:v>126.20858022201269</c:v>
                </c:pt>
                <c:pt idx="27">
                  <c:v>147.62234714684953</c:v>
                </c:pt>
                <c:pt idx="28">
                  <c:v>148.24496805506811</c:v>
                </c:pt>
                <c:pt idx="29">
                  <c:v>171.24037882872651</c:v>
                </c:pt>
                <c:pt idx="30">
                  <c:v>194.16304064471555</c:v>
                </c:pt>
                <c:pt idx="31">
                  <c:v>196.32800949959145</c:v>
                </c:pt>
                <c:pt idx="32">
                  <c:v>222.57460194352402</c:v>
                </c:pt>
                <c:pt idx="33">
                  <c:v>248.75016451475827</c:v>
                </c:pt>
                <c:pt idx="34">
                  <c:v>274.86322161173609</c:v>
                </c:pt>
                <c:pt idx="35">
                  <c:v>300.92054389894366</c:v>
                </c:pt>
                <c:pt idx="36">
                  <c:v>326.9276331083118</c:v>
                </c:pt>
                <c:pt idx="37">
                  <c:v>244.44339805963327</c:v>
                </c:pt>
                <c:pt idx="38">
                  <c:v>272.40799274231136</c:v>
                </c:pt>
                <c:pt idx="39">
                  <c:v>300.30802702917384</c:v>
                </c:pt>
                <c:pt idx="40">
                  <c:v>328.1503383149593</c:v>
                </c:pt>
                <c:pt idx="41">
                  <c:v>355.94050870298332</c:v>
                </c:pt>
                <c:pt idx="42">
                  <c:v>383.6831775834537</c:v>
                </c:pt>
                <c:pt idx="43">
                  <c:v>304.2888920593129</c:v>
                </c:pt>
                <c:pt idx="44">
                  <c:v>333.04015745702907</c:v>
                </c:pt>
                <c:pt idx="45">
                  <c:v>361.73671774155088</c:v>
                </c:pt>
                <c:pt idx="46">
                  <c:v>390.38351842752627</c:v>
                </c:pt>
                <c:pt idx="47">
                  <c:v>418.98472026564724</c:v>
                </c:pt>
                <c:pt idx="48">
                  <c:v>447.5438699506708</c:v>
                </c:pt>
                <c:pt idx="49">
                  <c:v>360.82166278303589</c:v>
                </c:pt>
                <c:pt idx="50">
                  <c:v>389.16546165993583</c:v>
                </c:pt>
                <c:pt idx="51">
                  <c:v>417.46446772037785</c:v>
                </c:pt>
                <c:pt idx="52">
                  <c:v>445.72214076928805</c:v>
                </c:pt>
                <c:pt idx="53">
                  <c:v>473.94146647365955</c:v>
                </c:pt>
                <c:pt idx="54">
                  <c:v>502.125046274314</c:v>
                </c:pt>
                <c:pt idx="55">
                  <c:v>412.59885500930062</c:v>
                </c:pt>
                <c:pt idx="56">
                  <c:v>439.6485541302448</c:v>
                </c:pt>
                <c:pt idx="57">
                  <c:v>466.66258036748872</c:v>
                </c:pt>
                <c:pt idx="58">
                  <c:v>493.64328668822759</c:v>
                </c:pt>
                <c:pt idx="59">
                  <c:v>520.59274811782768</c:v>
                </c:pt>
                <c:pt idx="60">
                  <c:v>547.51280754879247</c:v>
                </c:pt>
                <c:pt idx="61">
                  <c:v>461.70751193736891</c:v>
                </c:pt>
                <c:pt idx="62">
                  <c:v>486.77483940109096</c:v>
                </c:pt>
                <c:pt idx="63">
                  <c:v>511.81477745903248</c:v>
                </c:pt>
                <c:pt idx="64">
                  <c:v>536.82885307947356</c:v>
                </c:pt>
                <c:pt idx="65">
                  <c:v>561.81843946972958</c:v>
                </c:pt>
                <c:pt idx="66">
                  <c:v>586.78477784679262</c:v>
                </c:pt>
                <c:pt idx="67">
                  <c:v>611.72899531220708</c:v>
                </c:pt>
                <c:pt idx="68">
                  <c:v>636.65211966178947</c:v>
                </c:pt>
                <c:pt idx="69">
                  <c:v>661.55509175751888</c:v>
                </c:pt>
                <c:pt idx="70">
                  <c:v>532.19103450300565</c:v>
                </c:pt>
                <c:pt idx="71">
                  <c:v>554.96881965653654</c:v>
                </c:pt>
                <c:pt idx="72">
                  <c:v>577.72702726054183</c:v>
                </c:pt>
                <c:pt idx="73">
                  <c:v>600.46653622697943</c:v>
                </c:pt>
                <c:pt idx="74">
                  <c:v>623.18815354114236</c:v>
                </c:pt>
                <c:pt idx="75">
                  <c:v>645.89262260822341</c:v>
                </c:pt>
                <c:pt idx="76">
                  <c:v>668.58063036620888</c:v>
                </c:pt>
                <c:pt idx="77">
                  <c:v>691.25281338392233</c:v>
                </c:pt>
                <c:pt idx="78">
                  <c:v>713.90976311819611</c:v>
                </c:pt>
                <c:pt idx="79">
                  <c:v>665.16841660226919</c:v>
                </c:pt>
                <c:pt idx="80">
                  <c:v>686.8399721021666</c:v>
                </c:pt>
                <c:pt idx="81">
                  <c:v>708.49751068429669</c:v>
                </c:pt>
                <c:pt idx="82">
                  <c:v>730.14152063681968</c:v>
                </c:pt>
                <c:pt idx="83">
                  <c:v>751.77245897300372</c:v>
                </c:pt>
                <c:pt idx="84">
                  <c:v>773.39075429462139</c:v>
                </c:pt>
                <c:pt idx="85">
                  <c:v>794.09679639066474</c:v>
                </c:pt>
                <c:pt idx="86">
                  <c:v>814.79193114229065</c:v>
                </c:pt>
                <c:pt idx="87">
                  <c:v>835.47647425032699</c:v>
                </c:pt>
                <c:pt idx="88">
                  <c:v>856.15072452917377</c:v>
                </c:pt>
                <c:pt idx="89">
                  <c:v>876.81496520415214</c:v>
                </c:pt>
                <c:pt idx="90">
                  <c:v>897.46946508035228</c:v>
                </c:pt>
                <c:pt idx="91">
                  <c:v>917.81534306490391</c:v>
                </c:pt>
                <c:pt idx="92">
                  <c:v>938.15224136386041</c:v>
                </c:pt>
                <c:pt idx="93">
                  <c:v>958.48038177822752</c:v>
                </c:pt>
                <c:pt idx="94">
                  <c:v>978.79997594718259</c:v>
                </c:pt>
                <c:pt idx="95">
                  <c:v>999.11122601914394</c:v>
                </c:pt>
                <c:pt idx="96">
                  <c:v>1019.4143252655093</c:v>
                </c:pt>
                <c:pt idx="97">
                  <c:v>1039.7094586430337</c:v>
                </c:pt>
                <c:pt idx="98">
                  <c:v>1059.9968033100852</c:v>
                </c:pt>
                <c:pt idx="99">
                  <c:v>1080.2765291013793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8922288"/>
        <c:axId val="528930992"/>
      </c:scatterChart>
      <c:valAx>
        <c:axId val="52892228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28930992"/>
        <c:crosses val="autoZero"/>
        <c:crossBetween val="midCat"/>
      </c:valAx>
      <c:valAx>
        <c:axId val="528930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289222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3.0295791840646493</c:v>
                </c:pt>
                <c:pt idx="2">
                  <c:v>3.725679628308781</c:v>
                </c:pt>
                <c:pt idx="3">
                  <c:v>4.5823279764895188</c:v>
                </c:pt>
                <c:pt idx="4">
                  <c:v>5.6366846031435918</c:v>
                </c:pt>
                <c:pt idx="5">
                  <c:v>6.9345395434073795</c:v>
                </c:pt>
                <c:pt idx="6">
                  <c:v>8.5323226929264795</c:v>
                </c:pt>
                <c:pt idx="7">
                  <c:v>10.499583588970779</c:v>
                </c:pt>
                <c:pt idx="8">
                  <c:v>12.922050750342303</c:v>
                </c:pt>
                <c:pt idx="9">
                  <c:v>15.905406371467258</c:v>
                </c:pt>
                <c:pt idx="10">
                  <c:v>19.579944057664719</c:v>
                </c:pt>
                <c:pt idx="11">
                  <c:v>24.106316685632123</c:v>
                </c:pt>
                <c:pt idx="12">
                  <c:v>29.682630145368211</c:v>
                </c:pt>
                <c:pt idx="13">
                  <c:v>36.553198854731285</c:v>
                </c:pt>
                <c:pt idx="14">
                  <c:v>45.01935324011523</c:v>
                </c:pt>
                <c:pt idx="15">
                  <c:v>55.452781189967119</c:v>
                </c:pt>
                <c:pt idx="16">
                  <c:v>68.311998946117441</c:v>
                </c:pt>
                <c:pt idx="17">
                  <c:v>84.162687112704418</c:v>
                </c:pt>
                <c:pt idx="18">
                  <c:v>103.70280075437397</c:v>
                </c:pt>
                <c:pt idx="19">
                  <c:v>127.7935767402505</c:v>
                </c:pt>
                <c:pt idx="20">
                  <c:v>157.49782623325171</c:v>
                </c:pt>
                <c:pt idx="21">
                  <c:v>172.61880685670505</c:v>
                </c:pt>
                <c:pt idx="22">
                  <c:v>187.70863707245701</c:v>
                </c:pt>
                <c:pt idx="23">
                  <c:v>202.77017479447795</c:v>
                </c:pt>
                <c:pt idx="24">
                  <c:v>217.80581820310817</c:v>
                </c:pt>
                <c:pt idx="25">
                  <c:v>232.81760702956308</c:v>
                </c:pt>
                <c:pt idx="26">
                  <c:v>181.00569664728371</c:v>
                </c:pt>
                <c:pt idx="27">
                  <c:v>200.26177659150264</c:v>
                </c:pt>
                <c:pt idx="28">
                  <c:v>219.47493841333153</c:v>
                </c:pt>
                <c:pt idx="29">
                  <c:v>238.64946815456821</c:v>
                </c:pt>
                <c:pt idx="30">
                  <c:v>257.78890626510474</c:v>
                </c:pt>
                <c:pt idx="31">
                  <c:v>280.21615005760458</c:v>
                </c:pt>
                <c:pt idx="32">
                  <c:v>302.60315205267642</c:v>
                </c:pt>
                <c:pt idx="33">
                  <c:v>324.95330656071559</c:v>
                </c:pt>
                <c:pt idx="34">
                  <c:v>347.26950287262474</c:v>
                </c:pt>
                <c:pt idx="35">
                  <c:v>369.55422870449644</c:v>
                </c:pt>
                <c:pt idx="36">
                  <c:v>276.89622424264081</c:v>
                </c:pt>
                <c:pt idx="37">
                  <c:v>300.11758429718867</c:v>
                </c:pt>
                <c:pt idx="38">
                  <c:v>323.29893699066071</c:v>
                </c:pt>
                <c:pt idx="39">
                  <c:v>346.44355255688725</c:v>
                </c:pt>
                <c:pt idx="40">
                  <c:v>369.55422870449632</c:v>
                </c:pt>
                <c:pt idx="41">
                  <c:v>393.04523943920964</c:v>
                </c:pt>
                <c:pt idx="42">
                  <c:v>416.50581806048382</c:v>
                </c:pt>
                <c:pt idx="43">
                  <c:v>439.93791831951495</c:v>
                </c:pt>
                <c:pt idx="44">
                  <c:v>463.34326900875232</c:v>
                </c:pt>
                <c:pt idx="45">
                  <c:v>486.72341015001939</c:v>
                </c:pt>
                <c:pt idx="46">
                  <c:v>394.28074727616132</c:v>
                </c:pt>
                <c:pt idx="47">
                  <c:v>416.9171476106103</c:v>
                </c:pt>
                <c:pt idx="48">
                  <c:v>439.52706413119489</c:v>
                </c:pt>
                <c:pt idx="49">
                  <c:v>462.11204968448243</c:v>
                </c:pt>
                <c:pt idx="50">
                  <c:v>484.67349306043207</c:v>
                </c:pt>
                <c:pt idx="51">
                  <c:v>505.5741589882723</c:v>
                </c:pt>
                <c:pt idx="52">
                  <c:v>526.45656094055948</c:v>
                </c:pt>
                <c:pt idx="53">
                  <c:v>547.32152470399308</c:v>
                </c:pt>
                <c:pt idx="54">
                  <c:v>568.16980802286537</c:v>
                </c:pt>
                <c:pt idx="55">
                  <c:v>589.00210854701277</c:v>
                </c:pt>
                <c:pt idx="56">
                  <c:v>493.69176260852379</c:v>
                </c:pt>
                <c:pt idx="57">
                  <c:v>512.94645994076382</c:v>
                </c:pt>
                <c:pt idx="58">
                  <c:v>532.18590126973982</c:v>
                </c:pt>
                <c:pt idx="59">
                  <c:v>551.41071534837477</c:v>
                </c:pt>
                <c:pt idx="60">
                  <c:v>570.62148354470401</c:v>
                </c:pt>
                <c:pt idx="61">
                  <c:v>588.59378151919873</c:v>
                </c:pt>
                <c:pt idx="62">
                  <c:v>606.55465432493395</c:v>
                </c:pt>
                <c:pt idx="63">
                  <c:v>624.504487652433</c:v>
                </c:pt>
                <c:pt idx="64">
                  <c:v>642.44364323070261</c:v>
                </c:pt>
                <c:pt idx="65">
                  <c:v>660.3724609570171</c:v>
                </c:pt>
                <c:pt idx="66">
                  <c:v>562.85708424728386</c:v>
                </c:pt>
                <c:pt idx="67">
                  <c:v>579.60908578354815</c:v>
                </c:pt>
                <c:pt idx="68">
                  <c:v>596.35099138861813</c:v>
                </c:pt>
                <c:pt idx="69">
                  <c:v>613.08312422226595</c:v>
                </c:pt>
                <c:pt idx="70">
                  <c:v>629.80578837901965</c:v>
                </c:pt>
                <c:pt idx="71">
                  <c:v>645.2966381487488</c:v>
                </c:pt>
                <c:pt idx="72">
                  <c:v>660.77981648497882</c:v>
                </c:pt>
                <c:pt idx="73">
                  <c:v>676.25552834120583</c:v>
                </c:pt>
                <c:pt idx="74">
                  <c:v>691.72396853231078</c:v>
                </c:pt>
                <c:pt idx="75">
                  <c:v>707.18532245626284</c:v>
                </c:pt>
                <c:pt idx="76">
                  <c:v>607.77885306593191</c:v>
                </c:pt>
                <c:pt idx="77">
                  <c:v>622.4652781759479</c:v>
                </c:pt>
                <c:pt idx="78">
                  <c:v>637.1445290217099</c:v>
                </c:pt>
                <c:pt idx="79">
                  <c:v>651.81679408188654</c:v>
                </c:pt>
                <c:pt idx="80">
                  <c:v>666.48225266324471</c:v>
                </c:pt>
                <c:pt idx="81">
                  <c:v>679.91975639292957</c:v>
                </c:pt>
                <c:pt idx="82">
                  <c:v>693.35181003961088</c:v>
                </c:pt>
                <c:pt idx="83">
                  <c:v>706.77853400111223</c:v>
                </c:pt>
                <c:pt idx="84">
                  <c:v>720.20004373069298</c:v>
                </c:pt>
                <c:pt idx="85">
                  <c:v>733.61645003038905</c:v>
                </c:pt>
                <c:pt idx="86">
                  <c:v>747.02785932179313</c:v>
                </c:pt>
                <c:pt idx="87">
                  <c:v>760.4343738963945</c:v>
                </c:pt>
                <c:pt idx="88">
                  <c:v>773.83609214735907</c:v>
                </c:pt>
                <c:pt idx="89">
                  <c:v>787.23310878443408</c:v>
                </c:pt>
                <c:pt idx="90">
                  <c:v>800.62551503347186</c:v>
                </c:pt>
                <c:pt idx="91">
                  <c:v>641.83225318617042</c:v>
                </c:pt>
                <c:pt idx="92">
                  <c:v>653.85406638827408</c:v>
                </c:pt>
                <c:pt idx="93">
                  <c:v>665.87132552880155</c:v>
                </c:pt>
                <c:pt idx="94">
                  <c:v>677.88412434483791</c:v>
                </c:pt>
                <c:pt idx="95">
                  <c:v>689.89255298185105</c:v>
                </c:pt>
                <c:pt idx="96">
                  <c:v>701.89669819273695</c:v>
                </c:pt>
                <c:pt idx="97">
                  <c:v>713.89664352255079</c:v>
                </c:pt>
                <c:pt idx="98">
                  <c:v>725.89246948017455</c:v>
                </c:pt>
                <c:pt idx="99">
                  <c:v>737.88425369805907</c:v>
                </c:pt>
                <c:pt idx="100">
                  <c:v>749.87207108104519</c:v>
                </c:pt>
                <c:pt idx="101">
                  <c:v>760.43437389639394</c:v>
                </c:pt>
                <c:pt idx="102">
                  <c:v>770.99369945175965</c:v>
                </c:pt>
                <c:pt idx="103">
                  <c:v>781.55009424926186</c:v>
                </c:pt>
                <c:pt idx="104">
                  <c:v>792.10360343306365</c:v>
                </c:pt>
                <c:pt idx="105">
                  <c:v>802.65427084697183</c:v>
                </c:pt>
                <c:pt idx="106">
                  <c:v>813.2021390888516</c:v>
                </c:pt>
                <c:pt idx="107">
                  <c:v>823.74724956207217</c:v>
                </c:pt>
                <c:pt idx="108">
                  <c:v>834.28964252418791</c:v>
                </c:pt>
                <c:pt idx="109">
                  <c:v>844.82935713302641</c:v>
                </c:pt>
                <c:pt idx="110">
                  <c:v>855.36643149036433</c:v>
                </c:pt>
                <c:pt idx="111">
                  <c:v>649.16814374322746</c:v>
                </c:pt>
                <c:pt idx="112">
                  <c:v>658.33560563795163</c:v>
                </c:pt>
                <c:pt idx="113">
                  <c:v>667.50043896178022</c:v>
                </c:pt>
                <c:pt idx="114">
                  <c:v>676.66268488632613</c:v>
                </c:pt>
                <c:pt idx="115">
                  <c:v>685.82238337756644</c:v>
                </c:pt>
                <c:pt idx="116">
                  <c:v>694.97957324712058</c:v>
                </c:pt>
                <c:pt idx="117">
                  <c:v>704.13429220068656</c:v>
                </c:pt>
                <c:pt idx="118">
                  <c:v>713.28657688382884</c:v>
                </c:pt>
                <c:pt idx="119">
                  <c:v>722.43646292529365</c:v>
                </c:pt>
                <c:pt idx="120">
                  <c:v>731.58398497801829</c:v>
                </c:pt>
                <c:pt idx="121">
                  <c:v>740.11956914072152</c:v>
                </c:pt>
                <c:pt idx="122">
                  <c:v>748.65315008932919</c:v>
                </c:pt>
                <c:pt idx="123">
                  <c:v>757.18475386959517</c:v>
                </c:pt>
                <c:pt idx="124">
                  <c:v>765.71440589266729</c:v>
                </c:pt>
                <c:pt idx="125">
                  <c:v>774.24213095759603</c:v>
                </c:pt>
                <c:pt idx="126">
                  <c:v>782.76795327280058</c:v>
                </c:pt>
                <c:pt idx="127">
                  <c:v>791.29189647655346</c:v>
                </c:pt>
                <c:pt idx="128">
                  <c:v>799.81398365653479</c:v>
                </c:pt>
                <c:pt idx="129">
                  <c:v>808.33423736851239</c:v>
                </c:pt>
                <c:pt idx="130">
                  <c:v>816.85267965419155</c:v>
                </c:pt>
                <c:pt idx="131">
                  <c:v>639.59038670342318</c:v>
                </c:pt>
                <c:pt idx="132">
                  <c:v>647.33433222460849</c:v>
                </c:pt>
                <c:pt idx="133">
                  <c:v>655.07636694999781</c:v>
                </c:pt>
                <c:pt idx="134">
                  <c:v>662.81651664582557</c:v>
                </c:pt>
                <c:pt idx="135">
                  <c:v>670.55480642750706</c:v>
                </c:pt>
                <c:pt idx="136">
                  <c:v>678.29126078355807</c:v>
                </c:pt>
                <c:pt idx="137">
                  <c:v>686.02590359836915</c:v>
                </c:pt>
                <c:pt idx="138">
                  <c:v>693.7587581738976</c:v>
                </c:pt>
                <c:pt idx="139">
                  <c:v>701.48984725034506</c:v>
                </c:pt>
                <c:pt idx="140">
                  <c:v>709.21919302587401</c:v>
                </c:pt>
                <c:pt idx="141">
                  <c:v>716.33680368243961</c:v>
                </c:pt>
                <c:pt idx="142">
                  <c:v>723.45297038005356</c:v>
                </c:pt>
                <c:pt idx="143">
                  <c:v>730.5677093227813</c:v>
                </c:pt>
                <c:pt idx="144">
                  <c:v>737.68103637339038</c:v>
                </c:pt>
                <c:pt idx="145">
                  <c:v>744.79296706383138</c:v>
                </c:pt>
                <c:pt idx="146">
                  <c:v>751.90351660529711</c:v>
                </c:pt>
                <c:pt idx="147">
                  <c:v>759.01269989788318</c:v>
                </c:pt>
                <c:pt idx="148">
                  <c:v>766.12053153986801</c:v>
                </c:pt>
                <c:pt idx="149">
                  <c:v>773.22702583662794</c:v>
                </c:pt>
                <c:pt idx="150">
                  <c:v>780.33219680921172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8941872"/>
        <c:axId val="528932624"/>
      </c:scatterChart>
      <c:valAx>
        <c:axId val="5289418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28932624"/>
        <c:crosses val="autoZero"/>
        <c:crossBetween val="midCat"/>
      </c:valAx>
      <c:valAx>
        <c:axId val="528932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289418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2.4233379605482943</c:v>
                </c:pt>
                <c:pt idx="2">
                  <c:v>3.3911899510511758</c:v>
                </c:pt>
                <c:pt idx="3">
                  <c:v>4.7472570973955088</c:v>
                </c:pt>
                <c:pt idx="4">
                  <c:v>6.6478847603431106</c:v>
                </c:pt>
                <c:pt idx="5">
                  <c:v>9.3126189320690731</c:v>
                </c:pt>
                <c:pt idx="6">
                  <c:v>13.049842479543365</c:v>
                </c:pt>
                <c:pt idx="7">
                  <c:v>18.292843135377566</c:v>
                </c:pt>
                <c:pt idx="8">
                  <c:v>25.650570254048265</c:v>
                </c:pt>
                <c:pt idx="9">
                  <c:v>35.979079079598641</c:v>
                </c:pt>
                <c:pt idx="10">
                  <c:v>50.482117279404498</c:v>
                </c:pt>
                <c:pt idx="11">
                  <c:v>64.095146966739819</c:v>
                </c:pt>
                <c:pt idx="12">
                  <c:v>77.632991838946381</c:v>
                </c:pt>
                <c:pt idx="13">
                  <c:v>91.110686124684605</c:v>
                </c:pt>
                <c:pt idx="14">
                  <c:v>104.53841309330278</c:v>
                </c:pt>
                <c:pt idx="15">
                  <c:v>117.92351039680756</c:v>
                </c:pt>
                <c:pt idx="16">
                  <c:v>132.58566846707615</c:v>
                </c:pt>
                <c:pt idx="17">
                  <c:v>147.20868319853497</c:v>
                </c:pt>
                <c:pt idx="18">
                  <c:v>161.79699433043689</c:v>
                </c:pt>
                <c:pt idx="19">
                  <c:v>176.35417385644337</c:v>
                </c:pt>
                <c:pt idx="20">
                  <c:v>190.88315490424284</c:v>
                </c:pt>
                <c:pt idx="21">
                  <c:v>148.1448304530447</c:v>
                </c:pt>
                <c:pt idx="22">
                  <c:v>162.35744096511164</c:v>
                </c:pt>
                <c:pt idx="23">
                  <c:v>176.54061559438961</c:v>
                </c:pt>
                <c:pt idx="24">
                  <c:v>190.69705365420279</c:v>
                </c:pt>
                <c:pt idx="25">
                  <c:v>204.82902043085244</c:v>
                </c:pt>
                <c:pt idx="26">
                  <c:v>218.19637580534933</c:v>
                </c:pt>
                <c:pt idx="27">
                  <c:v>231.54491400588816</c:v>
                </c:pt>
                <c:pt idx="28">
                  <c:v>244.87587306175826</c:v>
                </c:pt>
                <c:pt idx="29">
                  <c:v>258.19034511136186</c:v>
                </c:pt>
                <c:pt idx="30">
                  <c:v>271.48930039264548</c:v>
                </c:pt>
                <c:pt idx="31">
                  <c:v>227.65345831954789</c:v>
                </c:pt>
                <c:pt idx="32">
                  <c:v>240.24898910471029</c:v>
                </c:pt>
                <c:pt idx="33">
                  <c:v>252.82948997931717</c:v>
                </c:pt>
                <c:pt idx="34">
                  <c:v>265.3958144897008</c:v>
                </c:pt>
                <c:pt idx="35">
                  <c:v>277.94872870657542</c:v>
                </c:pt>
                <c:pt idx="36">
                  <c:v>289.38293116514234</c:v>
                </c:pt>
                <c:pt idx="37">
                  <c:v>300.80703762598421</c:v>
                </c:pt>
                <c:pt idx="38">
                  <c:v>312.22148572483741</c:v>
                </c:pt>
                <c:pt idx="39">
                  <c:v>323.62667847115443</c:v>
                </c:pt>
                <c:pt idx="40">
                  <c:v>335.02298813768738</c:v>
                </c:pt>
                <c:pt idx="41">
                  <c:v>288.82989941789356</c:v>
                </c:pt>
                <c:pt idx="42">
                  <c:v>299.70190776572849</c:v>
                </c:pt>
                <c:pt idx="43">
                  <c:v>310.56513314671798</c:v>
                </c:pt>
                <c:pt idx="44">
                  <c:v>321.41992623463284</c:v>
                </c:pt>
                <c:pt idx="45">
                  <c:v>332.26661207234366</c:v>
                </c:pt>
                <c:pt idx="46">
                  <c:v>342.37089418257489</c:v>
                </c:pt>
                <c:pt idx="47">
                  <c:v>352.46862226287652</c:v>
                </c:pt>
                <c:pt idx="48">
                  <c:v>362.56001063918217</c:v>
                </c:pt>
                <c:pt idx="49">
                  <c:v>372.64526072714688</c:v>
                </c:pt>
                <c:pt idx="50">
                  <c:v>382.72456214571116</c:v>
                </c:pt>
                <c:pt idx="51">
                  <c:v>339.98320906401625</c:v>
                </c:pt>
                <c:pt idx="52">
                  <c:v>349.53176450400855</c:v>
                </c:pt>
                <c:pt idx="53">
                  <c:v>359.07459859126061</c:v>
                </c:pt>
                <c:pt idx="54">
                  <c:v>368.61188489876866</c:v>
                </c:pt>
                <c:pt idx="55">
                  <c:v>378.14378727996063</c:v>
                </c:pt>
                <c:pt idx="56">
                  <c:v>386.93782188026211</c:v>
                </c:pt>
                <c:pt idx="57">
                  <c:v>395.7275166731165</c:v>
                </c:pt>
                <c:pt idx="58">
                  <c:v>404.51298169693899</c:v>
                </c:pt>
                <c:pt idx="59">
                  <c:v>413.29432181793192</c:v>
                </c:pt>
                <c:pt idx="60">
                  <c:v>422.07163708031607</c:v>
                </c:pt>
                <c:pt idx="61">
                  <c:v>379.97624131213121</c:v>
                </c:pt>
                <c:pt idx="62">
                  <c:v>388.21991999001648</c:v>
                </c:pt>
                <c:pt idx="63">
                  <c:v>396.4597988325782</c:v>
                </c:pt>
                <c:pt idx="64">
                  <c:v>404.69596800009577</c:v>
                </c:pt>
                <c:pt idx="65">
                  <c:v>412.92851368148507</c:v>
                </c:pt>
                <c:pt idx="66">
                  <c:v>420.42619259356735</c:v>
                </c:pt>
                <c:pt idx="67">
                  <c:v>427.92099191345005</c:v>
                </c:pt>
                <c:pt idx="68">
                  <c:v>435.41296921989988</c:v>
                </c:pt>
                <c:pt idx="69">
                  <c:v>442.90217994739669</c:v>
                </c:pt>
                <c:pt idx="70">
                  <c:v>450.38867750169061</c:v>
                </c:pt>
                <c:pt idx="71">
                  <c:v>412.92851368148513</c:v>
                </c:pt>
                <c:pt idx="72">
                  <c:v>420.24335687514667</c:v>
                </c:pt>
                <c:pt idx="73">
                  <c:v>427.55545787700925</c:v>
                </c:pt>
                <c:pt idx="74">
                  <c:v>434.8648702289716</c:v>
                </c:pt>
                <c:pt idx="75">
                  <c:v>442.17164552507165</c:v>
                </c:pt>
                <c:pt idx="76">
                  <c:v>448.92810808361315</c:v>
                </c:pt>
                <c:pt idx="77">
                  <c:v>455.68239493388319</c:v>
                </c:pt>
                <c:pt idx="78">
                  <c:v>462.4345428939136</c:v>
                </c:pt>
                <c:pt idx="79">
                  <c:v>469.18458761820074</c:v>
                </c:pt>
                <c:pt idx="80">
                  <c:v>475.9325636510539</c:v>
                </c:pt>
                <c:pt idx="81">
                  <c:v>441.25844110945678</c:v>
                </c:pt>
                <c:pt idx="82">
                  <c:v>447.65002642287277</c:v>
                </c:pt>
                <c:pt idx="83">
                  <c:v>454.03965853817658</c:v>
                </c:pt>
                <c:pt idx="84">
                  <c:v>460.42736883834408</c:v>
                </c:pt>
                <c:pt idx="85">
                  <c:v>466.81318776396671</c:v>
                </c:pt>
                <c:pt idx="86">
                  <c:v>473.01477165455441</c:v>
                </c:pt>
                <c:pt idx="87">
                  <c:v>479.214624883559</c:v>
                </c:pt>
                <c:pt idx="88">
                  <c:v>485.4127730136849</c:v>
                </c:pt>
                <c:pt idx="89">
                  <c:v>491.60924090118425</c:v>
                </c:pt>
                <c:pt idx="90">
                  <c:v>497.8040527242361</c:v>
                </c:pt>
                <c:pt idx="91">
                  <c:v>464.44153106100708</c:v>
                </c:pt>
                <c:pt idx="92">
                  <c:v>470.27899364015747</c:v>
                </c:pt>
                <c:pt idx="93">
                  <c:v>476.11491298718494</c:v>
                </c:pt>
                <c:pt idx="94">
                  <c:v>481.94931069924172</c:v>
                </c:pt>
                <c:pt idx="95">
                  <c:v>487.78220780757994</c:v>
                </c:pt>
                <c:pt idx="96">
                  <c:v>493.43141522263085</c:v>
                </c:pt>
                <c:pt idx="97">
                  <c:v>499.07925174186192</c:v>
                </c:pt>
                <c:pt idx="98">
                  <c:v>504.72573507714452</c:v>
                </c:pt>
                <c:pt idx="99">
                  <c:v>510.37088251149186</c:v>
                </c:pt>
                <c:pt idx="100">
                  <c:v>516.01471091417579</c:v>
                </c:pt>
                <c:pt idx="101">
                  <c:v>485.68618184612097</c:v>
                </c:pt>
                <c:pt idx="102">
                  <c:v>490.88033109552151</c:v>
                </c:pt>
                <c:pt idx="103">
                  <c:v>496.07331476727899</c:v>
                </c:pt>
                <c:pt idx="104">
                  <c:v>501.26514679259532</c:v>
                </c:pt>
                <c:pt idx="105">
                  <c:v>506.4558407903549</c:v>
                </c:pt>
                <c:pt idx="106">
                  <c:v>511.64541007732623</c:v>
                </c:pt>
                <c:pt idx="107">
                  <c:v>516.83386767792888</c:v>
                </c:pt>
                <c:pt idx="108">
                  <c:v>522.02122633358715</c:v>
                </c:pt>
                <c:pt idx="109">
                  <c:v>527.20749851169228</c:v>
                </c:pt>
                <c:pt idx="110">
                  <c:v>532.39269641419344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8926640"/>
        <c:axId val="528933168"/>
      </c:scatterChart>
      <c:valAx>
        <c:axId val="5289266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28933168"/>
        <c:crosses val="autoZero"/>
        <c:crossBetween val="midCat"/>
      </c:valAx>
      <c:valAx>
        <c:axId val="52893316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289266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0" t="s">
        <v>291</v>
      </c>
      <c r="C12" s="290"/>
      <c r="D12" s="290"/>
      <c r="E12" s="290"/>
      <c r="F12" s="290"/>
      <c r="G12" s="290"/>
      <c r="H12" s="290"/>
      <c r="I12" s="290"/>
      <c r="J12" s="290"/>
      <c r="K12" s="290"/>
      <c r="L12" s="290"/>
      <c r="M12" s="290"/>
    </row>
    <row r="13" spans="2:13" ht="15" customHeight="1" x14ac:dyDescent="0.25">
      <c r="B13" s="290"/>
      <c r="C13" s="290"/>
      <c r="D13" s="290"/>
      <c r="E13" s="290"/>
      <c r="F13" s="290"/>
      <c r="G13" s="290"/>
      <c r="H13" s="290"/>
      <c r="I13" s="290"/>
      <c r="J13" s="290"/>
      <c r="K13" s="290"/>
      <c r="L13" s="290"/>
      <c r="M13" s="290"/>
    </row>
    <row r="14" spans="2:13" ht="15" customHeight="1" x14ac:dyDescent="0.25">
      <c r="B14" s="290"/>
      <c r="C14" s="290"/>
      <c r="D14" s="290"/>
      <c r="E14" s="290"/>
      <c r="F14" s="290"/>
      <c r="G14" s="290"/>
      <c r="H14" s="290"/>
      <c r="I14" s="290"/>
      <c r="J14" s="290"/>
      <c r="K14" s="290"/>
      <c r="L14" s="290"/>
      <c r="M14" s="290"/>
    </row>
    <row r="15" spans="2:13" ht="18.75" customHeight="1" x14ac:dyDescent="0.25">
      <c r="B15" s="290"/>
      <c r="C15" s="290"/>
      <c r="D15" s="290"/>
      <c r="E15" s="290"/>
      <c r="F15" s="290"/>
      <c r="G15" s="290"/>
      <c r="H15" s="290"/>
      <c r="I15" s="290"/>
      <c r="J15" s="290"/>
      <c r="K15" s="290"/>
      <c r="L15" s="290"/>
      <c r="M15" s="290"/>
    </row>
    <row r="16" spans="2:13" ht="18.75" customHeight="1" x14ac:dyDescent="0.25">
      <c r="B16" s="290"/>
      <c r="C16" s="290"/>
      <c r="D16" s="290"/>
      <c r="E16" s="290"/>
      <c r="F16" s="290"/>
      <c r="G16" s="290"/>
      <c r="H16" s="290"/>
      <c r="I16" s="290"/>
      <c r="J16" s="290"/>
      <c r="K16" s="290"/>
      <c r="L16" s="290"/>
      <c r="M16" s="290"/>
    </row>
    <row r="18" spans="2:13" ht="12" customHeight="1" x14ac:dyDescent="0.25">
      <c r="B18" s="290" t="s">
        <v>292</v>
      </c>
      <c r="C18" s="290"/>
      <c r="D18" s="290"/>
      <c r="E18" s="290"/>
      <c r="F18" s="290"/>
      <c r="G18" s="290"/>
      <c r="H18" s="290"/>
      <c r="I18" s="290"/>
      <c r="J18" s="290"/>
      <c r="K18" s="290"/>
      <c r="L18" s="290"/>
      <c r="M18" s="290"/>
    </row>
    <row r="19" spans="2:13" ht="12" customHeight="1" x14ac:dyDescent="0.25">
      <c r="B19" s="290"/>
      <c r="C19" s="290"/>
      <c r="D19" s="290"/>
      <c r="E19" s="290"/>
      <c r="F19" s="290"/>
      <c r="G19" s="290"/>
      <c r="H19" s="290"/>
      <c r="I19" s="290"/>
      <c r="J19" s="290"/>
      <c r="K19" s="290"/>
      <c r="L19" s="290"/>
      <c r="M19" s="290"/>
    </row>
    <row r="20" spans="2:13" ht="12" customHeight="1" x14ac:dyDescent="0.25">
      <c r="B20" s="290"/>
      <c r="C20" s="290"/>
      <c r="D20" s="290"/>
      <c r="E20" s="290"/>
      <c r="F20" s="290"/>
      <c r="G20" s="290"/>
      <c r="H20" s="290"/>
      <c r="I20" s="290"/>
      <c r="J20" s="290"/>
      <c r="K20" s="290"/>
      <c r="L20" s="290"/>
      <c r="M20" s="290"/>
    </row>
    <row r="21" spans="2:13" ht="12" customHeight="1" x14ac:dyDescent="0.25">
      <c r="B21" s="290"/>
      <c r="C21" s="290"/>
      <c r="D21" s="290"/>
      <c r="E21" s="290"/>
      <c r="F21" s="290"/>
      <c r="G21" s="290"/>
      <c r="H21" s="290"/>
      <c r="I21" s="290"/>
      <c r="J21" s="290"/>
      <c r="K21" s="290"/>
      <c r="L21" s="290"/>
      <c r="M21" s="290"/>
    </row>
    <row r="22" spans="2:13" ht="12" customHeight="1" x14ac:dyDescent="0.25">
      <c r="B22" s="290"/>
      <c r="C22" s="290"/>
      <c r="D22" s="290"/>
      <c r="E22" s="290"/>
      <c r="F22" s="290"/>
      <c r="G22" s="290"/>
      <c r="H22" s="290"/>
      <c r="I22" s="290"/>
      <c r="J22" s="290"/>
      <c r="K22" s="290"/>
      <c r="L22" s="290"/>
      <c r="M22" s="290"/>
    </row>
    <row r="23" spans="2:13" ht="12" customHeight="1" x14ac:dyDescent="0.25">
      <c r="B23" s="290"/>
      <c r="C23" s="290"/>
      <c r="D23" s="290"/>
      <c r="E23" s="290"/>
      <c r="F23" s="290"/>
      <c r="G23" s="290"/>
      <c r="H23" s="290"/>
      <c r="I23" s="290"/>
      <c r="J23" s="290"/>
      <c r="K23" s="290"/>
      <c r="L23" s="290"/>
      <c r="M23" s="290"/>
    </row>
    <row r="24" spans="2:13" ht="12" customHeight="1" x14ac:dyDescent="0.25">
      <c r="B24" s="290"/>
      <c r="C24" s="290"/>
      <c r="D24" s="290"/>
      <c r="E24" s="290"/>
      <c r="F24" s="290"/>
      <c r="G24" s="290"/>
      <c r="H24" s="290"/>
      <c r="I24" s="290"/>
      <c r="J24" s="290"/>
      <c r="K24" s="290"/>
      <c r="L24" s="290"/>
      <c r="M24" s="290"/>
    </row>
    <row r="25" spans="2:13" ht="12" customHeight="1" x14ac:dyDescent="0.25">
      <c r="B25" s="290"/>
      <c r="C25" s="290"/>
      <c r="D25" s="290"/>
      <c r="E25" s="290"/>
      <c r="F25" s="290"/>
      <c r="G25" s="290"/>
      <c r="H25" s="290"/>
      <c r="I25" s="290"/>
      <c r="J25" s="290"/>
      <c r="K25" s="290"/>
      <c r="L25" s="290"/>
      <c r="M25" s="290"/>
    </row>
    <row r="26" spans="2:13" ht="12" customHeight="1" x14ac:dyDescent="0.25">
      <c r="B26" s="290"/>
      <c r="C26" s="290"/>
      <c r="D26" s="290"/>
      <c r="E26" s="290"/>
      <c r="F26" s="290"/>
      <c r="G26" s="290"/>
      <c r="H26" s="290"/>
      <c r="I26" s="290"/>
      <c r="J26" s="290"/>
      <c r="K26" s="290"/>
      <c r="L26" s="290"/>
      <c r="M26" s="290"/>
    </row>
    <row r="27" spans="2:13" ht="12" customHeight="1" x14ac:dyDescent="0.25">
      <c r="B27" s="290"/>
      <c r="C27" s="290"/>
      <c r="D27" s="290"/>
      <c r="E27" s="290"/>
      <c r="F27" s="290"/>
      <c r="G27" s="290"/>
      <c r="H27" s="290"/>
      <c r="I27" s="290"/>
      <c r="J27" s="290"/>
      <c r="K27" s="290"/>
      <c r="L27" s="290"/>
      <c r="M27" s="290"/>
    </row>
    <row r="28" spans="2:13" ht="12" customHeight="1" x14ac:dyDescent="0.25">
      <c r="B28" s="290"/>
      <c r="C28" s="290"/>
      <c r="D28" s="290"/>
      <c r="E28" s="290"/>
      <c r="F28" s="290"/>
      <c r="G28" s="290"/>
      <c r="H28" s="290"/>
      <c r="I28" s="290"/>
      <c r="J28" s="290"/>
      <c r="K28" s="290"/>
      <c r="L28" s="290"/>
      <c r="M28" s="290"/>
    </row>
    <row r="29" spans="2:13" ht="12" customHeight="1" x14ac:dyDescent="0.25">
      <c r="B29" s="290"/>
      <c r="C29" s="290"/>
      <c r="D29" s="290"/>
      <c r="E29" s="290"/>
      <c r="F29" s="290"/>
      <c r="G29" s="290"/>
      <c r="H29" s="290"/>
      <c r="I29" s="290"/>
      <c r="J29" s="290"/>
      <c r="K29" s="290"/>
      <c r="L29" s="290"/>
      <c r="M29" s="290"/>
    </row>
    <row r="30" spans="2:13" ht="12" customHeight="1" x14ac:dyDescent="0.25">
      <c r="B30" s="290"/>
      <c r="C30" s="290"/>
      <c r="D30" s="290"/>
      <c r="E30" s="290"/>
      <c r="F30" s="290"/>
      <c r="G30" s="290"/>
      <c r="H30" s="290"/>
      <c r="I30" s="290"/>
      <c r="J30" s="290"/>
      <c r="K30" s="290"/>
      <c r="L30" s="290"/>
      <c r="M30" s="290"/>
    </row>
    <row r="31" spans="2:13" ht="12" customHeight="1" x14ac:dyDescent="0.25">
      <c r="B31" s="290"/>
      <c r="C31" s="290"/>
      <c r="D31" s="290"/>
      <c r="E31" s="290"/>
      <c r="F31" s="290"/>
      <c r="G31" s="290"/>
      <c r="H31" s="290"/>
      <c r="I31" s="290"/>
      <c r="J31" s="290"/>
      <c r="K31" s="290"/>
      <c r="L31" s="290"/>
      <c r="M31" s="290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13" zoomScale="85" zoomScaleNormal="85" workbookViewId="0">
      <selection activeCell="E12" sqref="E12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5" t="s">
        <v>190</v>
      </c>
      <c r="D1" s="295"/>
      <c r="E1" s="29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6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6" t="s">
        <v>192</v>
      </c>
      <c r="C3" s="297"/>
      <c r="D3" s="297"/>
      <c r="E3" s="297"/>
      <c r="F3" s="298"/>
      <c r="G3" s="93"/>
      <c r="I3" s="226" t="s">
        <v>304</v>
      </c>
      <c r="J3" s="94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5"/>
      <c r="B4" s="95"/>
      <c r="C4" s="95"/>
      <c r="D4" s="95"/>
      <c r="E4" s="95"/>
      <c r="F4" s="95"/>
      <c r="G4" s="236"/>
      <c r="I4" s="226" t="s">
        <v>305</v>
      </c>
      <c r="J4" s="94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2" t="s">
        <v>231</v>
      </c>
      <c r="B5" s="302"/>
      <c r="C5" s="26">
        <v>5.69</v>
      </c>
      <c r="D5" s="303" t="s">
        <v>229</v>
      </c>
      <c r="E5" s="304"/>
      <c r="F5" s="95"/>
      <c r="G5" s="236"/>
      <c r="H5" s="237"/>
      <c r="I5" s="237"/>
      <c r="J5" s="24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6"/>
      <c r="B6" s="96"/>
      <c r="C6" s="97"/>
      <c r="D6" s="90"/>
      <c r="E6" s="90"/>
      <c r="F6" s="29"/>
      <c r="G6" s="238"/>
      <c r="H6" s="239"/>
      <c r="I6" s="239"/>
      <c r="J6" s="246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</row>
    <row r="7" spans="1:38" ht="26.25" x14ac:dyDescent="0.25">
      <c r="A7" s="300" t="s">
        <v>226</v>
      </c>
      <c r="B7" s="300"/>
      <c r="C7" s="95"/>
      <c r="D7" s="95"/>
      <c r="E7" s="5"/>
      <c r="F7" s="95"/>
      <c r="G7" s="236"/>
      <c r="H7" s="237"/>
      <c r="I7" s="237"/>
      <c r="J7" s="24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1"/>
      <c r="J8" s="24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14</v>
      </c>
      <c r="C9" s="35">
        <v>0.31990000000000002</v>
      </c>
      <c r="D9" s="36">
        <f t="shared" ref="D9:D18" si="0">C9*$C$5</f>
        <v>1.8202310000000002</v>
      </c>
      <c r="E9" s="37">
        <v>150</v>
      </c>
      <c r="F9" s="38" t="str">
        <f t="array" ref="F9">IF(E9="","",IF(INDEX(A:A,MAX(IF(ISNUMBER($A$36:$A$55),ROW($A$36:$A$55),"")))&lt;&gt;E9,"Corrigez : révolution incorrecte","OK"))</f>
        <v>OK</v>
      </c>
      <c r="G9" s="256" t="s">
        <v>306</v>
      </c>
      <c r="I9" s="252"/>
      <c r="J9" s="24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22</v>
      </c>
      <c r="C10" s="35">
        <v>0.1847</v>
      </c>
      <c r="D10" s="36">
        <f t="shared" si="0"/>
        <v>1.0509430000000002</v>
      </c>
      <c r="E10" s="37">
        <v>80</v>
      </c>
      <c r="F10" s="38" t="str">
        <f t="array" ref="F10">IF(E10="","",IF(INDEX(A:A,MAX(IF(ISNUMBER($A$62:$A$81),ROW($A$62:$A$81),"")))&lt;&gt;E10,"Corrigez : révolution incorrecte","OK"))</f>
        <v>OK</v>
      </c>
      <c r="I10" s="252"/>
      <c r="J10" s="24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21</v>
      </c>
      <c r="C11" s="35">
        <v>2.4400000000000002E-2</v>
      </c>
      <c r="D11" s="36">
        <f t="shared" si="0"/>
        <v>0.13883600000000001</v>
      </c>
      <c r="E11" s="37">
        <v>80</v>
      </c>
      <c r="F11" s="38" t="str">
        <f t="array" ref="F11">IF(E11="","",IF(INDEX(A:A,MAX(IF(ISNUMBER($A$88:$A$107),ROW($A$88:$A$107),"")))&lt;&gt;E11,"Corrigez : révolution incorrecte","OK"))</f>
        <v>OK</v>
      </c>
      <c r="H11" s="229"/>
      <c r="I11" s="252"/>
      <c r="J11" s="24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6</v>
      </c>
      <c r="C12" s="35">
        <v>0.1</v>
      </c>
      <c r="D12" s="36">
        <f t="shared" si="0"/>
        <v>0.56900000000000006</v>
      </c>
      <c r="E12" s="37">
        <v>120</v>
      </c>
      <c r="F12" s="38" t="str">
        <f t="array" ref="F12">IF(E12="","",IF(INDEX(A:A,MAX(IF(ISNUMBER($A$114:$A$133),ROW($A$114:$A$133),"")))&lt;&gt;E12,"Corrigez : révolution incorrecte","OK"))</f>
        <v>OK</v>
      </c>
      <c r="H12" s="229"/>
      <c r="I12" s="252"/>
      <c r="J12" s="24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8</v>
      </c>
      <c r="C13" s="35">
        <v>7.6700000000000004E-2</v>
      </c>
      <c r="D13" s="36">
        <f t="shared" si="0"/>
        <v>0.43642300000000006</v>
      </c>
      <c r="E13" s="37">
        <v>80</v>
      </c>
      <c r="F13" s="38" t="str">
        <f t="array" ref="F13">IF(E13="","",IF(INDEX(A:A,MAX(IF(ISNUMBER($A$140:$A$159),ROW($A$140:$A$159),"")))&lt;&gt;E13,"Corrigez : révolution incorrecte","OK"))</f>
        <v>OK</v>
      </c>
      <c r="H13" s="229"/>
      <c r="I13" s="252"/>
      <c r="J13" s="24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 t="s">
        <v>29</v>
      </c>
      <c r="C14" s="35">
        <v>6.1499999999999999E-2</v>
      </c>
      <c r="D14" s="36">
        <f t="shared" si="0"/>
        <v>0.349935</v>
      </c>
      <c r="E14" s="37">
        <v>69</v>
      </c>
      <c r="F14" s="38" t="str">
        <f t="array" ref="F14">IF(E14="","",IF(INDEX(A:A,MAX(IF(ISNUMBER($A$166:$A$185),ROW($A$166:$A$185),"")))&lt;&gt;E14,"Corrigez : révolution incorrecte","OK"))</f>
        <v>OK</v>
      </c>
      <c r="H14" s="229"/>
      <c r="I14" s="252"/>
      <c r="J14" s="24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 t="s">
        <v>25</v>
      </c>
      <c r="C15" s="35">
        <v>7.2499999999999995E-2</v>
      </c>
      <c r="D15" s="36">
        <f t="shared" si="0"/>
        <v>0.41252499999999998</v>
      </c>
      <c r="E15" s="37">
        <v>99</v>
      </c>
      <c r="F15" s="38" t="str">
        <f t="array" ref="F15">IF(E15="","",IF(INDEX(A:A,MAX(IF(ISNUMBER($A$192:$A$211),ROW($A$192:$A$211),"")))&lt;&gt;E15,"Corrigez : révolution incorrecte","OK"))</f>
        <v>OK</v>
      </c>
      <c r="H15" s="229"/>
      <c r="I15" s="252"/>
      <c r="J15" s="24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 t="s">
        <v>1</v>
      </c>
      <c r="C16" s="35">
        <v>0.05</v>
      </c>
      <c r="D16" s="36">
        <f t="shared" si="0"/>
        <v>0.28450000000000003</v>
      </c>
      <c r="E16" s="37">
        <v>150</v>
      </c>
      <c r="F16" s="38" t="str">
        <f t="array" ref="F16">IF(E16="","",IF(INDEX(A:A,MAX(IF(ISNUMBER($A$218:$A$237),ROW($A$218:$A$237),"")))&lt;&gt;E16,"Corrigez : révolution incorrecte","OK"))</f>
        <v>OK</v>
      </c>
      <c r="H16" s="229"/>
      <c r="I16" s="252"/>
      <c r="J16" s="24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 t="s">
        <v>50</v>
      </c>
      <c r="C17" s="35">
        <v>0.05</v>
      </c>
      <c r="D17" s="36">
        <f t="shared" si="0"/>
        <v>0.28450000000000003</v>
      </c>
      <c r="E17" s="37">
        <v>110</v>
      </c>
      <c r="F17" s="38" t="str">
        <f t="array" ref="F17">IF(E17="","",IF(INDEX(A:A,MAX(IF(ISNUMBER($A$244:$A$263),ROW($A$244:$A$263),"")))&lt;&gt;E17,"Corrigez : révolution incorrecte","OK"))</f>
        <v>OK</v>
      </c>
      <c r="H17" s="229"/>
      <c r="I17" s="252"/>
      <c r="J17" s="24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 t="s">
        <v>5</v>
      </c>
      <c r="C18" s="35">
        <v>3.9800000000000002E-2</v>
      </c>
      <c r="D18" s="36">
        <f t="shared" si="0"/>
        <v>0.22646200000000002</v>
      </c>
      <c r="E18" s="37">
        <v>60</v>
      </c>
      <c r="F18" s="38" t="str">
        <f t="array" ref="F18">IF(E18="","",IF(INDEX(A:A,MAX(IF(ISNUMBER($A$270:$A$289),ROW($A$270:$A$289),"")))&lt;&gt;E18,"Corrigez : révolution incorrecte","OK"))</f>
        <v>OK</v>
      </c>
      <c r="H18" s="229"/>
      <c r="I18" s="252"/>
      <c r="J18" s="24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98"/>
      <c r="B19" s="39" t="s">
        <v>175</v>
      </c>
      <c r="C19" s="40">
        <f>SUM(C9:C18)</f>
        <v>0.97950000000000004</v>
      </c>
      <c r="D19" s="41">
        <f>SUM(D9:D18)</f>
        <v>5.5733550000000012</v>
      </c>
      <c r="E19" s="5"/>
      <c r="F19" s="99"/>
      <c r="G19" s="240"/>
      <c r="H19" s="241"/>
      <c r="I19" s="240"/>
      <c r="J19" s="24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98"/>
      <c r="B20" s="42" t="s">
        <v>230</v>
      </c>
      <c r="C20" s="43" t="str">
        <f>IF(C19&gt;100%,"Erreur : corrigez","OK")</f>
        <v>OK</v>
      </c>
      <c r="D20" s="247"/>
      <c r="F20" s="239"/>
      <c r="G20" s="239"/>
      <c r="H20" s="241"/>
      <c r="I20" s="240"/>
      <c r="J20" s="24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2"/>
      <c r="I21" s="253"/>
      <c r="J21" s="24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299" t="s">
        <v>232</v>
      </c>
      <c r="B22" s="299"/>
      <c r="C22" s="97"/>
      <c r="H22" s="228"/>
      <c r="I22" s="246"/>
      <c r="J22" s="246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</row>
    <row r="23" spans="1:45" x14ac:dyDescent="0.25">
      <c r="A23" s="5"/>
      <c r="B23" s="5"/>
      <c r="C23" s="5"/>
      <c r="H23" s="219"/>
      <c r="I23" s="245"/>
      <c r="J23" s="24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0"/>
      <c r="F24" s="100"/>
      <c r="G24" s="243"/>
      <c r="H24" s="229"/>
      <c r="I24" s="243"/>
      <c r="J24" s="244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1"/>
      <c r="E25" s="5"/>
      <c r="F25" s="101"/>
      <c r="G25" s="244"/>
      <c r="H25" s="229"/>
      <c r="I25" s="244"/>
      <c r="J25" s="244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0"/>
      <c r="F26" s="100"/>
      <c r="G26" s="243"/>
      <c r="I26" s="243"/>
      <c r="J26" s="243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0"/>
      <c r="F27" s="100"/>
      <c r="G27" s="243"/>
      <c r="I27" s="243"/>
      <c r="J27" s="243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5"/>
      <c r="I28" s="245"/>
      <c r="J28" s="24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5"/>
      <c r="I29" s="245"/>
      <c r="J29" s="24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1" t="s">
        <v>227</v>
      </c>
      <c r="B30" s="301"/>
      <c r="D30" s="248"/>
      <c r="H30" s="246"/>
      <c r="I30" s="246"/>
      <c r="J30" s="246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</row>
    <row r="31" spans="1:45" x14ac:dyDescent="0.25">
      <c r="A31" s="5"/>
      <c r="B31" s="5"/>
      <c r="H31" s="245"/>
      <c r="I31" s="245"/>
      <c r="J31" s="245"/>
      <c r="K31" s="248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sessile</v>
      </c>
      <c r="D32" s="257" t="s">
        <v>307</v>
      </c>
      <c r="K32" s="248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48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89" t="s">
        <v>185</v>
      </c>
      <c r="C34" s="291" t="s">
        <v>186</v>
      </c>
      <c r="D34" s="291"/>
      <c r="E34" s="292" t="s">
        <v>187</v>
      </c>
      <c r="F34" s="293"/>
      <c r="G34" s="293"/>
      <c r="H34" s="294"/>
      <c r="I34" s="102"/>
      <c r="J34" s="249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0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1">
        <f>67+6</f>
        <v>73</v>
      </c>
      <c r="C36" s="61"/>
      <c r="D36" s="61"/>
      <c r="E36" s="54"/>
      <c r="F36" s="54"/>
      <c r="G36" s="54"/>
      <c r="H36" s="54"/>
      <c r="I36" s="52">
        <f>IFERROR(B36/A36,"")</f>
        <v>3.65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25</v>
      </c>
      <c r="B37" s="61">
        <f>75+6+28</f>
        <v>109</v>
      </c>
      <c r="C37" s="61">
        <v>1</v>
      </c>
      <c r="D37" s="61">
        <f>6+28</f>
        <v>34</v>
      </c>
      <c r="E37" s="54"/>
      <c r="F37" s="54"/>
      <c r="G37" s="54"/>
      <c r="H37" s="54">
        <v>1</v>
      </c>
      <c r="I37" s="56">
        <f t="shared" ref="I37:I55" si="1">IF(A37&lt;&gt;0,(B37-(B36-D36))/(A37-A36),"")</f>
        <v>7.2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30</v>
      </c>
      <c r="B38" s="61">
        <f>93+28</f>
        <v>121</v>
      </c>
      <c r="C38" s="61"/>
      <c r="D38" s="61"/>
      <c r="E38" s="54"/>
      <c r="F38" s="54"/>
      <c r="G38" s="54"/>
      <c r="H38" s="54"/>
      <c r="I38" s="56">
        <f t="shared" si="1"/>
        <v>9.1999999999999993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35</v>
      </c>
      <c r="B39" s="61">
        <f>119+28+28</f>
        <v>175</v>
      </c>
      <c r="C39" s="61">
        <v>2</v>
      </c>
      <c r="D39" s="61">
        <f>28+28</f>
        <v>56</v>
      </c>
      <c r="E39" s="54"/>
      <c r="F39" s="54"/>
      <c r="G39" s="54"/>
      <c r="H39" s="54"/>
      <c r="I39" s="52">
        <f t="shared" si="1"/>
        <v>10.8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40</v>
      </c>
      <c r="B40" s="61">
        <f>147+28</f>
        <v>175</v>
      </c>
      <c r="C40" s="61"/>
      <c r="D40" s="61"/>
      <c r="E40" s="54"/>
      <c r="F40" s="54"/>
      <c r="G40" s="54"/>
      <c r="H40" s="54"/>
      <c r="I40" s="52">
        <f t="shared" si="1"/>
        <v>11.2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45</v>
      </c>
      <c r="B41" s="61">
        <f>176+28+28</f>
        <v>232</v>
      </c>
      <c r="C41" s="61">
        <v>3</v>
      </c>
      <c r="D41" s="61">
        <f>28+28</f>
        <v>56</v>
      </c>
      <c r="E41" s="54"/>
      <c r="F41" s="54"/>
      <c r="G41" s="54"/>
      <c r="H41" s="54"/>
      <c r="I41" s="56">
        <f t="shared" si="1"/>
        <v>11.4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50</v>
      </c>
      <c r="B42" s="61">
        <f>203+28</f>
        <v>231</v>
      </c>
      <c r="C42" s="61"/>
      <c r="D42" s="61"/>
      <c r="E42" s="54"/>
      <c r="F42" s="54"/>
      <c r="G42" s="54"/>
      <c r="H42" s="54"/>
      <c r="I42" s="56">
        <f t="shared" si="1"/>
        <v>11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1">
        <v>55</v>
      </c>
      <c r="B43" s="61">
        <f>226+28+28</f>
        <v>282</v>
      </c>
      <c r="C43" s="61">
        <v>4</v>
      </c>
      <c r="D43" s="61">
        <f>28+28</f>
        <v>56</v>
      </c>
      <c r="E43" s="54"/>
      <c r="F43" s="54"/>
      <c r="G43" s="54"/>
      <c r="H43" s="54"/>
      <c r="I43" s="52">
        <f t="shared" si="1"/>
        <v>10.199999999999999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1">
        <v>60</v>
      </c>
      <c r="B44" s="61">
        <f>245+28</f>
        <v>273</v>
      </c>
      <c r="C44" s="61"/>
      <c r="D44" s="61"/>
      <c r="E44" s="54"/>
      <c r="F44" s="54"/>
      <c r="G44" s="54"/>
      <c r="H44" s="54"/>
      <c r="I44" s="52">
        <f t="shared" si="1"/>
        <v>9.4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1">
        <v>65</v>
      </c>
      <c r="B45" s="61">
        <f>261+28+28</f>
        <v>317</v>
      </c>
      <c r="C45" s="61">
        <v>5</v>
      </c>
      <c r="D45" s="61">
        <f>28+28</f>
        <v>56</v>
      </c>
      <c r="E45" s="54"/>
      <c r="F45" s="54"/>
      <c r="G45" s="54"/>
      <c r="H45" s="54"/>
      <c r="I45" s="52">
        <f t="shared" si="1"/>
        <v>8.8000000000000007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1">
        <v>70</v>
      </c>
      <c r="B46" s="61">
        <f>274+28</f>
        <v>302</v>
      </c>
      <c r="C46" s="61"/>
      <c r="D46" s="61"/>
      <c r="E46" s="54"/>
      <c r="F46" s="54"/>
      <c r="G46" s="54"/>
      <c r="H46" s="54"/>
      <c r="I46" s="52">
        <f t="shared" si="1"/>
        <v>8.1999999999999993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1">
        <v>75</v>
      </c>
      <c r="B47" s="61">
        <f>284+28+28</f>
        <v>340</v>
      </c>
      <c r="C47" s="61">
        <v>6</v>
      </c>
      <c r="D47" s="61">
        <f>28+28</f>
        <v>56</v>
      </c>
      <c r="E47" s="54"/>
      <c r="F47" s="54"/>
      <c r="G47" s="54"/>
      <c r="H47" s="54"/>
      <c r="I47" s="52">
        <f t="shared" si="1"/>
        <v>7.6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1">
        <v>80</v>
      </c>
      <c r="B48" s="61">
        <f>292+28</f>
        <v>320</v>
      </c>
      <c r="C48" s="61"/>
      <c r="D48" s="61"/>
      <c r="E48" s="54"/>
      <c r="F48" s="54"/>
      <c r="G48" s="54"/>
      <c r="H48" s="54"/>
      <c r="I48" s="52">
        <f t="shared" si="1"/>
        <v>7.2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1">
        <v>90</v>
      </c>
      <c r="B49" s="61">
        <f>302+28+28+28</f>
        <v>386</v>
      </c>
      <c r="C49" s="61">
        <v>7</v>
      </c>
      <c r="D49" s="61">
        <f>28+28+28</f>
        <v>84</v>
      </c>
      <c r="E49" s="54"/>
      <c r="F49" s="54"/>
      <c r="G49" s="54"/>
      <c r="H49" s="54"/>
      <c r="I49" s="52">
        <f t="shared" si="1"/>
        <v>6.6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1">
        <v>100</v>
      </c>
      <c r="B50" s="53">
        <v>361</v>
      </c>
      <c r="C50" s="53"/>
      <c r="D50" s="53"/>
      <c r="E50" s="54"/>
      <c r="F50" s="54"/>
      <c r="G50" s="54"/>
      <c r="H50" s="54"/>
      <c r="I50" s="52">
        <f t="shared" si="1"/>
        <v>5.9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1">
        <v>110</v>
      </c>
      <c r="B51" s="53">
        <v>413</v>
      </c>
      <c r="C51" s="53">
        <v>8</v>
      </c>
      <c r="D51" s="53">
        <v>106</v>
      </c>
      <c r="E51" s="54"/>
      <c r="F51" s="54"/>
      <c r="G51" s="54"/>
      <c r="H51" s="54"/>
      <c r="I51" s="52">
        <f t="shared" si="1"/>
        <v>5.2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1">
        <v>120</v>
      </c>
      <c r="B52" s="53">
        <v>352</v>
      </c>
      <c r="C52" s="53"/>
      <c r="D52" s="53"/>
      <c r="E52" s="54"/>
      <c r="F52" s="54"/>
      <c r="G52" s="54"/>
      <c r="H52" s="54"/>
      <c r="I52" s="52">
        <f t="shared" si="1"/>
        <v>4.5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1">
        <v>130</v>
      </c>
      <c r="B53" s="53">
        <v>394</v>
      </c>
      <c r="C53" s="53">
        <v>9</v>
      </c>
      <c r="D53" s="53">
        <v>91</v>
      </c>
      <c r="E53" s="54"/>
      <c r="F53" s="54"/>
      <c r="G53" s="54"/>
      <c r="H53" s="54"/>
      <c r="I53" s="52">
        <f t="shared" si="1"/>
        <v>4.2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1">
        <v>140</v>
      </c>
      <c r="B54" s="53">
        <v>341</v>
      </c>
      <c r="C54" s="53"/>
      <c r="D54" s="53"/>
      <c r="E54" s="54"/>
      <c r="F54" s="54"/>
      <c r="G54" s="54"/>
      <c r="H54" s="54"/>
      <c r="I54" s="52">
        <f t="shared" si="1"/>
        <v>3.8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1">
        <v>150</v>
      </c>
      <c r="B55" s="53">
        <v>376</v>
      </c>
      <c r="C55" s="53">
        <v>10</v>
      </c>
      <c r="D55" s="53">
        <v>376</v>
      </c>
      <c r="E55" s="54"/>
      <c r="F55" s="54"/>
      <c r="G55" s="54"/>
      <c r="H55" s="54"/>
      <c r="I55" s="52">
        <f t="shared" si="1"/>
        <v>3.5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Erable plane</v>
      </c>
      <c r="D58" s="257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3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89" t="s">
        <v>185</v>
      </c>
      <c r="C60" s="291" t="s">
        <v>186</v>
      </c>
      <c r="D60" s="291"/>
      <c r="E60" s="292" t="s">
        <v>187</v>
      </c>
      <c r="F60" s="293"/>
      <c r="G60" s="293"/>
      <c r="H60" s="294"/>
      <c r="I60" s="102"/>
      <c r="J60" s="249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0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10</v>
      </c>
      <c r="B62" s="61">
        <f>11.1</f>
        <v>11.1</v>
      </c>
      <c r="C62" s="61"/>
      <c r="D62" s="61"/>
      <c r="E62" s="54"/>
      <c r="F62" s="54"/>
      <c r="G62" s="54"/>
      <c r="H62" s="91"/>
      <c r="I62" s="56">
        <f>IFERROR(B62/A62,"")</f>
        <v>1.1099999999999999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15</v>
      </c>
      <c r="B63" s="61">
        <f>33+31.5</f>
        <v>64.5</v>
      </c>
      <c r="C63" s="61"/>
      <c r="D63" s="61"/>
      <c r="E63" s="54"/>
      <c r="F63" s="54"/>
      <c r="G63" s="54"/>
      <c r="H63" s="91"/>
      <c r="I63" s="52">
        <f>IF(A63&lt;&gt;0,(B63-(B62-D62))/(A63-A62),"")</f>
        <v>10.68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20</v>
      </c>
      <c r="B64" s="61">
        <f>66.8+31.5+35</f>
        <v>133.30000000000001</v>
      </c>
      <c r="C64" s="61">
        <v>1</v>
      </c>
      <c r="D64" s="61">
        <f>31.5+35</f>
        <v>66.5</v>
      </c>
      <c r="E64" s="91"/>
      <c r="F64" s="91"/>
      <c r="G64" s="91"/>
      <c r="H64" s="91">
        <v>1</v>
      </c>
      <c r="I64" s="52">
        <f>IF(A64&lt;&gt;0,(B64-(B63-D63))/(A64-A63),"")</f>
        <v>13.760000000000002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25</v>
      </c>
      <c r="B65" s="61">
        <f>105.5+35</f>
        <v>140.5</v>
      </c>
      <c r="C65" s="61"/>
      <c r="D65" s="61"/>
      <c r="E65" s="91"/>
      <c r="F65" s="91"/>
      <c r="G65" s="91"/>
      <c r="H65" s="91"/>
      <c r="I65" s="52">
        <f>IF(A65&lt;&gt;0,(B65-(B64-D64))/(A65-A64),"")</f>
        <v>14.739999999999998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30</v>
      </c>
      <c r="B66" s="61">
        <f>141.8+35+35</f>
        <v>211.8</v>
      </c>
      <c r="C66" s="61">
        <v>2</v>
      </c>
      <c r="D66" s="61">
        <f>35+35</f>
        <v>70</v>
      </c>
      <c r="E66" s="91"/>
      <c r="F66" s="91"/>
      <c r="G66" s="91"/>
      <c r="H66" s="91">
        <v>1</v>
      </c>
      <c r="I66" s="52">
        <f t="shared" ref="I66:I81" si="2">IF(A66&lt;&gt;0,(B66-(B65-D65))/(A66-A65),"")</f>
        <v>14.260000000000002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35</v>
      </c>
      <c r="B67" s="61">
        <f>171.4+35</f>
        <v>206.4</v>
      </c>
      <c r="C67" s="61"/>
      <c r="D67" s="61"/>
      <c r="E67" s="91"/>
      <c r="F67" s="91"/>
      <c r="G67" s="91"/>
      <c r="H67" s="91"/>
      <c r="I67" s="52">
        <f t="shared" si="2"/>
        <v>12.919999999999998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40</v>
      </c>
      <c r="B68" s="61">
        <f>193.1+35+35</f>
        <v>263.10000000000002</v>
      </c>
      <c r="C68" s="61">
        <v>3</v>
      </c>
      <c r="D68" s="61">
        <f>35+35</f>
        <v>70</v>
      </c>
      <c r="E68" s="91"/>
      <c r="F68" s="91"/>
      <c r="G68" s="91"/>
      <c r="H68" s="91"/>
      <c r="I68" s="52">
        <f t="shared" si="2"/>
        <v>11.340000000000003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61">
        <v>45</v>
      </c>
      <c r="B69" s="61">
        <f>218+24.2</f>
        <v>242.2</v>
      </c>
      <c r="C69" s="61"/>
      <c r="D69" s="61"/>
      <c r="E69" s="91"/>
      <c r="F69" s="91"/>
      <c r="G69" s="91"/>
      <c r="H69" s="91"/>
      <c r="I69" s="52">
        <f t="shared" si="2"/>
        <v>9.8199999999999932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61">
        <v>50</v>
      </c>
      <c r="B70" s="61">
        <f>241.8+24.2+18.9</f>
        <v>284.89999999999998</v>
      </c>
      <c r="C70" s="61">
        <v>4</v>
      </c>
      <c r="D70" s="61">
        <f>24.2+18.9</f>
        <v>43.099999999999994</v>
      </c>
      <c r="E70" s="91"/>
      <c r="F70" s="91"/>
      <c r="G70" s="91"/>
      <c r="H70" s="91"/>
      <c r="I70" s="52">
        <f t="shared" si="2"/>
        <v>8.5399999999999974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61">
        <v>55</v>
      </c>
      <c r="B71" s="61">
        <f>262.6+16</f>
        <v>278.60000000000002</v>
      </c>
      <c r="C71" s="61"/>
      <c r="D71" s="61"/>
      <c r="E71" s="91"/>
      <c r="F71" s="91"/>
      <c r="G71" s="91"/>
      <c r="H71" s="91"/>
      <c r="I71" s="52">
        <f t="shared" si="2"/>
        <v>7.3600000000000083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61">
        <v>60</v>
      </c>
      <c r="B72" s="61">
        <f>279.8+16+14.2</f>
        <v>310</v>
      </c>
      <c r="C72" s="61">
        <v>5</v>
      </c>
      <c r="D72" s="61">
        <f>16+14.2</f>
        <v>30.2</v>
      </c>
      <c r="E72" s="91"/>
      <c r="F72" s="91"/>
      <c r="G72" s="91"/>
      <c r="H72" s="91"/>
      <c r="I72" s="52">
        <f t="shared" si="2"/>
        <v>6.2799999999999958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61">
        <v>65</v>
      </c>
      <c r="B73" s="61">
        <f>292.6+13.4</f>
        <v>306</v>
      </c>
      <c r="C73" s="61"/>
      <c r="D73" s="61"/>
      <c r="E73" s="91"/>
      <c r="F73" s="91"/>
      <c r="G73" s="91"/>
      <c r="H73" s="91"/>
      <c r="I73" s="52">
        <f t="shared" si="2"/>
        <v>5.2399999999999975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61">
        <v>70</v>
      </c>
      <c r="B74" s="61">
        <f>302.6+13.4+12.5</f>
        <v>328.5</v>
      </c>
      <c r="C74" s="61">
        <v>6</v>
      </c>
      <c r="D74" s="61">
        <f>13.4+12.5</f>
        <v>25.9</v>
      </c>
      <c r="E74" s="66"/>
      <c r="F74" s="66"/>
      <c r="G74" s="66"/>
      <c r="H74" s="66"/>
      <c r="I74" s="52">
        <f t="shared" si="2"/>
        <v>4.5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61">
        <v>75</v>
      </c>
      <c r="B75" s="61">
        <f>311.9+11.6</f>
        <v>323.5</v>
      </c>
      <c r="C75" s="61"/>
      <c r="D75" s="61"/>
      <c r="E75" s="66"/>
      <c r="F75" s="66"/>
      <c r="G75" s="66"/>
      <c r="H75" s="66"/>
      <c r="I75" s="52">
        <f t="shared" si="2"/>
        <v>4.1799999999999953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61">
        <v>80</v>
      </c>
      <c r="B76" s="53">
        <v>341.3</v>
      </c>
      <c r="C76" s="61">
        <v>7</v>
      </c>
      <c r="D76" s="53">
        <v>341.3</v>
      </c>
      <c r="E76" s="57"/>
      <c r="F76" s="57"/>
      <c r="G76" s="57"/>
      <c r="H76" s="57"/>
      <c r="I76" s="52">
        <f t="shared" si="2"/>
        <v>3.5600000000000023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Erable champêtre</v>
      </c>
      <c r="D84" s="257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3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89" t="s">
        <v>185</v>
      </c>
      <c r="C86" s="291" t="s">
        <v>186</v>
      </c>
      <c r="D86" s="291"/>
      <c r="E86" s="292" t="s">
        <v>187</v>
      </c>
      <c r="F86" s="293"/>
      <c r="G86" s="293"/>
      <c r="H86" s="294"/>
      <c r="I86" s="102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15</v>
      </c>
      <c r="B88" s="61">
        <f>22.3+15.1</f>
        <v>37.4</v>
      </c>
      <c r="C88" s="61"/>
      <c r="D88" s="61"/>
      <c r="E88" s="54"/>
      <c r="F88" s="54"/>
      <c r="G88" s="54"/>
      <c r="H88" s="54"/>
      <c r="I88" s="56">
        <f>IFERROR(B88/A88,"")</f>
        <v>2.4933333333333332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20</v>
      </c>
      <c r="B89" s="61">
        <f>52+15.1+28</f>
        <v>95.1</v>
      </c>
      <c r="C89" s="61">
        <v>1</v>
      </c>
      <c r="D89" s="61">
        <f>15.1+28</f>
        <v>43.1</v>
      </c>
      <c r="E89" s="54"/>
      <c r="F89" s="54"/>
      <c r="G89" s="54"/>
      <c r="H89" s="54">
        <v>1</v>
      </c>
      <c r="I89" s="56">
        <f t="shared" ref="I89:I107" si="3">IF(A89&lt;&gt;0,(B89-(B88-D88))/(A89-A88),"")</f>
        <v>11.54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25</v>
      </c>
      <c r="B90" s="61">
        <f>86.5+28</f>
        <v>114.5</v>
      </c>
      <c r="C90" s="61"/>
      <c r="D90" s="61"/>
      <c r="E90" s="54"/>
      <c r="F90" s="54"/>
      <c r="G90" s="54"/>
      <c r="H90" s="54"/>
      <c r="I90" s="56">
        <f t="shared" si="3"/>
        <v>12.500000000000002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30</v>
      </c>
      <c r="B91" s="61">
        <f>118.5+28+28</f>
        <v>174.5</v>
      </c>
      <c r="C91" s="61">
        <v>2</v>
      </c>
      <c r="D91" s="61">
        <f>28+28</f>
        <v>56</v>
      </c>
      <c r="E91" s="54"/>
      <c r="F91" s="54"/>
      <c r="G91" s="54"/>
      <c r="H91" s="54">
        <v>1</v>
      </c>
      <c r="I91" s="56">
        <f t="shared" si="3"/>
        <v>12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35</v>
      </c>
      <c r="B92" s="61">
        <f>144.4+28</f>
        <v>172.4</v>
      </c>
      <c r="C92" s="61"/>
      <c r="D92" s="61"/>
      <c r="E92" s="54"/>
      <c r="F92" s="54"/>
      <c r="G92" s="54"/>
      <c r="H92" s="54"/>
      <c r="I92" s="56">
        <f t="shared" si="3"/>
        <v>10.780000000000001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40</v>
      </c>
      <c r="B93" s="61">
        <f>163.6+28+28</f>
        <v>219.6</v>
      </c>
      <c r="C93" s="61">
        <v>3</v>
      </c>
      <c r="D93" s="61">
        <f>28+28</f>
        <v>56</v>
      </c>
      <c r="E93" s="54"/>
      <c r="F93" s="54"/>
      <c r="G93" s="54"/>
      <c r="H93" s="54"/>
      <c r="I93" s="56">
        <f t="shared" si="3"/>
        <v>9.4399999999999977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61">
        <v>45</v>
      </c>
      <c r="B94" s="61">
        <f>182.8+21.8</f>
        <v>204.60000000000002</v>
      </c>
      <c r="C94" s="61"/>
      <c r="D94" s="61"/>
      <c r="E94" s="54"/>
      <c r="F94" s="54"/>
      <c r="G94" s="54"/>
      <c r="H94" s="54"/>
      <c r="I94" s="56">
        <f t="shared" si="3"/>
        <v>8.2000000000000064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1">
        <v>50</v>
      </c>
      <c r="B95" s="61">
        <f>201.9+21.8+16.5</f>
        <v>240.20000000000002</v>
      </c>
      <c r="C95" s="61">
        <v>4</v>
      </c>
      <c r="D95" s="61">
        <f>21.8+16.5</f>
        <v>38.299999999999997</v>
      </c>
      <c r="E95" s="54"/>
      <c r="F95" s="54"/>
      <c r="G95" s="54"/>
      <c r="H95" s="54"/>
      <c r="I95" s="56">
        <f t="shared" si="3"/>
        <v>7.1199999999999992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1">
        <v>55</v>
      </c>
      <c r="B96" s="61">
        <f>219.1+13.4</f>
        <v>232.5</v>
      </c>
      <c r="C96" s="61"/>
      <c r="D96" s="61"/>
      <c r="E96" s="54"/>
      <c r="F96" s="54"/>
      <c r="G96" s="54"/>
      <c r="H96" s="54"/>
      <c r="I96" s="56">
        <f t="shared" si="3"/>
        <v>6.119999999999993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1">
        <v>60</v>
      </c>
      <c r="B97" s="61">
        <f>233.1+13.4+11.8</f>
        <v>258.3</v>
      </c>
      <c r="C97" s="61">
        <v>5</v>
      </c>
      <c r="D97" s="61">
        <f>13.4+11.8</f>
        <v>25.200000000000003</v>
      </c>
      <c r="E97" s="54"/>
      <c r="F97" s="54"/>
      <c r="G97" s="54"/>
      <c r="H97" s="54"/>
      <c r="I97" s="56">
        <f t="shared" si="3"/>
        <v>5.1600000000000019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1">
        <v>65</v>
      </c>
      <c r="B98" s="61">
        <f>243.9+10.9</f>
        <v>254.8</v>
      </c>
      <c r="C98" s="61"/>
      <c r="D98" s="61"/>
      <c r="E98" s="54"/>
      <c r="F98" s="54"/>
      <c r="G98" s="54"/>
      <c r="H98" s="54"/>
      <c r="I98" s="56">
        <f t="shared" si="3"/>
        <v>4.3399999999999981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1">
        <v>70</v>
      </c>
      <c r="B99" s="61">
        <f>252.7+10.9+10</f>
        <v>273.59999999999997</v>
      </c>
      <c r="C99" s="61">
        <v>6</v>
      </c>
      <c r="D99" s="61">
        <f>10.9+10</f>
        <v>20.9</v>
      </c>
      <c r="E99" s="54"/>
      <c r="F99" s="54"/>
      <c r="G99" s="54"/>
      <c r="H99" s="54"/>
      <c r="I99" s="56">
        <f t="shared" si="3"/>
        <v>3.7599999999999909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1">
        <v>75</v>
      </c>
      <c r="B100" s="61">
        <f>260.6+9.1</f>
        <v>269.70000000000005</v>
      </c>
      <c r="C100" s="61"/>
      <c r="D100" s="61"/>
      <c r="E100" s="54"/>
      <c r="F100" s="54"/>
      <c r="G100" s="54"/>
      <c r="H100" s="54"/>
      <c r="I100" s="56">
        <f t="shared" si="3"/>
        <v>3.4000000000000172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1">
        <v>80</v>
      </c>
      <c r="B101" s="61">
        <f>267.3+9.1+8.2</f>
        <v>284.60000000000002</v>
      </c>
      <c r="C101" s="61">
        <v>7</v>
      </c>
      <c r="D101" s="61">
        <f>B101</f>
        <v>284.60000000000002</v>
      </c>
      <c r="E101" s="54"/>
      <c r="F101" s="54"/>
      <c r="G101" s="54"/>
      <c r="H101" s="54"/>
      <c r="I101" s="56">
        <f t="shared" si="3"/>
        <v>2.9799999999999955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281"/>
      <c r="B102" s="53"/>
      <c r="C102" s="53"/>
      <c r="D102" s="53"/>
      <c r="E102" s="54"/>
      <c r="F102" s="54"/>
      <c r="G102" s="54"/>
      <c r="H102" s="54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281"/>
      <c r="B103" s="53"/>
      <c r="C103" s="53"/>
      <c r="D103" s="53"/>
      <c r="E103" s="54"/>
      <c r="F103" s="54"/>
      <c r="G103" s="54"/>
      <c r="H103" s="54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281"/>
      <c r="B104" s="53"/>
      <c r="C104" s="53"/>
      <c r="D104" s="53"/>
      <c r="E104" s="54"/>
      <c r="F104" s="54"/>
      <c r="G104" s="54"/>
      <c r="H104" s="54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281"/>
      <c r="B105" s="53"/>
      <c r="C105" s="53"/>
      <c r="D105" s="53"/>
      <c r="E105" s="54"/>
      <c r="F105" s="54"/>
      <c r="G105" s="54"/>
      <c r="H105" s="54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281"/>
      <c r="B106" s="53"/>
      <c r="C106" s="53"/>
      <c r="D106" s="53"/>
      <c r="E106" s="54"/>
      <c r="F106" s="54"/>
      <c r="G106" s="54"/>
      <c r="H106" s="54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281"/>
      <c r="B107" s="53"/>
      <c r="C107" s="53"/>
      <c r="D107" s="53"/>
      <c r="E107" s="54"/>
      <c r="F107" s="54"/>
      <c r="G107" s="54"/>
      <c r="H107" s="54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Charme</v>
      </c>
      <c r="D110" s="257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3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89" t="s">
        <v>185</v>
      </c>
      <c r="C112" s="291" t="s">
        <v>186</v>
      </c>
      <c r="D112" s="291"/>
      <c r="E112" s="292" t="s">
        <v>187</v>
      </c>
      <c r="F112" s="293"/>
      <c r="G112" s="293"/>
      <c r="H112" s="294"/>
      <c r="I112" s="102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15</v>
      </c>
      <c r="B114" s="61">
        <f>74/1.56</f>
        <v>47.435897435897431</v>
      </c>
      <c r="C114" s="61"/>
      <c r="D114" s="61"/>
      <c r="E114" s="54"/>
      <c r="F114" s="54"/>
      <c r="G114" s="54"/>
      <c r="H114" s="54"/>
      <c r="I114" s="56">
        <f>IFERROR(B114/A114,"")</f>
        <v>3.1623931623931623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20</v>
      </c>
      <c r="B115" s="61">
        <f>(118+14)/1.56</f>
        <v>84.615384615384613</v>
      </c>
      <c r="C115" s="61"/>
      <c r="D115" s="61"/>
      <c r="E115" s="54"/>
      <c r="F115" s="54"/>
      <c r="G115" s="54"/>
      <c r="H115" s="54"/>
      <c r="I115" s="56">
        <f t="shared" ref="I115:I133" si="4">IF(A115&lt;&gt;0,(B115-(B114-D114))/(A115-A114),"")</f>
        <v>7.4358974358974361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25</v>
      </c>
      <c r="B116" s="61">
        <f>(158+14+19)/1.56</f>
        <v>122.43589743589743</v>
      </c>
      <c r="C116" s="61">
        <v>1</v>
      </c>
      <c r="D116" s="61">
        <f>(14+19+23)/1.56</f>
        <v>35.897435897435898</v>
      </c>
      <c r="E116" s="54"/>
      <c r="F116" s="54"/>
      <c r="G116" s="54"/>
      <c r="H116" s="54">
        <v>1</v>
      </c>
      <c r="I116" s="56">
        <f t="shared" si="4"/>
        <v>7.5641025641025639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30</v>
      </c>
      <c r="B117" s="61">
        <f>193/1.56</f>
        <v>123.71794871794872</v>
      </c>
      <c r="C117" s="61"/>
      <c r="D117" s="61"/>
      <c r="E117" s="54"/>
      <c r="F117" s="54"/>
      <c r="G117" s="54"/>
      <c r="H117" s="54"/>
      <c r="I117" s="56">
        <f t="shared" si="4"/>
        <v>7.4358974358974361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35</v>
      </c>
      <c r="B118" s="61">
        <f>(224+25)/1.56</f>
        <v>159.61538461538461</v>
      </c>
      <c r="C118" s="61">
        <v>2</v>
      </c>
      <c r="D118" s="61">
        <f>(25+27)/1.56</f>
        <v>33.333333333333336</v>
      </c>
      <c r="E118" s="54"/>
      <c r="F118" s="54"/>
      <c r="G118" s="54"/>
      <c r="H118" s="54"/>
      <c r="I118" s="56">
        <f t="shared" si="4"/>
        <v>7.1794871794871797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40</v>
      </c>
      <c r="B119" s="61">
        <f>250/1.56</f>
        <v>160.25641025641025</v>
      </c>
      <c r="C119" s="61"/>
      <c r="D119" s="61"/>
      <c r="E119" s="54"/>
      <c r="F119" s="54"/>
      <c r="G119" s="54"/>
      <c r="H119" s="54"/>
      <c r="I119" s="56">
        <f t="shared" si="4"/>
        <v>6.7948717948717956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53">
        <v>45</v>
      </c>
      <c r="B120" s="61">
        <f>(272+27)/1.56</f>
        <v>191.66666666666666</v>
      </c>
      <c r="C120" s="61">
        <v>3</v>
      </c>
      <c r="D120" s="61">
        <f>(27+27)/1.56</f>
        <v>34.615384615384613</v>
      </c>
      <c r="E120" s="54"/>
      <c r="F120" s="54"/>
      <c r="G120" s="54"/>
      <c r="H120" s="54"/>
      <c r="I120" s="56">
        <f t="shared" si="4"/>
        <v>6.2820512820512819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53">
        <v>50</v>
      </c>
      <c r="B121" s="53">
        <v>187.17948717948718</v>
      </c>
      <c r="C121" s="53"/>
      <c r="D121" s="53"/>
      <c r="E121" s="54"/>
      <c r="F121" s="54"/>
      <c r="G121" s="54"/>
      <c r="H121" s="54"/>
      <c r="I121" s="56">
        <f t="shared" si="4"/>
        <v>6.0256410256410273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53">
        <v>55</v>
      </c>
      <c r="B122" s="53">
        <v>215.38461538461539</v>
      </c>
      <c r="C122" s="53">
        <v>4</v>
      </c>
      <c r="D122" s="53">
        <v>34.615384615384613</v>
      </c>
      <c r="E122" s="54"/>
      <c r="F122" s="54"/>
      <c r="G122" s="54"/>
      <c r="H122" s="54"/>
      <c r="I122" s="56">
        <f t="shared" si="4"/>
        <v>5.6410256410256405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53">
        <v>60</v>
      </c>
      <c r="B123" s="53">
        <v>207.69230769230768</v>
      </c>
      <c r="C123" s="53"/>
      <c r="D123" s="53"/>
      <c r="E123" s="54"/>
      <c r="F123" s="54"/>
      <c r="G123" s="54"/>
      <c r="H123" s="54"/>
      <c r="I123" s="56">
        <f t="shared" si="4"/>
        <v>5.3846153846153815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53">
        <v>65</v>
      </c>
      <c r="B124" s="53">
        <v>232.69230769230768</v>
      </c>
      <c r="C124" s="53">
        <v>5</v>
      </c>
      <c r="D124" s="53">
        <v>32.692307692307693</v>
      </c>
      <c r="E124" s="54"/>
      <c r="F124" s="54"/>
      <c r="G124" s="54"/>
      <c r="H124" s="54"/>
      <c r="I124" s="56">
        <f t="shared" si="4"/>
        <v>5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53">
        <v>70</v>
      </c>
      <c r="B125" s="53">
        <v>223.7179487179487</v>
      </c>
      <c r="C125" s="53"/>
      <c r="D125" s="53"/>
      <c r="E125" s="54"/>
      <c r="F125" s="54"/>
      <c r="G125" s="54"/>
      <c r="H125" s="54"/>
      <c r="I125" s="56">
        <f t="shared" si="4"/>
        <v>4.7435897435897401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53">
        <v>75</v>
      </c>
      <c r="B126" s="53">
        <v>246.15384615384613</v>
      </c>
      <c r="C126" s="53">
        <v>6</v>
      </c>
      <c r="D126" s="53">
        <v>30.769230769230766</v>
      </c>
      <c r="E126" s="54"/>
      <c r="F126" s="54"/>
      <c r="G126" s="54"/>
      <c r="H126" s="54"/>
      <c r="I126" s="56">
        <f t="shared" si="4"/>
        <v>4.4871794871794863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53">
        <v>80</v>
      </c>
      <c r="B127" s="53">
        <v>237.17948717948718</v>
      </c>
      <c r="C127" s="53"/>
      <c r="D127" s="53"/>
      <c r="E127" s="54"/>
      <c r="F127" s="54"/>
      <c r="G127" s="54"/>
      <c r="H127" s="54"/>
      <c r="I127" s="56">
        <f t="shared" si="4"/>
        <v>4.3589743589743648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>
        <v>85</v>
      </c>
      <c r="B128" s="53">
        <v>258.33333333333331</v>
      </c>
      <c r="C128" s="53">
        <v>7</v>
      </c>
      <c r="D128" s="53">
        <v>28.846153846153847</v>
      </c>
      <c r="E128" s="54"/>
      <c r="F128" s="54"/>
      <c r="G128" s="54"/>
      <c r="H128" s="54"/>
      <c r="I128" s="56">
        <f t="shared" si="4"/>
        <v>4.2307692307692264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>
        <v>90</v>
      </c>
      <c r="B129" s="53">
        <v>248.7179487179487</v>
      </c>
      <c r="C129" s="53"/>
      <c r="D129" s="53"/>
      <c r="E129" s="54"/>
      <c r="F129" s="54"/>
      <c r="G129" s="54"/>
      <c r="H129" s="54"/>
      <c r="I129" s="56">
        <f t="shared" si="4"/>
        <v>3.8461538461538454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>
        <v>95</v>
      </c>
      <c r="B130" s="53">
        <v>267.94871794871796</v>
      </c>
      <c r="C130" s="53">
        <v>8</v>
      </c>
      <c r="D130" s="53">
        <v>27.564102564102562</v>
      </c>
      <c r="E130" s="54"/>
      <c r="F130" s="54"/>
      <c r="G130" s="54"/>
      <c r="H130" s="54"/>
      <c r="I130" s="56">
        <f t="shared" si="4"/>
        <v>3.8461538461538511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>
        <v>100</v>
      </c>
      <c r="B131" s="53">
        <v>258.33333333333331</v>
      </c>
      <c r="C131" s="53"/>
      <c r="D131" s="53"/>
      <c r="E131" s="54"/>
      <c r="F131" s="54"/>
      <c r="G131" s="54"/>
      <c r="H131" s="54"/>
      <c r="I131" s="56">
        <f t="shared" si="4"/>
        <v>3.5897435897435854</v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>
        <v>110</v>
      </c>
      <c r="B132" s="53">
        <v>292.30769230769232</v>
      </c>
      <c r="C132" s="53">
        <v>9</v>
      </c>
      <c r="D132" s="53">
        <v>37.820512820512818</v>
      </c>
      <c r="E132" s="54"/>
      <c r="F132" s="54"/>
      <c r="G132" s="54"/>
      <c r="H132" s="54"/>
      <c r="I132" s="56">
        <f t="shared" si="4"/>
        <v>3.3974358974359005</v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>
        <v>120</v>
      </c>
      <c r="B133" s="53">
        <v>285.89743589743591</v>
      </c>
      <c r="C133" s="53">
        <v>10</v>
      </c>
      <c r="D133" s="53">
        <v>285.89743589743591</v>
      </c>
      <c r="E133" s="54"/>
      <c r="F133" s="54"/>
      <c r="G133" s="54"/>
      <c r="H133" s="54"/>
      <c r="I133" s="56">
        <f t="shared" si="4"/>
        <v>3.141025641025641</v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Châtaignier</v>
      </c>
      <c r="D136" s="257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3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89" t="s">
        <v>185</v>
      </c>
      <c r="C138" s="291" t="s">
        <v>186</v>
      </c>
      <c r="D138" s="291"/>
      <c r="E138" s="292" t="s">
        <v>187</v>
      </c>
      <c r="F138" s="293"/>
      <c r="G138" s="293"/>
      <c r="H138" s="294"/>
      <c r="I138" s="102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10</v>
      </c>
      <c r="B140" s="61">
        <f>11.1</f>
        <v>11.1</v>
      </c>
      <c r="C140" s="61"/>
      <c r="D140" s="61"/>
      <c r="E140" s="54"/>
      <c r="F140" s="54"/>
      <c r="G140" s="54"/>
      <c r="H140" s="91"/>
      <c r="I140" s="59">
        <f>IFERROR(B140/A140,"")</f>
        <v>1.1099999999999999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>
        <v>15</v>
      </c>
      <c r="B141" s="61">
        <f>33+31.5</f>
        <v>64.5</v>
      </c>
      <c r="C141" s="61"/>
      <c r="D141" s="61"/>
      <c r="E141" s="54"/>
      <c r="F141" s="54"/>
      <c r="G141" s="54"/>
      <c r="H141" s="91"/>
      <c r="I141" s="59">
        <f t="shared" ref="I141:I159" si="5">IF(A141&lt;&gt;0,(B141-(B140-D140))/(A141-A140),"")</f>
        <v>10.68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>
        <v>20</v>
      </c>
      <c r="B142" s="61">
        <f>66.8+31.5+35</f>
        <v>133.30000000000001</v>
      </c>
      <c r="C142" s="61">
        <v>1</v>
      </c>
      <c r="D142" s="61">
        <f>31.5+35</f>
        <v>66.5</v>
      </c>
      <c r="E142" s="91"/>
      <c r="F142" s="91"/>
      <c r="G142" s="91"/>
      <c r="H142" s="91">
        <v>1</v>
      </c>
      <c r="I142" s="59">
        <f t="shared" si="5"/>
        <v>13.760000000000002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>
        <v>25</v>
      </c>
      <c r="B143" s="61">
        <f>105.5+35</f>
        <v>140.5</v>
      </c>
      <c r="C143" s="61"/>
      <c r="D143" s="61"/>
      <c r="E143" s="91"/>
      <c r="F143" s="91"/>
      <c r="G143" s="91"/>
      <c r="H143" s="91"/>
      <c r="I143" s="59">
        <f t="shared" si="5"/>
        <v>14.739999999999998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>
        <v>30</v>
      </c>
      <c r="B144" s="61">
        <f>141.8+35+35</f>
        <v>211.8</v>
      </c>
      <c r="C144" s="61">
        <v>2</v>
      </c>
      <c r="D144" s="61">
        <f>35+35</f>
        <v>70</v>
      </c>
      <c r="E144" s="91"/>
      <c r="F144" s="91"/>
      <c r="G144" s="91"/>
      <c r="H144" s="91">
        <v>1</v>
      </c>
      <c r="I144" s="59">
        <f t="shared" si="5"/>
        <v>14.260000000000002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>
        <v>35</v>
      </c>
      <c r="B145" s="61">
        <f>171.4+35</f>
        <v>206.4</v>
      </c>
      <c r="C145" s="61"/>
      <c r="D145" s="61"/>
      <c r="E145" s="91"/>
      <c r="F145" s="91"/>
      <c r="G145" s="91"/>
      <c r="H145" s="91"/>
      <c r="I145" s="59">
        <f t="shared" si="5"/>
        <v>12.919999999999998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>
        <v>40</v>
      </c>
      <c r="B146" s="61">
        <f>193.1+35+35</f>
        <v>263.10000000000002</v>
      </c>
      <c r="C146" s="61">
        <v>3</v>
      </c>
      <c r="D146" s="61">
        <f>35+35</f>
        <v>70</v>
      </c>
      <c r="E146" s="91"/>
      <c r="F146" s="91"/>
      <c r="G146" s="91"/>
      <c r="H146" s="91"/>
      <c r="I146" s="59">
        <f t="shared" si="5"/>
        <v>11.340000000000003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61">
        <v>45</v>
      </c>
      <c r="B147" s="61">
        <f>218+24.2</f>
        <v>242.2</v>
      </c>
      <c r="C147" s="61"/>
      <c r="D147" s="61"/>
      <c r="E147" s="91"/>
      <c r="F147" s="91"/>
      <c r="G147" s="91"/>
      <c r="H147" s="91"/>
      <c r="I147" s="59">
        <f>IF(A147&lt;&gt;0,(B147-(B146-D146))/(A147-A146),"")</f>
        <v>9.8199999999999932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61">
        <v>50</v>
      </c>
      <c r="B148" s="61">
        <f>241.8+24.2+18.9</f>
        <v>284.89999999999998</v>
      </c>
      <c r="C148" s="61">
        <v>4</v>
      </c>
      <c r="D148" s="61">
        <f>24.2+18.9</f>
        <v>43.099999999999994</v>
      </c>
      <c r="E148" s="91"/>
      <c r="F148" s="91"/>
      <c r="G148" s="91"/>
      <c r="H148" s="91"/>
      <c r="I148" s="59">
        <f t="shared" si="5"/>
        <v>8.5399999999999974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61">
        <v>55</v>
      </c>
      <c r="B149" s="61">
        <f>262.6+16</f>
        <v>278.60000000000002</v>
      </c>
      <c r="C149" s="61"/>
      <c r="D149" s="61"/>
      <c r="E149" s="91"/>
      <c r="F149" s="91"/>
      <c r="G149" s="91"/>
      <c r="H149" s="91"/>
      <c r="I149" s="59">
        <f t="shared" si="5"/>
        <v>7.3600000000000083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61">
        <v>60</v>
      </c>
      <c r="B150" s="61">
        <f>279.8+16+14.2</f>
        <v>310</v>
      </c>
      <c r="C150" s="61">
        <v>5</v>
      </c>
      <c r="D150" s="61">
        <f>16+14.2</f>
        <v>30.2</v>
      </c>
      <c r="E150" s="91"/>
      <c r="F150" s="91"/>
      <c r="G150" s="91"/>
      <c r="H150" s="91"/>
      <c r="I150" s="59">
        <f t="shared" si="5"/>
        <v>6.2799999999999958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61">
        <v>65</v>
      </c>
      <c r="B151" s="61">
        <f>292.6+13.4</f>
        <v>306</v>
      </c>
      <c r="C151" s="61"/>
      <c r="D151" s="61"/>
      <c r="E151" s="91"/>
      <c r="F151" s="91"/>
      <c r="G151" s="91"/>
      <c r="H151" s="91"/>
      <c r="I151" s="59">
        <f t="shared" si="5"/>
        <v>5.2399999999999975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61">
        <v>70</v>
      </c>
      <c r="B152" s="61">
        <f>302.6+13.4+12.5</f>
        <v>328.5</v>
      </c>
      <c r="C152" s="61">
        <v>6</v>
      </c>
      <c r="D152" s="61">
        <f>13.4+12.5</f>
        <v>25.9</v>
      </c>
      <c r="E152" s="66"/>
      <c r="F152" s="66"/>
      <c r="G152" s="66"/>
      <c r="H152" s="66"/>
      <c r="I152" s="59">
        <f t="shared" si="5"/>
        <v>4.5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61">
        <v>75</v>
      </c>
      <c r="B153" s="61">
        <f>311.9+11.6</f>
        <v>323.5</v>
      </c>
      <c r="C153" s="61"/>
      <c r="D153" s="61"/>
      <c r="E153" s="66"/>
      <c r="F153" s="66"/>
      <c r="G153" s="66"/>
      <c r="H153" s="66"/>
      <c r="I153" s="59">
        <f t="shared" si="5"/>
        <v>4.1799999999999953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61">
        <v>80</v>
      </c>
      <c r="B154" s="53">
        <v>341.3</v>
      </c>
      <c r="C154" s="61">
        <v>7</v>
      </c>
      <c r="D154" s="53">
        <v>341.3</v>
      </c>
      <c r="E154" s="57"/>
      <c r="F154" s="57"/>
      <c r="G154" s="57"/>
      <c r="H154" s="57"/>
      <c r="I154" s="59">
        <f t="shared" si="5"/>
        <v>3.5600000000000023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281"/>
      <c r="B155" s="53"/>
      <c r="C155" s="53"/>
      <c r="D155" s="53"/>
      <c r="E155" s="54"/>
      <c r="F155" s="54"/>
      <c r="G155" s="54"/>
      <c r="H155" s="54"/>
      <c r="I155" s="59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281"/>
      <c r="B156" s="53"/>
      <c r="C156" s="53"/>
      <c r="D156" s="53"/>
      <c r="E156" s="54"/>
      <c r="F156" s="54"/>
      <c r="G156" s="54"/>
      <c r="H156" s="54"/>
      <c r="I156" s="59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281"/>
      <c r="B157" s="53"/>
      <c r="C157" s="53"/>
      <c r="D157" s="53"/>
      <c r="E157" s="54"/>
      <c r="F157" s="54"/>
      <c r="G157" s="54"/>
      <c r="H157" s="54"/>
      <c r="I157" s="59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281"/>
      <c r="B158" s="53"/>
      <c r="C158" s="53"/>
      <c r="D158" s="53"/>
      <c r="E158" s="54"/>
      <c r="F158" s="54"/>
      <c r="G158" s="54"/>
      <c r="H158" s="54"/>
      <c r="I158" s="59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281"/>
      <c r="B159" s="53"/>
      <c r="C159" s="53"/>
      <c r="D159" s="53"/>
      <c r="E159" s="54"/>
      <c r="F159" s="54"/>
      <c r="G159" s="54"/>
      <c r="H159" s="54"/>
      <c r="I159" s="59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>Merisier</v>
      </c>
      <c r="D162" s="257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3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89" t="s">
        <v>185</v>
      </c>
      <c r="C164" s="291" t="s">
        <v>186</v>
      </c>
      <c r="D164" s="291"/>
      <c r="E164" s="292" t="s">
        <v>187</v>
      </c>
      <c r="F164" s="293"/>
      <c r="G164" s="293"/>
      <c r="H164" s="294"/>
      <c r="I164" s="102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>
        <v>15</v>
      </c>
      <c r="B166" s="61">
        <v>40</v>
      </c>
      <c r="C166" s="53"/>
      <c r="D166" s="61"/>
      <c r="E166" s="64"/>
      <c r="F166" s="64"/>
      <c r="G166" s="64"/>
      <c r="H166" s="64"/>
      <c r="I166" s="52">
        <f>IFERROR(B166/A166,"")</f>
        <v>2.6666666666666665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>
        <v>20</v>
      </c>
      <c r="B167" s="61">
        <f>85+3</f>
        <v>88</v>
      </c>
      <c r="C167" s="53"/>
      <c r="D167" s="61"/>
      <c r="E167" s="64"/>
      <c r="F167" s="64"/>
      <c r="G167" s="64"/>
      <c r="H167" s="64"/>
      <c r="I167" s="52">
        <f t="shared" ref="I167:I185" si="6">IF(A167&lt;&gt;0,(B167-(B166-D166))/(A167-A166),"")</f>
        <v>9.6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>
        <v>25</v>
      </c>
      <c r="B168" s="61">
        <f>113+3+25</f>
        <v>141</v>
      </c>
      <c r="C168" s="53">
        <v>1</v>
      </c>
      <c r="D168" s="61">
        <f>3+25+27</f>
        <v>55</v>
      </c>
      <c r="E168" s="64"/>
      <c r="F168" s="64"/>
      <c r="G168" s="64"/>
      <c r="H168" s="64">
        <v>1</v>
      </c>
      <c r="I168" s="52">
        <f t="shared" si="6"/>
        <v>10.6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8">
        <v>31</v>
      </c>
      <c r="B169" s="58">
        <v>155</v>
      </c>
      <c r="C169" s="58">
        <v>2</v>
      </c>
      <c r="D169" s="58">
        <v>36</v>
      </c>
      <c r="E169" s="64"/>
      <c r="F169" s="64"/>
      <c r="G169" s="64"/>
      <c r="H169" s="64"/>
      <c r="I169" s="52">
        <f t="shared" si="6"/>
        <v>11.5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8">
        <v>37</v>
      </c>
      <c r="B170" s="58">
        <v>188</v>
      </c>
      <c r="C170" s="58">
        <v>3</v>
      </c>
      <c r="D170" s="58">
        <v>36</v>
      </c>
      <c r="E170" s="64"/>
      <c r="F170" s="64"/>
      <c r="G170" s="64"/>
      <c r="H170" s="64"/>
      <c r="I170" s="52">
        <f t="shared" si="6"/>
        <v>11.5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8">
        <v>44</v>
      </c>
      <c r="B171" s="58">
        <v>230</v>
      </c>
      <c r="C171" s="58">
        <v>4</v>
      </c>
      <c r="D171" s="58">
        <v>43</v>
      </c>
      <c r="E171" s="64"/>
      <c r="F171" s="64"/>
      <c r="G171" s="64"/>
      <c r="H171" s="64"/>
      <c r="I171" s="52">
        <f t="shared" si="6"/>
        <v>11.142857142857142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8">
        <v>52</v>
      </c>
      <c r="B172" s="58">
        <v>270</v>
      </c>
      <c r="C172" s="58">
        <v>5</v>
      </c>
      <c r="D172" s="58">
        <v>48</v>
      </c>
      <c r="E172" s="64"/>
      <c r="F172" s="64"/>
      <c r="G172" s="64"/>
      <c r="H172" s="64"/>
      <c r="I172" s="52">
        <f t="shared" si="6"/>
        <v>10.375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8">
        <v>60</v>
      </c>
      <c r="B173" s="58">
        <v>297</v>
      </c>
      <c r="C173" s="58">
        <v>6</v>
      </c>
      <c r="D173" s="58">
        <v>47</v>
      </c>
      <c r="E173" s="64"/>
      <c r="F173" s="64"/>
      <c r="G173" s="64"/>
      <c r="H173" s="64"/>
      <c r="I173" s="52">
        <f t="shared" si="6"/>
        <v>9.375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8">
        <v>69</v>
      </c>
      <c r="B174" s="58">
        <v>328</v>
      </c>
      <c r="C174" s="58">
        <v>7</v>
      </c>
      <c r="D174" s="58">
        <v>328</v>
      </c>
      <c r="E174" s="64"/>
      <c r="F174" s="64"/>
      <c r="G174" s="64"/>
      <c r="H174" s="64"/>
      <c r="I174" s="52">
        <f t="shared" si="6"/>
        <v>8.6666666666666661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>Hêtre</v>
      </c>
      <c r="D188" s="257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3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89" t="s">
        <v>185</v>
      </c>
      <c r="C190" s="291" t="s">
        <v>186</v>
      </c>
      <c r="D190" s="291"/>
      <c r="E190" s="292" t="s">
        <v>187</v>
      </c>
      <c r="F190" s="293"/>
      <c r="G190" s="293"/>
      <c r="H190" s="294"/>
      <c r="I190" s="102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>
        <v>27</v>
      </c>
      <c r="B192" s="61">
        <v>77</v>
      </c>
      <c r="C192" s="53">
        <v>1</v>
      </c>
      <c r="D192" s="61">
        <v>12</v>
      </c>
      <c r="E192" s="54"/>
      <c r="F192" s="54"/>
      <c r="G192" s="54"/>
      <c r="H192" s="54">
        <v>1</v>
      </c>
      <c r="I192" s="52">
        <f>IFERROR(B192/A192,"")</f>
        <v>2.8518518518518516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>
        <v>30</v>
      </c>
      <c r="B193" s="61">
        <v>102</v>
      </c>
      <c r="C193" s="53">
        <v>2</v>
      </c>
      <c r="D193" s="61">
        <v>13</v>
      </c>
      <c r="E193" s="54"/>
      <c r="F193" s="54"/>
      <c r="G193" s="54"/>
      <c r="H193" s="54">
        <v>1</v>
      </c>
      <c r="I193" s="52">
        <f t="shared" ref="I193:I211" si="7">IF(A193&lt;&gt;0,(B193-(B192-D192))/(A193-A192),"")</f>
        <v>12.333333333333334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>
        <v>36</v>
      </c>
      <c r="B194" s="61">
        <v>174</v>
      </c>
      <c r="C194" s="53">
        <v>3</v>
      </c>
      <c r="D194" s="61">
        <v>60</v>
      </c>
      <c r="E194" s="54"/>
      <c r="F194" s="54"/>
      <c r="G194" s="54"/>
      <c r="H194" s="54"/>
      <c r="I194" s="52">
        <f t="shared" si="7"/>
        <v>14.166666666666666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>
        <v>42</v>
      </c>
      <c r="B195" s="61">
        <v>205</v>
      </c>
      <c r="C195" s="53">
        <v>4</v>
      </c>
      <c r="D195" s="61">
        <v>59</v>
      </c>
      <c r="E195" s="54"/>
      <c r="F195" s="54"/>
      <c r="G195" s="54"/>
      <c r="H195" s="54"/>
      <c r="I195" s="52">
        <f t="shared" si="7"/>
        <v>15.166666666666666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>
        <v>48</v>
      </c>
      <c r="B196" s="61">
        <v>240</v>
      </c>
      <c r="C196" s="53">
        <v>5</v>
      </c>
      <c r="D196" s="61">
        <v>63</v>
      </c>
      <c r="E196" s="54"/>
      <c r="F196" s="54"/>
      <c r="G196" s="54"/>
      <c r="H196" s="54"/>
      <c r="I196" s="52">
        <f t="shared" si="7"/>
        <v>15.666666666666666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>
        <v>54</v>
      </c>
      <c r="B197" s="61">
        <v>270</v>
      </c>
      <c r="C197" s="53">
        <v>6</v>
      </c>
      <c r="D197" s="61">
        <v>64</v>
      </c>
      <c r="E197" s="54"/>
      <c r="F197" s="54"/>
      <c r="G197" s="54"/>
      <c r="H197" s="54"/>
      <c r="I197" s="52">
        <f t="shared" si="7"/>
        <v>15.5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>
        <v>60</v>
      </c>
      <c r="B198" s="61">
        <v>295</v>
      </c>
      <c r="C198" s="53">
        <v>7</v>
      </c>
      <c r="D198" s="61">
        <v>61</v>
      </c>
      <c r="E198" s="54"/>
      <c r="F198" s="54"/>
      <c r="G198" s="54"/>
      <c r="H198" s="54"/>
      <c r="I198" s="52">
        <f t="shared" si="7"/>
        <v>14.833333333333334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>
        <v>69</v>
      </c>
      <c r="B199" s="61">
        <v>358</v>
      </c>
      <c r="C199" s="53">
        <v>8</v>
      </c>
      <c r="D199" s="61">
        <v>84</v>
      </c>
      <c r="E199" s="54"/>
      <c r="F199" s="54"/>
      <c r="G199" s="54"/>
      <c r="H199" s="54"/>
      <c r="I199" s="52">
        <f t="shared" si="7"/>
        <v>13.777777777777779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>
        <v>78</v>
      </c>
      <c r="B200" s="61">
        <v>387</v>
      </c>
      <c r="C200" s="53">
        <v>9</v>
      </c>
      <c r="D200" s="61">
        <v>39</v>
      </c>
      <c r="E200" s="54"/>
      <c r="F200" s="54"/>
      <c r="G200" s="54"/>
      <c r="H200" s="54"/>
      <c r="I200" s="52">
        <f t="shared" si="7"/>
        <v>12.555555555555555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>
        <v>84</v>
      </c>
      <c r="B201" s="61">
        <v>420</v>
      </c>
      <c r="C201" s="53"/>
      <c r="D201" s="61"/>
      <c r="E201" s="54"/>
      <c r="F201" s="54"/>
      <c r="G201" s="54"/>
      <c r="H201" s="54"/>
      <c r="I201" s="52">
        <f t="shared" si="7"/>
        <v>12</v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>
        <v>90</v>
      </c>
      <c r="B202" s="61">
        <v>489</v>
      </c>
      <c r="C202" s="53"/>
      <c r="D202" s="61"/>
      <c r="E202" s="54"/>
      <c r="F202" s="54"/>
      <c r="G202" s="54"/>
      <c r="H202" s="54"/>
      <c r="I202" s="52">
        <f t="shared" si="7"/>
        <v>11.5</v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>
        <v>96</v>
      </c>
      <c r="B203" s="61">
        <v>557</v>
      </c>
      <c r="C203" s="53"/>
      <c r="D203" s="61"/>
      <c r="E203" s="54"/>
      <c r="F203" s="54"/>
      <c r="G203" s="54"/>
      <c r="H203" s="54"/>
      <c r="I203" s="52">
        <f t="shared" si="7"/>
        <v>11.333333333333334</v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>
        <v>99</v>
      </c>
      <c r="B204" s="61">
        <v>591</v>
      </c>
      <c r="C204" s="53">
        <v>10</v>
      </c>
      <c r="D204" s="61">
        <f>B204</f>
        <v>591</v>
      </c>
      <c r="E204" s="57"/>
      <c r="F204" s="57"/>
      <c r="G204" s="57"/>
      <c r="H204" s="57"/>
      <c r="I204" s="52">
        <f t="shared" si="7"/>
        <v>11.333333333333334</v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61"/>
      <c r="B205" s="61"/>
      <c r="C205" s="61"/>
      <c r="D205" s="61"/>
      <c r="E205" s="66"/>
      <c r="F205" s="66"/>
      <c r="G205" s="66"/>
      <c r="H205" s="66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61"/>
      <c r="B206" s="53"/>
      <c r="C206" s="61"/>
      <c r="D206" s="53"/>
      <c r="E206" s="57"/>
      <c r="F206" s="57"/>
      <c r="G206" s="57"/>
      <c r="H206" s="57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>Alisier torminal</v>
      </c>
      <c r="D214" s="257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3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89" t="s">
        <v>185</v>
      </c>
      <c r="C216" s="291" t="s">
        <v>186</v>
      </c>
      <c r="D216" s="291"/>
      <c r="E216" s="292" t="s">
        <v>187</v>
      </c>
      <c r="F216" s="293"/>
      <c r="G216" s="293"/>
      <c r="H216" s="294"/>
      <c r="I216" s="102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>
        <v>20</v>
      </c>
      <c r="B218" s="61">
        <f>67+6</f>
        <v>73</v>
      </c>
      <c r="C218" s="61"/>
      <c r="D218" s="61"/>
      <c r="E218" s="54"/>
      <c r="F218" s="54"/>
      <c r="G218" s="54"/>
      <c r="H218" s="54"/>
      <c r="I218" s="56">
        <f>IFERROR(B218/A218,"")</f>
        <v>3.65</v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>
        <v>25</v>
      </c>
      <c r="B219" s="61">
        <f>75+6+28</f>
        <v>109</v>
      </c>
      <c r="C219" s="61">
        <v>1</v>
      </c>
      <c r="D219" s="61">
        <f>6+28</f>
        <v>34</v>
      </c>
      <c r="E219" s="54"/>
      <c r="F219" s="54"/>
      <c r="G219" s="54"/>
      <c r="H219" s="54">
        <v>1</v>
      </c>
      <c r="I219" s="56">
        <f t="shared" ref="I219:I237" si="8">IF(A219&lt;&gt;0,(B219-(B218-D218))/(A219-A218),"")</f>
        <v>7.2</v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>
        <v>30</v>
      </c>
      <c r="B220" s="61">
        <f>93+28</f>
        <v>121</v>
      </c>
      <c r="C220" s="61"/>
      <c r="D220" s="61"/>
      <c r="E220" s="54"/>
      <c r="F220" s="54"/>
      <c r="G220" s="54"/>
      <c r="H220" s="54"/>
      <c r="I220" s="56">
        <f t="shared" si="8"/>
        <v>9.1999999999999993</v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3">
        <v>35</v>
      </c>
      <c r="B221" s="61">
        <f>119+28+28</f>
        <v>175</v>
      </c>
      <c r="C221" s="61">
        <v>2</v>
      </c>
      <c r="D221" s="61">
        <f>28+28</f>
        <v>56</v>
      </c>
      <c r="E221" s="54"/>
      <c r="F221" s="54"/>
      <c r="G221" s="54"/>
      <c r="H221" s="54"/>
      <c r="I221" s="56">
        <f t="shared" si="8"/>
        <v>10.8</v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3">
        <v>40</v>
      </c>
      <c r="B222" s="61">
        <f>147+28</f>
        <v>175</v>
      </c>
      <c r="C222" s="61"/>
      <c r="D222" s="61"/>
      <c r="E222" s="54"/>
      <c r="F222" s="54"/>
      <c r="G222" s="54"/>
      <c r="H222" s="54"/>
      <c r="I222" s="56">
        <f t="shared" si="8"/>
        <v>11.2</v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3">
        <v>45</v>
      </c>
      <c r="B223" s="61">
        <f>176+28+28</f>
        <v>232</v>
      </c>
      <c r="C223" s="61">
        <v>3</v>
      </c>
      <c r="D223" s="61">
        <f>28+28</f>
        <v>56</v>
      </c>
      <c r="E223" s="54"/>
      <c r="F223" s="54"/>
      <c r="G223" s="54"/>
      <c r="H223" s="54"/>
      <c r="I223" s="56">
        <f t="shared" si="8"/>
        <v>11.4</v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3">
        <v>50</v>
      </c>
      <c r="B224" s="61">
        <f>203+28</f>
        <v>231</v>
      </c>
      <c r="C224" s="61"/>
      <c r="D224" s="61"/>
      <c r="E224" s="54"/>
      <c r="F224" s="54"/>
      <c r="G224" s="54"/>
      <c r="H224" s="54"/>
      <c r="I224" s="56">
        <f t="shared" si="8"/>
        <v>11</v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281">
        <v>55</v>
      </c>
      <c r="B225" s="61">
        <f>226+28+28</f>
        <v>282</v>
      </c>
      <c r="C225" s="61">
        <v>4</v>
      </c>
      <c r="D225" s="61">
        <f>28+28</f>
        <v>56</v>
      </c>
      <c r="E225" s="54"/>
      <c r="F225" s="54"/>
      <c r="G225" s="54"/>
      <c r="H225" s="54"/>
      <c r="I225" s="56">
        <f t="shared" si="8"/>
        <v>10.199999999999999</v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281">
        <v>60</v>
      </c>
      <c r="B226" s="61">
        <f>245+28</f>
        <v>273</v>
      </c>
      <c r="C226" s="61"/>
      <c r="D226" s="61"/>
      <c r="E226" s="54"/>
      <c r="F226" s="54"/>
      <c r="G226" s="54"/>
      <c r="H226" s="54"/>
      <c r="I226" s="56">
        <f t="shared" si="8"/>
        <v>9.4</v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281">
        <v>65</v>
      </c>
      <c r="B227" s="61">
        <f>261+28+28</f>
        <v>317</v>
      </c>
      <c r="C227" s="61">
        <v>5</v>
      </c>
      <c r="D227" s="61">
        <f>28+28</f>
        <v>56</v>
      </c>
      <c r="E227" s="54"/>
      <c r="F227" s="54"/>
      <c r="G227" s="54"/>
      <c r="H227" s="54"/>
      <c r="I227" s="56">
        <f t="shared" si="8"/>
        <v>8.8000000000000007</v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281">
        <v>70</v>
      </c>
      <c r="B228" s="61">
        <f>274+28</f>
        <v>302</v>
      </c>
      <c r="C228" s="61"/>
      <c r="D228" s="61"/>
      <c r="E228" s="54"/>
      <c r="F228" s="54"/>
      <c r="G228" s="54"/>
      <c r="H228" s="54"/>
      <c r="I228" s="56">
        <f t="shared" si="8"/>
        <v>8.1999999999999993</v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281">
        <v>75</v>
      </c>
      <c r="B229" s="61">
        <f>284+28+28</f>
        <v>340</v>
      </c>
      <c r="C229" s="61">
        <v>6</v>
      </c>
      <c r="D229" s="61">
        <f>28+28</f>
        <v>56</v>
      </c>
      <c r="E229" s="54"/>
      <c r="F229" s="54"/>
      <c r="G229" s="54"/>
      <c r="H229" s="54"/>
      <c r="I229" s="56">
        <f t="shared" si="8"/>
        <v>7.6</v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281">
        <v>80</v>
      </c>
      <c r="B230" s="61">
        <f>292+28</f>
        <v>320</v>
      </c>
      <c r="C230" s="61"/>
      <c r="D230" s="61"/>
      <c r="E230" s="54"/>
      <c r="F230" s="54"/>
      <c r="G230" s="54"/>
      <c r="H230" s="54"/>
      <c r="I230" s="56">
        <f t="shared" si="8"/>
        <v>7.2</v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281">
        <v>90</v>
      </c>
      <c r="B231" s="61">
        <f>302+28+28+28</f>
        <v>386</v>
      </c>
      <c r="C231" s="61">
        <v>7</v>
      </c>
      <c r="D231" s="61">
        <f>28+28+28</f>
        <v>84</v>
      </c>
      <c r="E231" s="54"/>
      <c r="F231" s="54"/>
      <c r="G231" s="54"/>
      <c r="H231" s="54"/>
      <c r="I231" s="56">
        <f t="shared" si="8"/>
        <v>6.6</v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281">
        <v>100</v>
      </c>
      <c r="B232" s="53">
        <v>361</v>
      </c>
      <c r="C232" s="53"/>
      <c r="D232" s="53"/>
      <c r="E232" s="54"/>
      <c r="F232" s="54"/>
      <c r="G232" s="54"/>
      <c r="H232" s="54"/>
      <c r="I232" s="56">
        <f t="shared" si="8"/>
        <v>5.9</v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281">
        <v>110</v>
      </c>
      <c r="B233" s="53">
        <v>413</v>
      </c>
      <c r="C233" s="53">
        <v>8</v>
      </c>
      <c r="D233" s="53">
        <v>106</v>
      </c>
      <c r="E233" s="54"/>
      <c r="F233" s="54"/>
      <c r="G233" s="54"/>
      <c r="H233" s="54"/>
      <c r="I233" s="56">
        <f t="shared" si="8"/>
        <v>5.2</v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281">
        <v>120</v>
      </c>
      <c r="B234" s="53">
        <v>352</v>
      </c>
      <c r="C234" s="53"/>
      <c r="D234" s="53"/>
      <c r="E234" s="54"/>
      <c r="F234" s="54"/>
      <c r="G234" s="54"/>
      <c r="H234" s="54"/>
      <c r="I234" s="56">
        <f t="shared" si="8"/>
        <v>4.5</v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281">
        <v>130</v>
      </c>
      <c r="B235" s="53">
        <v>394</v>
      </c>
      <c r="C235" s="53">
        <v>9</v>
      </c>
      <c r="D235" s="53">
        <v>91</v>
      </c>
      <c r="E235" s="54"/>
      <c r="F235" s="54"/>
      <c r="G235" s="54"/>
      <c r="H235" s="54"/>
      <c r="I235" s="56">
        <f t="shared" si="8"/>
        <v>4.2</v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281">
        <v>140</v>
      </c>
      <c r="B236" s="53">
        <v>341</v>
      </c>
      <c r="C236" s="53"/>
      <c r="D236" s="53"/>
      <c r="E236" s="54"/>
      <c r="F236" s="54"/>
      <c r="G236" s="54"/>
      <c r="H236" s="54"/>
      <c r="I236" s="56">
        <f t="shared" si="8"/>
        <v>3.8</v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281">
        <v>150</v>
      </c>
      <c r="B237" s="53">
        <v>376</v>
      </c>
      <c r="C237" s="53">
        <v>10</v>
      </c>
      <c r="D237" s="53">
        <v>376</v>
      </c>
      <c r="E237" s="54"/>
      <c r="F237" s="54"/>
      <c r="G237" s="54"/>
      <c r="H237" s="54"/>
      <c r="I237" s="56">
        <f t="shared" si="8"/>
        <v>3.5</v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>Tilleul</v>
      </c>
      <c r="D240" s="257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3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89" t="s">
        <v>185</v>
      </c>
      <c r="C242" s="291" t="s">
        <v>186</v>
      </c>
      <c r="D242" s="291"/>
      <c r="E242" s="292" t="s">
        <v>187</v>
      </c>
      <c r="F242" s="293"/>
      <c r="G242" s="293"/>
      <c r="H242" s="294"/>
      <c r="I242" s="102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>
        <v>10</v>
      </c>
      <c r="B244" s="61">
        <f>51/1.56</f>
        <v>32.692307692307693</v>
      </c>
      <c r="C244" s="61"/>
      <c r="D244" s="61"/>
      <c r="E244" s="54"/>
      <c r="F244" s="54"/>
      <c r="G244" s="54"/>
      <c r="H244" s="54"/>
      <c r="I244" s="56">
        <f>IFERROR(B244/A244,"")</f>
        <v>3.2692307692307692</v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>
        <v>15</v>
      </c>
      <c r="B245" s="61">
        <f>(110+12)/1.56</f>
        <v>78.205128205128204</v>
      </c>
      <c r="C245" s="61"/>
      <c r="D245" s="61"/>
      <c r="E245" s="54"/>
      <c r="F245" s="54"/>
      <c r="G245" s="54"/>
      <c r="H245" s="54"/>
      <c r="I245" s="56">
        <f>IF(A245&lt;&gt;0,(B245-(B244-D244))/(A245-A244),"")</f>
        <v>9.1025641025641022</v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>
        <v>20</v>
      </c>
      <c r="B246" s="61">
        <f>(166+12+22)/1.56</f>
        <v>128.2051282051282</v>
      </c>
      <c r="C246" s="61">
        <v>1</v>
      </c>
      <c r="D246" s="61">
        <f>(12+22+27)/1.56</f>
        <v>39.102564102564102</v>
      </c>
      <c r="E246" s="54"/>
      <c r="F246" s="54"/>
      <c r="G246" s="54"/>
      <c r="H246" s="54">
        <v>1</v>
      </c>
      <c r="I246" s="56">
        <f>IF(A246&lt;&gt;0,(B246-(B245-D245))/(A246-A245),"")</f>
        <v>10</v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>
        <v>25</v>
      </c>
      <c r="B247" s="61">
        <f>215/1.56</f>
        <v>137.82051282051282</v>
      </c>
      <c r="C247" s="61"/>
      <c r="D247" s="61"/>
      <c r="E247" s="54"/>
      <c r="F247" s="54"/>
      <c r="G247" s="54"/>
      <c r="H247" s="54"/>
      <c r="I247" s="56">
        <f t="shared" ref="I247:I263" si="9">IF(A247&lt;&gt;0,(B247-(B246-D246))/(A247-A246),"")</f>
        <v>9.7435897435897427</v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>
        <v>30</v>
      </c>
      <c r="B248" s="61">
        <f>(257+30)/1.56</f>
        <v>183.97435897435898</v>
      </c>
      <c r="C248" s="61">
        <v>2</v>
      </c>
      <c r="D248" s="61">
        <f>(30+31)/1.56</f>
        <v>39.102564102564102</v>
      </c>
      <c r="E248" s="54"/>
      <c r="F248" s="54"/>
      <c r="G248" s="54"/>
      <c r="H248" s="54">
        <v>1</v>
      </c>
      <c r="I248" s="56">
        <f t="shared" si="9"/>
        <v>9.2307692307692317</v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>
        <v>35</v>
      </c>
      <c r="B249" s="61">
        <f>294/1.56</f>
        <v>188.46153846153845</v>
      </c>
      <c r="C249" s="61"/>
      <c r="D249" s="61"/>
      <c r="E249" s="54"/>
      <c r="F249" s="54"/>
      <c r="G249" s="54"/>
      <c r="H249" s="54"/>
      <c r="I249" s="56">
        <f t="shared" si="9"/>
        <v>8.717948717948719</v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>
        <v>40</v>
      </c>
      <c r="B250" s="61">
        <f>(325+31)/1.56</f>
        <v>228.2051282051282</v>
      </c>
      <c r="C250" s="61">
        <v>3</v>
      </c>
      <c r="D250" s="61">
        <f>(31+31)/1.56</f>
        <v>39.743589743589745</v>
      </c>
      <c r="E250" s="54"/>
      <c r="F250" s="54"/>
      <c r="G250" s="54"/>
      <c r="H250" s="54"/>
      <c r="I250" s="56">
        <f t="shared" si="9"/>
        <v>7.9487179487179507</v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3">
        <v>45</v>
      </c>
      <c r="B251" s="53">
        <v>226.28205128205127</v>
      </c>
      <c r="C251" s="53"/>
      <c r="D251" s="53"/>
      <c r="E251" s="54"/>
      <c r="F251" s="54"/>
      <c r="G251" s="54"/>
      <c r="H251" s="54"/>
      <c r="I251" s="56">
        <f t="shared" si="9"/>
        <v>7.5641025641025639</v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3">
        <v>50</v>
      </c>
      <c r="B252" s="53">
        <v>261.53846153846155</v>
      </c>
      <c r="C252" s="53">
        <v>4</v>
      </c>
      <c r="D252" s="53">
        <v>36.53846153846154</v>
      </c>
      <c r="E252" s="54"/>
      <c r="F252" s="54"/>
      <c r="G252" s="54"/>
      <c r="H252" s="54"/>
      <c r="I252" s="56">
        <f t="shared" si="9"/>
        <v>7.0512820512820555</v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>
        <v>55</v>
      </c>
      <c r="B253" s="58">
        <v>258.33333333333331</v>
      </c>
      <c r="C253" s="58"/>
      <c r="D253" s="58"/>
      <c r="E253" s="64"/>
      <c r="F253" s="64"/>
      <c r="G253" s="64"/>
      <c r="H253" s="64"/>
      <c r="I253" s="56">
        <f t="shared" si="9"/>
        <v>6.6666666666666625</v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>
        <v>60</v>
      </c>
      <c r="B254" s="58">
        <v>289.10256410256409</v>
      </c>
      <c r="C254" s="58">
        <v>5</v>
      </c>
      <c r="D254" s="58">
        <v>35.256410256410255</v>
      </c>
      <c r="E254" s="64"/>
      <c r="F254" s="64"/>
      <c r="G254" s="64"/>
      <c r="H254" s="64"/>
      <c r="I254" s="56">
        <f t="shared" si="9"/>
        <v>6.1538461538461551</v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>
        <v>65</v>
      </c>
      <c r="B255" s="58">
        <v>282.69230769230768</v>
      </c>
      <c r="C255" s="58"/>
      <c r="D255" s="58"/>
      <c r="E255" s="64"/>
      <c r="F255" s="64"/>
      <c r="G255" s="64"/>
      <c r="H255" s="64"/>
      <c r="I255" s="56">
        <f t="shared" si="9"/>
        <v>5.7692307692307683</v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>
        <v>70</v>
      </c>
      <c r="B256" s="58">
        <v>308.97435897435895</v>
      </c>
      <c r="C256" s="58">
        <v>6</v>
      </c>
      <c r="D256" s="58">
        <v>31.410256410256409</v>
      </c>
      <c r="E256" s="65"/>
      <c r="F256" s="65"/>
      <c r="G256" s="65"/>
      <c r="H256" s="65"/>
      <c r="I256" s="56">
        <f t="shared" si="9"/>
        <v>5.2564102564102537</v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2">
        <v>75</v>
      </c>
      <c r="B257" s="61">
        <f>473/1.56</f>
        <v>303.20512820512818</v>
      </c>
      <c r="C257" s="92"/>
      <c r="D257" s="61"/>
      <c r="E257" s="57"/>
      <c r="F257" s="57"/>
      <c r="G257" s="57"/>
      <c r="H257" s="57"/>
      <c r="I257" s="56">
        <f t="shared" si="9"/>
        <v>5.1282051282051269</v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>
        <v>80</v>
      </c>
      <c r="B258" s="53">
        <v>326.92307692307691</v>
      </c>
      <c r="C258" s="53">
        <v>7</v>
      </c>
      <c r="D258" s="53">
        <v>28.846153846153847</v>
      </c>
      <c r="E258" s="57"/>
      <c r="F258" s="57"/>
      <c r="G258" s="57"/>
      <c r="H258" s="57"/>
      <c r="I258" s="56">
        <f t="shared" si="9"/>
        <v>4.7435897435897463</v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>
        <v>85</v>
      </c>
      <c r="B259" s="53">
        <v>320.5128205128205</v>
      </c>
      <c r="C259" s="53"/>
      <c r="D259" s="53"/>
      <c r="E259" s="57"/>
      <c r="F259" s="57"/>
      <c r="G259" s="57"/>
      <c r="H259" s="57"/>
      <c r="I259" s="56">
        <f t="shared" si="9"/>
        <v>4.4871794871794917</v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>
        <v>90</v>
      </c>
      <c r="B260" s="53">
        <v>342.30769230769232</v>
      </c>
      <c r="C260" s="53">
        <v>8</v>
      </c>
      <c r="D260" s="53">
        <v>27.564102564102562</v>
      </c>
      <c r="E260" s="57"/>
      <c r="F260" s="57"/>
      <c r="G260" s="57"/>
      <c r="H260" s="57"/>
      <c r="I260" s="56">
        <f t="shared" si="9"/>
        <v>4.3589743589743648</v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>
        <v>95</v>
      </c>
      <c r="B261" s="53">
        <v>335.25641025641022</v>
      </c>
      <c r="C261" s="53"/>
      <c r="D261" s="53"/>
      <c r="E261" s="57"/>
      <c r="F261" s="57"/>
      <c r="G261" s="57"/>
      <c r="H261" s="57"/>
      <c r="I261" s="56">
        <f t="shared" si="9"/>
        <v>4.102564102564088</v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>
        <v>100</v>
      </c>
      <c r="B262" s="53">
        <v>355.12820512820514</v>
      </c>
      <c r="C262" s="53">
        <v>9</v>
      </c>
      <c r="D262" s="53">
        <v>25</v>
      </c>
      <c r="E262" s="57"/>
      <c r="F262" s="57"/>
      <c r="G262" s="57"/>
      <c r="H262" s="57"/>
      <c r="I262" s="56">
        <f t="shared" si="9"/>
        <v>3.9743589743589838</v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>
        <v>110</v>
      </c>
      <c r="B263" s="53">
        <v>366.66666666666663</v>
      </c>
      <c r="C263" s="53">
        <v>10</v>
      </c>
      <c r="D263" s="53">
        <v>366.66666666666663</v>
      </c>
      <c r="E263" s="57"/>
      <c r="F263" s="57"/>
      <c r="G263" s="57"/>
      <c r="H263" s="57"/>
      <c r="I263" s="56">
        <f t="shared" si="9"/>
        <v>3.6538461538461489</v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>Bouleau verruqueux</v>
      </c>
      <c r="D266" s="257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3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89" t="s">
        <v>185</v>
      </c>
      <c r="C268" s="291" t="s">
        <v>186</v>
      </c>
      <c r="D268" s="291"/>
      <c r="E268" s="292" t="s">
        <v>187</v>
      </c>
      <c r="F268" s="293"/>
      <c r="G268" s="293"/>
      <c r="H268" s="294"/>
      <c r="I268" s="102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>
        <v>10</v>
      </c>
      <c r="B270" s="61">
        <v>9</v>
      </c>
      <c r="C270" s="61"/>
      <c r="D270" s="61"/>
      <c r="E270" s="54"/>
      <c r="F270" s="54"/>
      <c r="G270" s="54"/>
      <c r="H270" s="54"/>
      <c r="I270" s="56">
        <f>IFERROR(B270/A270,"")</f>
        <v>0.9</v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>
        <v>15</v>
      </c>
      <c r="B271" s="61">
        <v>49</v>
      </c>
      <c r="C271" s="61"/>
      <c r="D271" s="61"/>
      <c r="E271" s="54"/>
      <c r="F271" s="54"/>
      <c r="G271" s="54"/>
      <c r="H271" s="54"/>
      <c r="I271" s="56">
        <f>IF(A271&lt;&gt;0,(B271-(B270-D270))/(A271-A270),"")</f>
        <v>8</v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>
        <v>20</v>
      </c>
      <c r="B272" s="61">
        <v>99</v>
      </c>
      <c r="C272" s="61">
        <v>1</v>
      </c>
      <c r="D272" s="61">
        <v>40</v>
      </c>
      <c r="E272" s="54"/>
      <c r="F272" s="54"/>
      <c r="G272" s="54"/>
      <c r="H272" s="54">
        <v>1</v>
      </c>
      <c r="I272" s="56">
        <f t="shared" ref="I272:I289" si="10">IF(A272&lt;&gt;0,(B272-(B271-D271))/(A272-A271),"")</f>
        <v>10</v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>
        <v>25</v>
      </c>
      <c r="B273" s="61">
        <v>102</v>
      </c>
      <c r="C273" s="61"/>
      <c r="D273" s="61"/>
      <c r="E273" s="54"/>
      <c r="F273" s="54"/>
      <c r="G273" s="54"/>
      <c r="H273" s="54"/>
      <c r="I273" s="56">
        <f t="shared" si="10"/>
        <v>8.6</v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>
        <v>30</v>
      </c>
      <c r="B274" s="61">
        <v>146</v>
      </c>
      <c r="C274" s="61"/>
      <c r="D274" s="61"/>
      <c r="E274" s="54"/>
      <c r="F274" s="54"/>
      <c r="G274" s="54"/>
      <c r="H274" s="54"/>
      <c r="I274" s="56">
        <f t="shared" si="10"/>
        <v>8.8000000000000007</v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>
        <v>35</v>
      </c>
      <c r="B275" s="61">
        <v>190</v>
      </c>
      <c r="C275" s="61">
        <v>2</v>
      </c>
      <c r="D275" s="61">
        <v>76</v>
      </c>
      <c r="E275" s="54"/>
      <c r="F275" s="54"/>
      <c r="G275" s="54"/>
      <c r="H275" s="54"/>
      <c r="I275" s="56">
        <f t="shared" si="10"/>
        <v>8.8000000000000007</v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>
        <v>40</v>
      </c>
      <c r="B276" s="61">
        <v>152</v>
      </c>
      <c r="C276" s="61"/>
      <c r="D276" s="61"/>
      <c r="E276" s="54"/>
      <c r="F276" s="54"/>
      <c r="G276" s="54"/>
      <c r="H276" s="54"/>
      <c r="I276" s="56">
        <f t="shared" si="10"/>
        <v>7.6</v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281">
        <v>45</v>
      </c>
      <c r="B277" s="61">
        <v>190</v>
      </c>
      <c r="C277" s="61"/>
      <c r="D277" s="61"/>
      <c r="E277" s="54"/>
      <c r="F277" s="54"/>
      <c r="G277" s="54"/>
      <c r="H277" s="54"/>
      <c r="I277" s="56">
        <f t="shared" si="10"/>
        <v>7.6</v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281">
        <v>50</v>
      </c>
      <c r="B278" s="61">
        <v>228</v>
      </c>
      <c r="C278" s="61"/>
      <c r="D278" s="61"/>
      <c r="E278" s="54"/>
      <c r="F278" s="54"/>
      <c r="G278" s="54"/>
      <c r="H278" s="54"/>
      <c r="I278" s="56">
        <f t="shared" si="10"/>
        <v>7.6</v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281">
        <v>55</v>
      </c>
      <c r="B279" s="61">
        <v>266</v>
      </c>
      <c r="C279" s="61"/>
      <c r="D279" s="61"/>
      <c r="E279" s="54"/>
      <c r="F279" s="54"/>
      <c r="G279" s="54"/>
      <c r="H279" s="54"/>
      <c r="I279" s="56">
        <f t="shared" si="10"/>
        <v>7.6</v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281">
        <v>60</v>
      </c>
      <c r="B280" s="61">
        <v>303</v>
      </c>
      <c r="C280" s="61">
        <v>3</v>
      </c>
      <c r="D280" s="61">
        <f>B280</f>
        <v>303</v>
      </c>
      <c r="E280" s="54"/>
      <c r="F280" s="54"/>
      <c r="G280" s="54"/>
      <c r="H280" s="54"/>
      <c r="I280" s="56">
        <f t="shared" si="10"/>
        <v>7.4</v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281"/>
      <c r="B281" s="61"/>
      <c r="C281" s="61"/>
      <c r="D281" s="61"/>
      <c r="E281" s="54"/>
      <c r="F281" s="54"/>
      <c r="G281" s="54"/>
      <c r="H281" s="54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281"/>
      <c r="B282" s="61"/>
      <c r="C282" s="61"/>
      <c r="D282" s="61"/>
      <c r="E282" s="54"/>
      <c r="F282" s="54"/>
      <c r="G282" s="54"/>
      <c r="H282" s="54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281"/>
      <c r="B283" s="61"/>
      <c r="C283" s="61"/>
      <c r="D283" s="61"/>
      <c r="E283" s="54"/>
      <c r="F283" s="54"/>
      <c r="G283" s="54"/>
      <c r="H283" s="54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281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281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281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281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281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281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4"/>
      <c r="K1" s="104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6" t="s">
        <v>191</v>
      </c>
      <c r="C2" s="307"/>
      <c r="D2" s="307"/>
      <c r="E2" s="307"/>
      <c r="F2" s="307"/>
      <c r="G2" s="308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5"/>
      <c r="C4" s="305"/>
      <c r="D4" s="305"/>
      <c r="E4" s="305"/>
      <c r="F4" s="305"/>
      <c r="G4" s="305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5" t="s">
        <v>296</v>
      </c>
      <c r="C5" s="105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5"/>
      <c r="C6" s="235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6"/>
      <c r="B7" s="29" t="s">
        <v>295</v>
      </c>
      <c r="C7" s="107" t="s">
        <v>214</v>
      </c>
      <c r="D7" s="233"/>
      <c r="E7" s="108"/>
      <c r="F7" s="29" t="s">
        <v>295</v>
      </c>
      <c r="G7" s="107" t="s">
        <v>215</v>
      </c>
      <c r="H7" s="234"/>
      <c r="I7" s="234"/>
      <c r="J7" s="234"/>
      <c r="K7" s="234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</row>
    <row r="8" spans="1:38" ht="17.25" customHeight="1" x14ac:dyDescent="0.25">
      <c r="A8" s="112">
        <v>1</v>
      </c>
      <c r="B8" s="62">
        <v>1</v>
      </c>
      <c r="C8" s="52" t="s">
        <v>177</v>
      </c>
      <c r="D8" s="25"/>
      <c r="E8" s="112">
        <v>4</v>
      </c>
      <c r="F8" s="62">
        <v>0</v>
      </c>
      <c r="G8" s="109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2">
        <v>2</v>
      </c>
      <c r="B9" s="62">
        <v>0</v>
      </c>
      <c r="C9" s="115" t="s">
        <v>216</v>
      </c>
      <c r="D9" s="25"/>
      <c r="E9" s="112">
        <v>5</v>
      </c>
      <c r="F9" s="62">
        <v>0</v>
      </c>
      <c r="G9" s="110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2">
        <v>3</v>
      </c>
      <c r="B10" s="62">
        <v>0</v>
      </c>
      <c r="C10" s="116" t="s">
        <v>217</v>
      </c>
      <c r="D10" s="25"/>
      <c r="E10" s="5"/>
      <c r="F10" s="113">
        <f>SUM(F7:F9)</f>
        <v>0</v>
      </c>
      <c r="G10" s="111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3">
        <v>0</v>
      </c>
      <c r="C11" s="111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4"/>
      <c r="B13" s="114"/>
      <c r="C13" s="105" t="s">
        <v>273</v>
      </c>
      <c r="D13" s="234"/>
      <c r="E13" s="106"/>
      <c r="F13" s="114"/>
      <c r="G13" s="105" t="s">
        <v>301</v>
      </c>
      <c r="H13" s="234"/>
      <c r="I13" s="234"/>
      <c r="J13" s="234"/>
      <c r="K13" s="234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</row>
    <row r="14" spans="1:38" s="4" customFormat="1" ht="21" customHeight="1" x14ac:dyDescent="0.25">
      <c r="A14" s="234"/>
      <c r="B14" s="114"/>
      <c r="C14" s="105" t="s">
        <v>309</v>
      </c>
      <c r="D14" s="234"/>
      <c r="E14" s="106"/>
      <c r="F14" s="114"/>
      <c r="G14" s="105" t="s">
        <v>294</v>
      </c>
      <c r="H14" s="234"/>
      <c r="I14" s="234"/>
      <c r="J14" s="234"/>
      <c r="K14" s="234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2">
        <v>1</v>
      </c>
      <c r="C16" s="117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2">
        <v>0</v>
      </c>
      <c r="C17" s="117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2">
        <v>0</v>
      </c>
      <c r="C18" s="117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3">
        <f>SUM(B16:B18)</f>
        <v>1</v>
      </c>
      <c r="C19" s="111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7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7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69" bestFit="1" customWidth="1"/>
    <col min="2" max="4" width="11.42578125" style="69"/>
    <col min="5" max="5" width="9.5703125" style="69" customWidth="1"/>
    <col min="6" max="7" width="11.42578125" style="69"/>
    <col min="8" max="8" width="10.7109375" style="69" customWidth="1"/>
    <col min="9" max="9" width="9.42578125" style="69" customWidth="1"/>
    <col min="10" max="11" width="10.5703125" style="69" bestFit="1" customWidth="1"/>
    <col min="12" max="12" width="14" style="69" bestFit="1" customWidth="1"/>
    <col min="13" max="13" width="14" style="69" customWidth="1"/>
    <col min="14" max="23" width="11.42578125" style="69"/>
    <col min="24" max="24" width="11.7109375" style="69" bestFit="1" customWidth="1"/>
    <col min="25" max="25" width="14.5703125" style="69" bestFit="1" customWidth="1"/>
    <col min="26" max="26" width="12.42578125" style="69" bestFit="1" customWidth="1"/>
    <col min="27" max="27" width="9.7109375" style="69" bestFit="1" customWidth="1"/>
    <col min="28" max="28" width="11" style="69" bestFit="1" customWidth="1"/>
    <col min="29" max="29" width="9.42578125" style="69" bestFit="1" customWidth="1"/>
    <col min="30" max="31" width="9.42578125" style="69" customWidth="1"/>
    <col min="32" max="32" width="11.42578125" style="69"/>
    <col min="33" max="34" width="14" style="69" bestFit="1" customWidth="1"/>
    <col min="35" max="35" width="10.5703125" style="69" bestFit="1" customWidth="1"/>
    <col min="36" max="36" width="9.42578125" style="69" bestFit="1" customWidth="1"/>
    <col min="37" max="38" width="10.5703125" style="69" bestFit="1" customWidth="1"/>
    <col min="39" max="41" width="10.5703125" style="69" customWidth="1"/>
    <col min="42" max="42" width="9" style="69" bestFit="1" customWidth="1"/>
    <col min="43" max="43" width="10.5703125" style="69" bestFit="1" customWidth="1"/>
    <col min="44" max="44" width="9.28515625" style="69" bestFit="1" customWidth="1"/>
    <col min="45" max="45" width="11.7109375" style="69" bestFit="1" customWidth="1"/>
    <col min="46" max="46" width="8.42578125" style="69" bestFit="1" customWidth="1"/>
    <col min="47" max="47" width="9.42578125" style="69" bestFit="1" customWidth="1"/>
    <col min="48" max="48" width="9.7109375" style="69" bestFit="1" customWidth="1"/>
    <col min="49" max="49" width="11" style="69" bestFit="1" customWidth="1"/>
    <col min="50" max="50" width="9.42578125" style="69" bestFit="1" customWidth="1"/>
    <col min="51" max="52" width="9.42578125" style="69" customWidth="1"/>
    <col min="53" max="53" width="10.5703125" style="69" bestFit="1" customWidth="1"/>
    <col min="54" max="54" width="14.28515625" style="69" customWidth="1"/>
    <col min="55" max="55" width="14" style="69" customWidth="1"/>
    <col min="56" max="56" width="10.5703125" style="69" bestFit="1" customWidth="1"/>
    <col min="57" max="57" width="9.42578125" style="69" bestFit="1" customWidth="1"/>
    <col min="58" max="59" width="10.5703125" style="69" bestFit="1" customWidth="1"/>
    <col min="60" max="62" width="10.5703125" style="69" customWidth="1"/>
    <col min="63" max="63" width="9" style="69" bestFit="1" customWidth="1"/>
    <col min="64" max="64" width="10.5703125" style="69" bestFit="1" customWidth="1"/>
    <col min="65" max="65" width="9.28515625" style="69" bestFit="1" customWidth="1"/>
    <col min="66" max="66" width="11.7109375" style="69" bestFit="1" customWidth="1"/>
    <col min="67" max="67" width="8.42578125" style="69" bestFit="1" customWidth="1"/>
    <col min="68" max="68" width="9.42578125" style="69" bestFit="1" customWidth="1"/>
    <col min="69" max="69" width="9.7109375" style="69" bestFit="1" customWidth="1"/>
    <col min="70" max="70" width="11" style="69" bestFit="1" customWidth="1"/>
    <col min="71" max="71" width="9.42578125" style="69" bestFit="1" customWidth="1"/>
    <col min="72" max="73" width="9.42578125" style="69" customWidth="1"/>
    <col min="74" max="74" width="10.5703125" style="69" bestFit="1" customWidth="1"/>
    <col min="75" max="75" width="14" style="69" bestFit="1" customWidth="1"/>
    <col min="76" max="76" width="13.85546875" style="69" customWidth="1"/>
    <col min="77" max="77" width="10.5703125" style="69" bestFit="1" customWidth="1"/>
    <col min="78" max="78" width="9.42578125" style="69" bestFit="1" customWidth="1"/>
    <col min="79" max="80" width="10.5703125" style="69" bestFit="1" customWidth="1"/>
    <col min="81" max="83" width="10.5703125" style="69" customWidth="1"/>
    <col min="84" max="84" width="11.42578125" style="69"/>
    <col min="85" max="85" width="10.5703125" style="69" bestFit="1" customWidth="1"/>
    <col min="86" max="86" width="9.28515625" style="69" bestFit="1" customWidth="1"/>
    <col min="87" max="87" width="11.7109375" style="69" bestFit="1" customWidth="1"/>
    <col min="88" max="88" width="8.42578125" style="69" bestFit="1" customWidth="1"/>
    <col min="89" max="89" width="9.42578125" style="69" bestFit="1" customWidth="1"/>
    <col min="90" max="90" width="9.7109375" style="69" bestFit="1" customWidth="1"/>
    <col min="91" max="91" width="11" style="69" bestFit="1" customWidth="1"/>
    <col min="92" max="92" width="9.42578125" style="69" bestFit="1" customWidth="1"/>
    <col min="93" max="94" width="9.42578125" style="69" customWidth="1"/>
    <col min="95" max="95" width="11.42578125" style="69"/>
    <col min="96" max="97" width="14" style="69" customWidth="1"/>
    <col min="98" max="98" width="10.5703125" style="69" bestFit="1" customWidth="1"/>
    <col min="99" max="99" width="9.42578125" style="69" bestFit="1" customWidth="1"/>
    <col min="100" max="101" width="10.5703125" style="69" bestFit="1" customWidth="1"/>
    <col min="102" max="104" width="10.5703125" style="69" customWidth="1"/>
    <col min="105" max="105" width="9" style="69" bestFit="1" customWidth="1"/>
    <col min="106" max="106" width="10.5703125" style="69" bestFit="1" customWidth="1"/>
    <col min="107" max="107" width="9.28515625" style="69" bestFit="1" customWidth="1"/>
    <col min="108" max="108" width="11.7109375" style="69" bestFit="1" customWidth="1"/>
    <col min="109" max="109" width="8.42578125" style="69" bestFit="1" customWidth="1"/>
    <col min="110" max="110" width="9.42578125" style="69" bestFit="1" customWidth="1"/>
    <col min="111" max="111" width="9.7109375" style="69" bestFit="1" customWidth="1"/>
    <col min="112" max="112" width="11" style="69" bestFit="1" customWidth="1"/>
    <col min="113" max="113" width="9.42578125" style="69" bestFit="1" customWidth="1"/>
    <col min="114" max="115" width="9.42578125" style="69" customWidth="1"/>
    <col min="116" max="116" width="10.5703125" style="69" bestFit="1" customWidth="1"/>
    <col min="117" max="117" width="14.28515625" style="69" customWidth="1"/>
    <col min="118" max="118" width="14" style="69" bestFit="1" customWidth="1"/>
    <col min="119" max="119" width="10.5703125" style="69" bestFit="1" customWidth="1"/>
    <col min="120" max="120" width="9.42578125" style="69" bestFit="1" customWidth="1"/>
    <col min="121" max="122" width="10.5703125" style="69" bestFit="1" customWidth="1"/>
    <col min="123" max="125" width="10.5703125" style="69" customWidth="1"/>
    <col min="126" max="126" width="9" style="69" bestFit="1" customWidth="1"/>
    <col min="127" max="127" width="10.5703125" style="69" bestFit="1" customWidth="1"/>
    <col min="128" max="128" width="9.28515625" style="69" bestFit="1" customWidth="1"/>
    <col min="129" max="129" width="11.7109375" style="69" bestFit="1" customWidth="1"/>
    <col min="130" max="130" width="8.42578125" style="69" bestFit="1" customWidth="1"/>
    <col min="131" max="131" width="9.42578125" style="69" bestFit="1" customWidth="1"/>
    <col min="132" max="132" width="9.7109375" style="69" bestFit="1" customWidth="1"/>
    <col min="133" max="133" width="11" style="69" bestFit="1" customWidth="1"/>
    <col min="134" max="134" width="9.42578125" style="69" bestFit="1" customWidth="1"/>
    <col min="135" max="136" width="9.42578125" style="69" customWidth="1"/>
    <col min="137" max="137" width="10.5703125" style="69" bestFit="1" customWidth="1"/>
    <col min="138" max="139" width="14" style="69" customWidth="1"/>
    <col min="140" max="140" width="10.5703125" style="69" bestFit="1" customWidth="1"/>
    <col min="141" max="141" width="9.42578125" style="69" bestFit="1" customWidth="1"/>
    <col min="142" max="143" width="10.5703125" style="69" bestFit="1" customWidth="1"/>
    <col min="144" max="146" width="10.5703125" style="69" customWidth="1"/>
    <col min="147" max="147" width="9" style="69" bestFit="1" customWidth="1"/>
    <col min="148" max="148" width="10.5703125" style="69" bestFit="1" customWidth="1"/>
    <col min="149" max="149" width="9.28515625" style="69" bestFit="1" customWidth="1"/>
    <col min="150" max="150" width="11.7109375" style="69" bestFit="1" customWidth="1"/>
    <col min="151" max="151" width="8.42578125" style="69" bestFit="1" customWidth="1"/>
    <col min="152" max="152" width="9.42578125" style="69" bestFit="1" customWidth="1"/>
    <col min="153" max="153" width="9.7109375" style="69" bestFit="1" customWidth="1"/>
    <col min="154" max="154" width="11" style="69" bestFit="1" customWidth="1"/>
    <col min="155" max="155" width="9.42578125" style="69" bestFit="1" customWidth="1"/>
    <col min="156" max="157" width="9.42578125" style="69" customWidth="1"/>
    <col min="158" max="158" width="11.42578125" style="69"/>
    <col min="159" max="160" width="14" style="69" bestFit="1" customWidth="1"/>
    <col min="161" max="161" width="10.5703125" style="69" bestFit="1" customWidth="1"/>
    <col min="162" max="162" width="9.42578125" style="69" bestFit="1" customWidth="1"/>
    <col min="163" max="164" width="10.5703125" style="69" bestFit="1" customWidth="1"/>
    <col min="165" max="167" width="10.5703125" style="69" customWidth="1"/>
    <col min="168" max="168" width="9" style="69" bestFit="1" customWidth="1"/>
    <col min="169" max="169" width="10.5703125" style="69" bestFit="1" customWidth="1"/>
    <col min="170" max="170" width="9.28515625" style="69" bestFit="1" customWidth="1"/>
    <col min="171" max="171" width="11.7109375" style="69" bestFit="1" customWidth="1"/>
    <col min="172" max="172" width="8.140625" style="69" bestFit="1" customWidth="1"/>
    <col min="173" max="173" width="9.42578125" style="69" bestFit="1" customWidth="1"/>
    <col min="174" max="174" width="9.7109375" style="69" bestFit="1" customWidth="1"/>
    <col min="175" max="175" width="11" style="69" bestFit="1" customWidth="1"/>
    <col min="176" max="176" width="9.42578125" style="69" bestFit="1" customWidth="1"/>
    <col min="177" max="178" width="9.42578125" style="69" customWidth="1"/>
    <col min="179" max="179" width="10.5703125" style="69" bestFit="1" customWidth="1"/>
    <col min="180" max="181" width="14" style="69" bestFit="1" customWidth="1"/>
    <col min="182" max="182" width="10.5703125" style="69" bestFit="1" customWidth="1"/>
    <col min="183" max="183" width="9.42578125" style="69" bestFit="1" customWidth="1"/>
    <col min="184" max="185" width="10.5703125" style="69" bestFit="1" customWidth="1"/>
    <col min="186" max="188" width="10.5703125" style="69" customWidth="1"/>
    <col min="189" max="189" width="9" style="69" bestFit="1" customWidth="1"/>
    <col min="190" max="190" width="10.5703125" style="69" bestFit="1" customWidth="1"/>
    <col min="191" max="191" width="9.28515625" style="69" bestFit="1" customWidth="1"/>
    <col min="192" max="192" width="11.42578125" style="69"/>
    <col min="193" max="193" width="8.42578125" style="69" bestFit="1" customWidth="1"/>
    <col min="194" max="194" width="9.42578125" style="69" bestFit="1" customWidth="1"/>
    <col min="195" max="195" width="9.7109375" style="69" bestFit="1" customWidth="1"/>
    <col min="196" max="196" width="11" style="69" bestFit="1" customWidth="1"/>
    <col min="197" max="197" width="9.42578125" style="69" bestFit="1" customWidth="1"/>
    <col min="198" max="199" width="9.42578125" style="69" customWidth="1"/>
    <col min="200" max="200" width="10.5703125" style="69" bestFit="1" customWidth="1"/>
    <col min="201" max="201" width="14" style="69" customWidth="1"/>
    <col min="202" max="202" width="14.28515625" style="69" customWidth="1"/>
    <col min="203" max="203" width="10.5703125" style="69" bestFit="1" customWidth="1"/>
    <col min="204" max="204" width="9.42578125" style="69" bestFit="1" customWidth="1"/>
    <col min="205" max="206" width="10.5703125" style="69" bestFit="1" customWidth="1"/>
    <col min="207" max="209" width="10.5703125" style="69" customWidth="1"/>
    <col min="210" max="210" width="9" style="69" bestFit="1" customWidth="1"/>
    <col min="211" max="211" width="10.5703125" style="69" bestFit="1" customWidth="1"/>
    <col min="212" max="212" width="9.28515625" style="69" bestFit="1" customWidth="1"/>
    <col min="213" max="213" width="11.7109375" style="69" bestFit="1" customWidth="1"/>
    <col min="214" max="214" width="8.42578125" style="69" bestFit="1" customWidth="1"/>
    <col min="215" max="215" width="9.42578125" style="69" bestFit="1" customWidth="1"/>
    <col min="216" max="216" width="9.7109375" style="69" bestFit="1" customWidth="1"/>
    <col min="217" max="217" width="11" style="69" bestFit="1" customWidth="1"/>
    <col min="218" max="218" width="9.42578125" style="69" bestFit="1" customWidth="1"/>
    <col min="219" max="16384" width="11.42578125" style="69"/>
  </cols>
  <sheetData>
    <row r="1" spans="1:218" s="5" customFormat="1" ht="27" thickBot="1" x14ac:dyDescent="0.45">
      <c r="B1" s="312" t="s">
        <v>176</v>
      </c>
      <c r="C1" s="313"/>
      <c r="D1" s="313"/>
      <c r="E1" s="313"/>
      <c r="F1" s="313"/>
      <c r="G1" s="313"/>
      <c r="H1" s="314"/>
      <c r="I1" s="309" t="str">
        <f>IF('Données projet'!$B$9="","",'Données projet'!$B$9)</f>
        <v>Chêne sessile</v>
      </c>
      <c r="J1" s="310"/>
      <c r="K1" s="310"/>
      <c r="L1" s="310"/>
      <c r="M1" s="310"/>
      <c r="N1" s="310"/>
      <c r="O1" s="310"/>
      <c r="P1" s="310"/>
      <c r="Q1" s="310"/>
      <c r="R1" s="310"/>
      <c r="S1" s="310"/>
      <c r="T1" s="310"/>
      <c r="U1" s="310"/>
      <c r="V1" s="310"/>
      <c r="W1" s="310"/>
      <c r="X1" s="310"/>
      <c r="Y1" s="310"/>
      <c r="Z1" s="310"/>
      <c r="AA1" s="310"/>
      <c r="AB1" s="310"/>
      <c r="AC1" s="311"/>
      <c r="AD1" s="310" t="str">
        <f>IF('Données projet'!$B$10="","",'Données projet'!$B$10)</f>
        <v>Erable plane</v>
      </c>
      <c r="AE1" s="310"/>
      <c r="AF1" s="310"/>
      <c r="AG1" s="310"/>
      <c r="AH1" s="310"/>
      <c r="AI1" s="310"/>
      <c r="AJ1" s="310"/>
      <c r="AK1" s="310"/>
      <c r="AL1" s="310"/>
      <c r="AM1" s="310"/>
      <c r="AN1" s="310"/>
      <c r="AO1" s="310"/>
      <c r="AP1" s="310"/>
      <c r="AQ1" s="310"/>
      <c r="AR1" s="310"/>
      <c r="AS1" s="310"/>
      <c r="AT1" s="310"/>
      <c r="AU1" s="310"/>
      <c r="AV1" s="310"/>
      <c r="AW1" s="310"/>
      <c r="AX1" s="311"/>
      <c r="AY1" s="309" t="str">
        <f>IF('Données projet'!$B$11="","",'Données projet'!$B$11)</f>
        <v>Erable champêtre</v>
      </c>
      <c r="AZ1" s="310"/>
      <c r="BA1" s="310"/>
      <c r="BB1" s="310"/>
      <c r="BC1" s="310"/>
      <c r="BD1" s="310"/>
      <c r="BE1" s="310"/>
      <c r="BF1" s="310"/>
      <c r="BG1" s="310"/>
      <c r="BH1" s="310"/>
      <c r="BI1" s="310"/>
      <c r="BJ1" s="310"/>
      <c r="BK1" s="310"/>
      <c r="BL1" s="310"/>
      <c r="BM1" s="310"/>
      <c r="BN1" s="310"/>
      <c r="BO1" s="310"/>
      <c r="BP1" s="310"/>
      <c r="BQ1" s="310"/>
      <c r="BR1" s="310"/>
      <c r="BS1" s="311"/>
      <c r="BT1" s="309" t="str">
        <f>IF('Données projet'!$B$12="","",'Données projet'!$B$12)</f>
        <v>Charme</v>
      </c>
      <c r="BU1" s="310"/>
      <c r="BV1" s="310"/>
      <c r="BW1" s="310"/>
      <c r="BX1" s="310"/>
      <c r="BY1" s="310"/>
      <c r="BZ1" s="310"/>
      <c r="CA1" s="310"/>
      <c r="CB1" s="310"/>
      <c r="CC1" s="310"/>
      <c r="CD1" s="310"/>
      <c r="CE1" s="310"/>
      <c r="CF1" s="310"/>
      <c r="CG1" s="310"/>
      <c r="CH1" s="310"/>
      <c r="CI1" s="310"/>
      <c r="CJ1" s="310"/>
      <c r="CK1" s="310"/>
      <c r="CL1" s="310"/>
      <c r="CM1" s="310"/>
      <c r="CN1" s="311"/>
      <c r="CO1" s="309" t="str">
        <f>IF('Données projet'!$B$13="","",'Données projet'!$B$13)</f>
        <v>Châtaignier</v>
      </c>
      <c r="CP1" s="310"/>
      <c r="CQ1" s="310"/>
      <c r="CR1" s="310"/>
      <c r="CS1" s="310"/>
      <c r="CT1" s="310"/>
      <c r="CU1" s="310"/>
      <c r="CV1" s="310"/>
      <c r="CW1" s="310"/>
      <c r="CX1" s="310"/>
      <c r="CY1" s="310"/>
      <c r="CZ1" s="310"/>
      <c r="DA1" s="310"/>
      <c r="DB1" s="310"/>
      <c r="DC1" s="310"/>
      <c r="DD1" s="310"/>
      <c r="DE1" s="310"/>
      <c r="DF1" s="310"/>
      <c r="DG1" s="310"/>
      <c r="DH1" s="310"/>
      <c r="DI1" s="311"/>
      <c r="DJ1" s="309" t="str">
        <f>IF('Données projet'!$B$14="","",'Données projet'!$B$14)</f>
        <v>Merisier</v>
      </c>
      <c r="DK1" s="310"/>
      <c r="DL1" s="310"/>
      <c r="DM1" s="310"/>
      <c r="DN1" s="310"/>
      <c r="DO1" s="310"/>
      <c r="DP1" s="310"/>
      <c r="DQ1" s="310"/>
      <c r="DR1" s="310"/>
      <c r="DS1" s="310"/>
      <c r="DT1" s="310"/>
      <c r="DU1" s="310"/>
      <c r="DV1" s="310"/>
      <c r="DW1" s="310"/>
      <c r="DX1" s="310"/>
      <c r="DY1" s="310"/>
      <c r="DZ1" s="310"/>
      <c r="EA1" s="310"/>
      <c r="EB1" s="310"/>
      <c r="EC1" s="310"/>
      <c r="ED1" s="311"/>
      <c r="EE1" s="309" t="str">
        <f>IF('Données projet'!$B$15="","",'Données projet'!$B$15)</f>
        <v>Hêtre</v>
      </c>
      <c r="EF1" s="310"/>
      <c r="EG1" s="310"/>
      <c r="EH1" s="310"/>
      <c r="EI1" s="310"/>
      <c r="EJ1" s="310"/>
      <c r="EK1" s="310"/>
      <c r="EL1" s="310"/>
      <c r="EM1" s="310"/>
      <c r="EN1" s="310"/>
      <c r="EO1" s="310"/>
      <c r="EP1" s="310"/>
      <c r="EQ1" s="310"/>
      <c r="ER1" s="310"/>
      <c r="ES1" s="310"/>
      <c r="ET1" s="310"/>
      <c r="EU1" s="310"/>
      <c r="EV1" s="310"/>
      <c r="EW1" s="310"/>
      <c r="EX1" s="310"/>
      <c r="EY1" s="311"/>
      <c r="EZ1" s="309" t="str">
        <f>IF('Données projet'!$B$16="","",'Données projet'!$B$16)</f>
        <v>Alisier torminal</v>
      </c>
      <c r="FA1" s="310"/>
      <c r="FB1" s="310"/>
      <c r="FC1" s="310"/>
      <c r="FD1" s="310"/>
      <c r="FE1" s="310"/>
      <c r="FF1" s="310"/>
      <c r="FG1" s="310"/>
      <c r="FH1" s="310"/>
      <c r="FI1" s="310"/>
      <c r="FJ1" s="310"/>
      <c r="FK1" s="310"/>
      <c r="FL1" s="310"/>
      <c r="FM1" s="310"/>
      <c r="FN1" s="310"/>
      <c r="FO1" s="310"/>
      <c r="FP1" s="310"/>
      <c r="FQ1" s="310"/>
      <c r="FR1" s="310"/>
      <c r="FS1" s="310"/>
      <c r="FT1" s="311"/>
      <c r="FU1" s="309" t="str">
        <f>IF('Données projet'!$B$17="","",'Données projet'!$B$17)</f>
        <v>Tilleul</v>
      </c>
      <c r="FV1" s="310"/>
      <c r="FW1" s="310"/>
      <c r="FX1" s="310"/>
      <c r="FY1" s="310"/>
      <c r="FZ1" s="310"/>
      <c r="GA1" s="310"/>
      <c r="GB1" s="310"/>
      <c r="GC1" s="310"/>
      <c r="GD1" s="310"/>
      <c r="GE1" s="310"/>
      <c r="GF1" s="310"/>
      <c r="GG1" s="310"/>
      <c r="GH1" s="310"/>
      <c r="GI1" s="310"/>
      <c r="GJ1" s="310"/>
      <c r="GK1" s="310"/>
      <c r="GL1" s="310"/>
      <c r="GM1" s="310"/>
      <c r="GN1" s="310"/>
      <c r="GO1" s="311"/>
      <c r="GP1" s="309" t="str">
        <f>IF('Données projet'!$B$18="","",'Données projet'!$B$18)</f>
        <v>Bouleau verruqueux</v>
      </c>
      <c r="GQ1" s="310"/>
      <c r="GR1" s="310"/>
      <c r="GS1" s="310"/>
      <c r="GT1" s="310"/>
      <c r="GU1" s="310"/>
      <c r="GV1" s="310"/>
      <c r="GW1" s="310"/>
      <c r="GX1" s="310"/>
      <c r="GY1" s="310"/>
      <c r="GZ1" s="310"/>
      <c r="HA1" s="310"/>
      <c r="HB1" s="310"/>
      <c r="HC1" s="310"/>
      <c r="HD1" s="310"/>
      <c r="HE1" s="310"/>
      <c r="HF1" s="310"/>
      <c r="HG1" s="310"/>
      <c r="HH1" s="310"/>
      <c r="HI1" s="310"/>
      <c r="HJ1" s="311"/>
    </row>
    <row r="2" spans="1:218" s="5" customFormat="1" ht="75.75" thickBot="1" x14ac:dyDescent="0.3">
      <c r="A2" s="73" t="s">
        <v>178</v>
      </c>
      <c r="B2" s="74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7" t="s">
        <v>299</v>
      </c>
      <c r="I2" s="70" t="s">
        <v>298</v>
      </c>
      <c r="J2" s="71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1" t="s">
        <v>298</v>
      </c>
      <c r="AE2" s="71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0" t="s">
        <v>298</v>
      </c>
      <c r="AZ2" s="71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0" t="s">
        <v>298</v>
      </c>
      <c r="BU2" s="71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0" t="s">
        <v>298</v>
      </c>
      <c r="CP2" s="71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0" t="s">
        <v>298</v>
      </c>
      <c r="DK2" s="71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0" t="s">
        <v>298</v>
      </c>
      <c r="EF2" s="71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0" t="s">
        <v>298</v>
      </c>
      <c r="FA2" s="71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0" t="s">
        <v>298</v>
      </c>
      <c r="FV2" s="71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0" t="s">
        <v>298</v>
      </c>
      <c r="GQ2" s="71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5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8">
        <f>(B3+E3+F3)*44/12+(C3+D3)*0.475*44/12</f>
        <v>183.33333333333334</v>
      </c>
      <c r="I3" s="7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0">
        <f t="shared" ref="R3:R66" si="0">Q3+(I3+J3)*44/12</f>
        <v>165</v>
      </c>
      <c r="S3" s="60">
        <f ca="1">AVERAGE(OFFSET($R$3,0,0,'Données projet'!$E$9+1,1))-AVERAGE(OFFSET($H$3,0,0,'Données projet'!$E$9+1,1))</f>
        <v>570.08763950759544</v>
      </c>
      <c r="T3" s="60">
        <f>IF('Données projet'!E9&gt;30,$R$33-$H$33,LOOKUP('Données projet'!$E$9,$A$3:$A$203,R3:R203)-LOOKUP('Données projet'!$E$9,$A$3:$A$203,$H$3:$H$203))</f>
        <v>297.32483725004136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0">
        <f>AL3+(AD3+AE3)*44/12</f>
        <v>165</v>
      </c>
      <c r="AN3" s="60">
        <f ca="1">AVERAGE(OFFSET($AM$3,0,0,'Données projet'!$E$10+1,1))-AVERAGE(OFFSET($H$3,0,0,'Données projet'!$E$10+1,1))</f>
        <v>394.49874384716014</v>
      </c>
      <c r="AO3" s="60">
        <f>IF('Données projet'!E10&gt;30,$AM$33-$H$33,LOOKUP('Données projet'!$E$10,$A$3:$A$203,AM3:AM203)-LOOKUP('Données projet'!$E$10,$A$3:$A$203,$H$3:$H$203))</f>
        <v>423.72519584013378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0">
        <f>BG3+(AY3+AZ3)*44/12</f>
        <v>165</v>
      </c>
      <c r="BI3" s="60">
        <f ca="1">AVERAGE(OFFSET($BH$3,0,0,'Données projet'!$E$11+1,1))-AVERAGE(OFFSET($H$3,0,0,'Données projet'!$E$11+1,1))</f>
        <v>363.28611056308665</v>
      </c>
      <c r="BJ3" s="60">
        <f>IF('Données projet'!E11&gt;30,$BH$33-$H$33,LOOKUP('Données projet'!$E$11,$A$3:$A$203,BH3:BH203)-LOOKUP('Données projet'!$E$11,$A$3:$A$203,$H$3:$H$203))</f>
        <v>389.43647559455974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0">
        <f>CB3+(BT3+BU3)*44/12</f>
        <v>165</v>
      </c>
      <c r="CD3" s="60">
        <f ca="1">AVERAGE(OFFSET($CC$3,0,0,'Données projet'!$E$12+1,1))-AVERAGE(OFFSET($H$3,0,0,'Données projet'!$E$12+1,1))</f>
        <v>441.15969139782891</v>
      </c>
      <c r="CE3" s="60">
        <f>IF('Données projet'!E12&gt;30,$CC$33-$H$33,LOOKUP('Données projet'!$E$12,$A$3:$A$203,CC3:CC203)-LOOKUP('Données projet'!$E$12,$A$3:$A$203,$H$3:$H$203))</f>
        <v>315.06466790224783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0">
        <f>CW3+(CO3+CP3)*44/12</f>
        <v>165</v>
      </c>
      <c r="CY3" s="60">
        <f ca="1">AVERAGE(OFFSET($CX$3,0,0,'Données projet'!$E$13+1,1))-AVERAGE(OFFSET($H$3,0,0,'Données projet'!$E$13+1,1))</f>
        <v>368.35775920359396</v>
      </c>
      <c r="CZ3" s="60">
        <f>IF('Données projet'!E13&gt;30,$CX$33-$H$33,LOOKUP('Données projet'!$E$13,$A$3:$A$203,CX3:CX203)-LOOKUP('Données projet'!$E$13,$A$3:$A$203,$H$3:$H$203))</f>
        <v>395.5218438652638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0">
        <f>DR3+(DJ3+DK3)*44/12</f>
        <v>165</v>
      </c>
      <c r="DT3" s="60">
        <f ca="1">AVERAGE(OFFSET($DS$3,0,0,'Données projet'!$E$14+1,1))-AVERAGE(OFFSET($H$3,0,0,'Données projet'!$E$14+1,1))</f>
        <v>312.59632808777332</v>
      </c>
      <c r="DU3" s="60">
        <f>IF('Données projet'!E14&gt;30,$DS$33-$H$33,LOOKUP('Données projet'!$E$14,$A$3:$A$203,DS3:DS203)-LOOKUP('Données projet'!$E$14,$A$3:$A$203,$H$3:$H$203))</f>
        <v>302.59481222418219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0">
        <f>EM3+(EE3+EF3)*44/12</f>
        <v>165</v>
      </c>
      <c r="EO3" s="60">
        <f ca="1">AVERAGE(OFFSET($EN$3,0,0,'Données projet'!$E$15+1,1))-AVERAGE(OFFSET($H$3,0,0,'Données projet'!$E$15+1,1))</f>
        <v>478.11504516179713</v>
      </c>
      <c r="EP3" s="60">
        <f>IF('Données projet'!E15&gt;30,$EN$33-$H$33,LOOKUP('Données projet'!$E$15,$A$3:$A$203,EN3:EN203)-LOOKUP('Données projet'!$E$15,$A$3:$A$203,$H$3:$H$203))</f>
        <v>249.93713224442419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>
        <f>FE3*VLOOKUP('Données projet'!$B$16,Paramètres!$A$1:$I$89,3,0)*VLOOKUP('Données projet'!$B$16,Paramètres!$A$1:$I$89,5,0)</f>
        <v>0</v>
      </c>
      <c r="FG3" s="13">
        <v>0</v>
      </c>
      <c r="FH3" s="15">
        <f>(FF3+FG3)*0.475*44/12</f>
        <v>0</v>
      </c>
      <c r="FI3" s="60">
        <f>FH3+(EZ3+FA3)*44/12</f>
        <v>165</v>
      </c>
      <c r="FJ3" s="60">
        <f ca="1">AVERAGE(OFFSET($FI$3,0,0,'Données projet'!$E$16+1,1))-AVERAGE(OFFSET($H$3,0,0,'Données projet'!$E$16+1,1))</f>
        <v>603.52431522262032</v>
      </c>
      <c r="FK3" s="60">
        <f>IF('Données projet'!E16&gt;30,$FI$33-$H$33,LOOKUP('Données projet'!$E$16,$A$3:$A$203,FI3:FI203)-LOOKUP('Données projet'!$E$16,$A$3:$A$203,$H$3:$H$203))</f>
        <v>313.56299786481338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>
        <f>FZ3*VLOOKUP('Données projet'!$B$17,Paramètres!$A$1:$I$89,3,0)*VLOOKUP('Données projet'!$B$17,Paramètres!$A$1:$I$89,5,0)</f>
        <v>0</v>
      </c>
      <c r="GB3" s="13">
        <v>0</v>
      </c>
      <c r="GC3" s="15">
        <f>(GA3+GB3)*0.475*44/12</f>
        <v>0</v>
      </c>
      <c r="GD3" s="60">
        <f>GC3+(FU3+FV3)*44/12</f>
        <v>165</v>
      </c>
      <c r="GE3" s="60">
        <f ca="1">AVERAGE(OFFSET($GD$3,0,0,'Données projet'!$E$17+1,1))-AVERAGE(OFFSET($H$3,0,0,'Données projet'!$E$17+1,1))</f>
        <v>396.0878652679051</v>
      </c>
      <c r="GF3" s="60">
        <f>IF('Données projet'!E17&gt;30,$GD$33-$H$33,LOOKUP('Données projet'!$E$17,$A$3:$A$203,GD3:GD203)-LOOKUP('Données projet'!$E$17,$A$3:$A$203,$H$3:$H$203))</f>
        <v>327.26339199235406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>
        <f>GU3*VLOOKUP('Données projet'!$B$18,Paramètres!$A$1:$I$89,3,0)*VLOOKUP('Données projet'!$B$18,Paramètres!$A$1:$I$89,5,0)</f>
        <v>0</v>
      </c>
      <c r="GW3" s="13">
        <v>0</v>
      </c>
      <c r="GX3" s="15">
        <f>(GV3+GW3)*0.475*44/12</f>
        <v>0</v>
      </c>
      <c r="GY3" s="60">
        <f>GX3+(GP3+GQ3)*44/12</f>
        <v>165</v>
      </c>
      <c r="GZ3" s="60">
        <f ca="1">AVERAGE(OFFSET($GY$3,0,0,'Données projet'!$E$18+1,1))-AVERAGE(OFFSET($H$3,0,0,'Données projet'!$E$18+1,1))</f>
        <v>272.69564942740931</v>
      </c>
      <c r="HA3" s="60">
        <f>IF('Données projet'!E18&gt;30,$GY$33-$H$33,LOOKUP('Données projet'!$E$18,$A$3:$A$203,GY3:GY203)-LOOKUP('Données projet'!$E$18,$A$3:$A$203,$H$3:$H$203))</f>
        <v>316.57989180609252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5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8">
        <f t="shared" ref="H4:H67" si="1">(B4+E4+F4)*44/12+(C4+D4)*0.475*44/12</f>
        <v>183.33333333333334</v>
      </c>
      <c r="I4" s="7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3.65</v>
      </c>
      <c r="N4" s="14">
        <f>IF('Données projet'!$A$36&gt;35,N3+M4-V3,IF(A4&lt;'Données projet'!$A$36,$K$205^A4,IF(A4='Données projet'!$A$36,'Données projet'!$B$36,N3+M4-V3)))</f>
        <v>1.2392705892426346</v>
      </c>
      <c r="O4" s="14">
        <f>N4*VLOOKUP('Données projet'!$B$9,Paramètres!$A$1:$I$89,3,0)*VLOOKUP('Données projet'!$B$9,Paramètres!$A$1:$I$89,5,0)</f>
        <v>1.1212920291467359</v>
      </c>
      <c r="P4" s="14">
        <f>EXP(-1.0587+0.8836*LN(O4)+0.284)</f>
        <v>0.50989827066551541</v>
      </c>
      <c r="Q4" s="22">
        <f t="shared" ref="Q4:Q34" si="2">(O4+P4)*0.475*44/12</f>
        <v>2.8409897721730037</v>
      </c>
      <c r="R4" s="60">
        <f t="shared" si="0"/>
        <v>170.65342372509684</v>
      </c>
      <c r="S4" s="60">
        <f ca="1">AVERAGE(OFFSET($R$3,0,0,'Données projet'!$E$9+1,1))-AVERAGE(OFFSET($H$3,0,0,'Données projet'!$E$9+1,1))</f>
        <v>570.08763950759544</v>
      </c>
      <c r="T4" s="60">
        <f>$T$3</f>
        <v>297.32483725004136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1.1099999999999999</v>
      </c>
      <c r="AI4" s="14">
        <f>IF('Données projet'!$A$62&gt;35,AI3+AH4-AQ3,IF(A4&lt;'Données projet'!$A$62,$AF$205^A4,IF(A4='Données projet'!$A$62,'Données projet'!$B$62,AI3+AH4-AQ3)))</f>
        <v>1.2721323532877689</v>
      </c>
      <c r="AJ4" s="14">
        <f>AI4*VLOOKUP('Données projet'!$B$10,Paramètres!$A$1:$I$89,3,0)*VLOOKUP('Données projet'!$B$10,Paramètres!$A$1:$I$89,5,0)</f>
        <v>1.0121085002757488</v>
      </c>
      <c r="AK4" s="14">
        <f>EXP(-1.0587+0.8836*LN(AJ4)+0.284)</f>
        <v>0.46576913511432322</v>
      </c>
      <c r="AL4" s="22">
        <f t="shared" ref="AL4:AL67" si="4">(AJ4+AK4)*0.475*44/12</f>
        <v>2.5739702149710419</v>
      </c>
      <c r="AM4" s="60">
        <f t="shared" ref="AM4:AM67" si="5">AL4+(AD4+AE4)*44/12</f>
        <v>170.38640416789488</v>
      </c>
      <c r="AN4" s="60">
        <f ca="1">AVERAGE(OFFSET($AM$3,0,0,'Données projet'!$E$10+1,1))-AVERAGE(OFFSET($H$3,0,0,'Données projet'!$E$10+1,1))</f>
        <v>394.49874384716014</v>
      </c>
      <c r="AO4" s="60">
        <f>$AO$3</f>
        <v>423.72519584013378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2.4933333333333332</v>
      </c>
      <c r="BD4" s="13">
        <f>IF('Données projet'!$A$88&gt;35,BD3+BC4-BL3,IF(A4&lt;'Données projet'!$A$88,$BA$205^A4,IF(A4='Données projet'!$A$88,'Données projet'!$B$88,BD3+BC4-BL3)))</f>
        <v>1.2730870686066207</v>
      </c>
      <c r="BE4" s="14">
        <f>BD4*VLOOKUP('Données projet'!$B$11,Paramètres!$A$1:$I$89,3,0)*VLOOKUP('Données projet'!$B$11,Paramètres!$A$1:$I$89,5,0)</f>
        <v>1.1121688631347439</v>
      </c>
      <c r="BF4" s="14">
        <f>EXP(-1.0587+0.8836*LN(BE4)+0.284)</f>
        <v>0.50623075212543323</v>
      </c>
      <c r="BG4" s="22">
        <f t="shared" ref="BG4:BG67" si="7">(BE4+BF4)*0.475*44/12</f>
        <v>2.8187126632448081</v>
      </c>
      <c r="BH4" s="60">
        <f t="shared" ref="BH4:BH67" si="8">BG4+(AY4+AZ4)*44/12</f>
        <v>170.63114661616865</v>
      </c>
      <c r="BI4" s="60">
        <f ca="1">AVERAGE(OFFSET($BH$3,0,0,'Données projet'!$E$11+1,1))-AVERAGE(OFFSET($H$3,0,0,'Données projet'!$E$11+1,1))</f>
        <v>363.28611056308665</v>
      </c>
      <c r="BJ4" s="60">
        <f>$BJ$3</f>
        <v>389.43647559455974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3.1623931623931623</v>
      </c>
      <c r="BY4" s="13">
        <f>IF('Données projet'!$A$114&gt;35,BY3+BX4-CG3,IF(A4&lt;'Données projet'!$A$114,$BV$205^A4,IF(A4='Données projet'!$A$114,'Données projet'!$B$114,BY3+BX4-CG3)))</f>
        <v>1.2934226882877784</v>
      </c>
      <c r="BZ4" s="14">
        <f>BY4*VLOOKUP('Données projet'!$B$12,Paramètres!$A$1:$I$89,3,0)*VLOOKUP('Données projet'!$B$12,Paramètres!$A$1:$I$89,5,0)</f>
        <v>1.2308210301746498</v>
      </c>
      <c r="CA4" s="14">
        <f>EXP(-1.0587+0.8836*LN(BZ4)+0.284)</f>
        <v>0.55366654932289705</v>
      </c>
      <c r="CB4" s="22">
        <f t="shared" ref="CB4:CB67" si="10">(BZ4+CA4)*0.475*44/12</f>
        <v>3.1079825342915606</v>
      </c>
      <c r="CC4" s="60">
        <f t="shared" ref="CC4:CC67" si="11">CB4+(BT4+BU4)*44/12</f>
        <v>170.92041648721539</v>
      </c>
      <c r="CD4" s="60">
        <f ca="1">AVERAGE(OFFSET($CC$3,0,0,'Données projet'!$E$12+1,1))-AVERAGE(OFFSET($H$3,0,0,'Données projet'!$E$12+1,1))</f>
        <v>441.15969139782891</v>
      </c>
      <c r="CE4" s="60">
        <f>$CE$3</f>
        <v>315.06466790224783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1.1099999999999999</v>
      </c>
      <c r="CT4" s="13">
        <f>IF('Données projet'!$A$140&gt;35,CT3+CS4-DB3,IF(A4&lt;'Données projet'!$A$140,$CQ$205^A4,IF(A4='Données projet'!$A$140,'Données projet'!$B$140,CT3+CS4-DB3)))</f>
        <v>1.2721323532877689</v>
      </c>
      <c r="CU4" s="18">
        <f>CT4*VLOOKUP('Données projet'!$B$13,Paramètres!$A$1:$I$89,3,0)*VLOOKUP('Données projet'!$B$13,Paramètres!$A$1:$I$89,5,0)</f>
        <v>0.93272744143059216</v>
      </c>
      <c r="CV4" s="14">
        <f>EXP(-1.0587+0.8836*LN(CU4)+0.284)</f>
        <v>0.43333858977228618</v>
      </c>
      <c r="CW4" s="22">
        <f t="shared" ref="CW4:CW67" si="13">(CU4+CV4)*0.475*44/12</f>
        <v>2.3792316710116794</v>
      </c>
      <c r="CX4" s="60">
        <f t="shared" ref="CX4:CX67" si="14">CW4+(CO4+CP4)*44/12</f>
        <v>170.19166562393551</v>
      </c>
      <c r="CY4" s="60">
        <f ca="1">AVERAGE(OFFSET($CX$3,0,0,'Données projet'!$E$13+1,1))-AVERAGE(OFFSET($H$3,0,0,'Données projet'!$E$13+1,1))</f>
        <v>368.35775920359396</v>
      </c>
      <c r="CZ4" s="60">
        <f>$CZ$3</f>
        <v>395.5218438652638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2.6666666666666665</v>
      </c>
      <c r="DO4" s="13">
        <f>IF('Données projet'!$A$166&gt;35,DO3+DN4-DW3,IF(A4&lt;'Données projet'!$A$166,$DL$205^A4,IF(A4='Données projet'!$A$166,'Données projet'!$B$166,DO3+DN4-DW3)))</f>
        <v>1.2788040393997409</v>
      </c>
      <c r="DP4" s="18">
        <f>DO4*VLOOKUP('Données projet'!$B$14,Paramètres!$A$1:$I$89,3,0)*VLOOKUP('Données projet'!$B$14,Paramètres!$A$1:$I$89,5,0)</f>
        <v>0.99746715073179792</v>
      </c>
      <c r="DQ4" s="14">
        <f>EXP(-1.0587+0.8836*LN(DP4)+0.284)</f>
        <v>0.45981048445793882</v>
      </c>
      <c r="DR4" s="22">
        <f t="shared" ref="DR4:DR67" si="16">(DP4+DQ4)*0.475*44/12</f>
        <v>2.5380918812887914</v>
      </c>
      <c r="DS4" s="60">
        <f t="shared" ref="DS4:DS67" si="17">DR4+(DJ4+DK4)*44/12</f>
        <v>170.35052583421262</v>
      </c>
      <c r="DT4" s="60">
        <f ca="1">AVERAGE(OFFSET($DS$3,0,0,'Données projet'!$E$14+1,1))-AVERAGE(OFFSET($H$3,0,0,'Données projet'!$E$14+1,1))</f>
        <v>312.59632808777332</v>
      </c>
      <c r="DU4" s="60">
        <f>$DU$3</f>
        <v>302.59481222418219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2.8518518518518516</v>
      </c>
      <c r="EJ4" s="13">
        <f>IF('Données projet'!$A$192&gt;35,EJ3+EI4-ER3,IF(A4&lt;'Données projet'!$A$192,$EG$205^A4,IF(A4='Données projet'!$A$192,'Données projet'!$B$192,EJ3+EI4-ER3)))</f>
        <v>1.1745459910013509</v>
      </c>
      <c r="EK4" s="18">
        <f>EJ4*VLOOKUP('Données projet'!$B$15,Paramètres!$A$1:$I$89,3,0)*VLOOKUP('Données projet'!$B$15,Paramètres!$A$1:$I$89,5,0)</f>
        <v>1.0077604602791592</v>
      </c>
      <c r="EL4" s="14">
        <f>EXP(-1.0587+0.8836*LN(EK4)+0.284)</f>
        <v>0.46400064914900446</v>
      </c>
      <c r="EM4" s="22">
        <f t="shared" ref="EM4:EM67" si="19">(EK4+EL4)*0.475*44/12</f>
        <v>2.563317265587385</v>
      </c>
      <c r="EN4" s="60">
        <f t="shared" ref="EN4:EN67" si="20">EM4+(EE4+EF4)*44/12</f>
        <v>170.37575121851123</v>
      </c>
      <c r="EO4" s="60">
        <f ca="1">AVERAGE(OFFSET($EN$3,0,0,'Données projet'!$E$15+1,1))-AVERAGE(OFFSET($H$3,0,0,'Données projet'!$E$15+1,1))</f>
        <v>478.11504516179713</v>
      </c>
      <c r="EP4" s="60">
        <f>$EP$3</f>
        <v>249.93713224442419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3.65</v>
      </c>
      <c r="FE4" s="13">
        <f>IF('Données projet'!$A$218&gt;35,FE3+FD4-FM3,IF(A4&lt;'Données projet'!$A$218,$FB$205^A4,IF(A4='Données projet'!$A$218,'Données projet'!$B$218,FE3+FD4-FM3)))</f>
        <v>1.2392705892426346</v>
      </c>
      <c r="FF4" s="18">
        <f>FE4*VLOOKUP('Données projet'!$B$16,Paramètres!$A$1:$I$89,3,0)*VLOOKUP('Données projet'!$B$16,Paramètres!$A$1:$I$89,5,0)</f>
        <v>1.1986225139154763</v>
      </c>
      <c r="FG4" s="14">
        <f>EXP(-1.0587+0.8836*LN(FF4)+0.284)</f>
        <v>0.54084878793982472</v>
      </c>
      <c r="FH4" s="22">
        <f t="shared" ref="FH4:FH67" si="22">(FF4+FG4)*0.475*44/12</f>
        <v>3.0295791840646493</v>
      </c>
      <c r="FI4" s="60">
        <f t="shared" ref="FI4:FI67" si="23">FH4+(EZ4+FA4)*44/12</f>
        <v>170.8420131369885</v>
      </c>
      <c r="FJ4" s="60">
        <f ca="1">AVERAGE(OFFSET($FI$3,0,0,'Données projet'!$E$16+1,1))-AVERAGE(OFFSET($H$3,0,0,'Données projet'!$E$16+1,1))</f>
        <v>603.52431522262032</v>
      </c>
      <c r="FK4" s="60">
        <f>$FK$3</f>
        <v>313.56299786481338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>
        <f>EXP(-LN(2)/35)*FQ3+(1-EXP(-LN(2)/35))/(LN(2)/35)*FM4*FN4*VLOOKUP('Données projet'!$B$16,Paramètres!$A$1:$I$89,3,0)*0.475*44/12</f>
        <v>0</v>
      </c>
      <c r="FR4" s="23">
        <f>EXP(-LN(2)/25)*FR3+(1-EXP(-LN(2)/25))/(LN(2)/25)*Calculateur!FM4*Calculateur!FO4*VLOOKUP('Données projet'!$B$16,Paramètres!$A$1:$I$89,3,0)*0.475*44/12</f>
        <v>0</v>
      </c>
      <c r="FS4" s="23">
        <f>EXP(-LN(2)/2)*FS3+(1-EXP(-LN(2)/2))/(LN(2)/2)*FM4*FP4*VLOOKUP('Données projet'!$B$16,Paramètres!$A$1:$I$89,3,0)*0.475*44/12</f>
        <v>0</v>
      </c>
      <c r="FT4" s="24">
        <f t="shared" ref="FT4:FT67" si="24">SUM(FQ4:FS4)</f>
        <v>0</v>
      </c>
      <c r="FU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3.2692307692307692</v>
      </c>
      <c r="FZ4" s="13">
        <f>IF('Données projet'!$A$244&gt;35,FZ3+FY4-GH3,IF(A4&lt;'Données projet'!$A$244,$FW$205^A4,IF(A4='Données projet'!$A$244,'Données projet'!$B$244,FZ3+FY4-GH3)))</f>
        <v>1.4172437739267318</v>
      </c>
      <c r="GA4" s="18">
        <f>FZ4*VLOOKUP('Données projet'!$B$17,Paramètres!$A$1:$I$89,3,0)*VLOOKUP('Données projet'!$B$17,Paramètres!$A$1:$I$89,5,0)</f>
        <v>0.95068712355005169</v>
      </c>
      <c r="GB4" s="14">
        <f>EXP(-1.0587+0.8836*LN(GA4)+0.284)</f>
        <v>0.44070309303270105</v>
      </c>
      <c r="GC4" s="22">
        <f t="shared" ref="GC4:GC67" si="25">(GA4+GB4)*0.475*44/12</f>
        <v>2.4233379605482943</v>
      </c>
      <c r="GD4" s="60">
        <f t="shared" ref="GD4:GD67" si="26">GC4+(FU4+FV4)*44/12</f>
        <v>170.23577191347212</v>
      </c>
      <c r="GE4" s="60">
        <f ca="1">AVERAGE(OFFSET($GD$3,0,0,'Données projet'!$E$17+1,1))-AVERAGE(OFFSET($H$3,0,0,'Données projet'!$E$17+1,1))</f>
        <v>396.0878652679051</v>
      </c>
      <c r="GF4" s="60">
        <f>$GF$3</f>
        <v>327.26339199235406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>
        <f>EXP(-LN(2)/35)*GL3+(1-EXP(-LN(2)/35))/(LN(2)/35)*GH4*GI4*VLOOKUP('Données projet'!$B$17,Paramètres!$A$1:$I$89,3,0)*0.475*44/12</f>
        <v>0</v>
      </c>
      <c r="GM4" s="23">
        <f>EXP(-LN(2)/25)*GM3+(1-EXP(-LN(2)/25))/(LN(2)/25)*Calculateur!GH4*Calculateur!GJ4*VLOOKUP('Données projet'!$B$17,Paramètres!$A$1:$I$89,3,0)*0.475*44/12</f>
        <v>0</v>
      </c>
      <c r="GN4" s="23">
        <f>EXP(-LN(2)/2)*GN3+(1-EXP(-LN(2)/2))/(LN(2)/2)*GH4*GK4*VLOOKUP('Données projet'!$B$17,Paramètres!$A$1:$I$89,3,0)*0.475*44/12</f>
        <v>0</v>
      </c>
      <c r="GO4" s="23">
        <f t="shared" ref="GO4:GO67" si="27">SUM(GL4:GN4)</f>
        <v>0</v>
      </c>
      <c r="GP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0.9</v>
      </c>
      <c r="GU4" s="13">
        <f>IF('Données projet'!$A$270&gt;35,GU3+GT4-HC3,IF(A4&lt;'Données projet'!$A$270,$GR$205^A4,IF(A4='Données projet'!$A$270,'Données projet'!$B$270,GU3+GT4-HC3)))</f>
        <v>1.2457309396155174</v>
      </c>
      <c r="GV4" s="18">
        <f>GU4*VLOOKUP('Données projet'!$B$18,Paramètres!$A$1:$I$89,3,0)*VLOOKUP('Données projet'!$B$18,Paramètres!$A$1:$I$89,5,0)</f>
        <v>1.0105369382161078</v>
      </c>
      <c r="GW4" s="14">
        <f>EXP(-1.0587+0.8836*LN(GV4)+0.284)</f>
        <v>0.46513003316107315</v>
      </c>
      <c r="GX4" s="22">
        <f t="shared" ref="GX4:GX67" si="28">(GV4+GW4)*0.475*44/12</f>
        <v>2.5701199751485899</v>
      </c>
      <c r="GY4" s="60">
        <f t="shared" ref="GY4:GY67" si="29">GX4+(GP4+GQ4)*44/12</f>
        <v>170.38255392807244</v>
      </c>
      <c r="GZ4" s="60">
        <f ca="1">AVERAGE(OFFSET($GY$3,0,0,'Données projet'!$E$18+1,1))-AVERAGE(OFFSET($H$3,0,0,'Données projet'!$E$18+1,1))</f>
        <v>272.69564942740931</v>
      </c>
      <c r="HA4" s="60">
        <f>$HA$3</f>
        <v>316.57989180609252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>
        <f>EXP(-LN(2)/35)*HG3+(1-EXP(-LN(2)/35))/(LN(2)/35)*HC4*HD4*VLOOKUP('Données projet'!$B$18,Paramètres!$A$1:$I$89,3,0)*0.475*44/12</f>
        <v>0</v>
      </c>
      <c r="HH4" s="23">
        <f>EXP(-LN(2)/25)*HH3+(1-EXP(-LN(2)/25))/(LN(2)/25)*Calculateur!HC4*Calculateur!HE4*VLOOKUP('Données projet'!$B$18,Paramètres!$A$1:$I$89,3,0)*0.475*44/12</f>
        <v>0</v>
      </c>
      <c r="HI4" s="23">
        <f>EXP(-LN(2)/2)*HI3+(1-EXP(-LN(2)/2))/(LN(2)/2)*HC4*HF4*VLOOKUP('Données projet'!$B$18,Paramètres!$A$1:$I$89,3,0)*0.475*44/12</f>
        <v>0</v>
      </c>
      <c r="HJ4" s="24">
        <f t="shared" ref="HJ4:HJ67" si="30">SUM(HG4:HI4)</f>
        <v>0</v>
      </c>
    </row>
    <row r="5" spans="1:218" s="5" customFormat="1" x14ac:dyDescent="0.25">
      <c r="A5" s="11">
        <f t="shared" ref="A5:A68" si="31">A4+1</f>
        <v>2</v>
      </c>
      <c r="B5" s="75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8">
        <f t="shared" si="1"/>
        <v>183.33333333333334</v>
      </c>
      <c r="I5" s="7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3.65</v>
      </c>
      <c r="N5" s="14">
        <f>IF('Données projet'!$A$36&gt;35,N4+M5-V4,IF(A5&lt;'Données projet'!$A$36,$K$205^A5,IF(A5='Données projet'!$A$36,'Données projet'!$B$36,N4+M5-V4)))</f>
        <v>1.5357915933617867</v>
      </c>
      <c r="O5" s="14">
        <f>N5*VLOOKUP('Données projet'!$B$9,Paramètres!$A$1:$I$89,3,0)*VLOOKUP('Données projet'!$B$9,Paramètres!$A$1:$I$89,5,0)</f>
        <v>1.3895842336737447</v>
      </c>
      <c r="P5" s="14">
        <f t="shared" ref="P5:P68" si="33">EXP(-1.0587+0.8836*LN(O5)+0.284)</f>
        <v>0.61631841327304715</v>
      </c>
      <c r="Q5" s="22">
        <f t="shared" si="2"/>
        <v>3.4936137767656628</v>
      </c>
      <c r="R5" s="60">
        <f t="shared" si="0"/>
        <v>174.0908950642665</v>
      </c>
      <c r="S5" s="60">
        <f ca="1">AVERAGE(OFFSET($R$3,0,0,'Données projet'!$E$9+1,1))-AVERAGE(OFFSET($H$3,0,0,'Données projet'!$E$9+1,1))</f>
        <v>570.08763950759544</v>
      </c>
      <c r="T5" s="60">
        <f t="shared" ref="T5:T68" si="34">$T$3</f>
        <v>297.32483725004136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1.1099999999999999</v>
      </c>
      <c r="AI5" s="14">
        <f>IF('Données projet'!$A$62&gt;35,AI4+AH5-AQ4,IF(A5&lt;'Données projet'!$A$62,$AF$205^A5,IF(A5='Données projet'!$A$62,'Données projet'!$B$62,AI4+AH5-AQ4)))</f>
        <v>1.6183207242814768</v>
      </c>
      <c r="AJ5" s="14">
        <f>AI5*VLOOKUP('Données projet'!$B$10,Paramètres!$A$1:$I$89,3,0)*VLOOKUP('Données projet'!$B$10,Paramètres!$A$1:$I$89,5,0)</f>
        <v>1.2875359682383429</v>
      </c>
      <c r="AK5" s="14">
        <f t="shared" ref="AK5:AK68" si="35">EXP(-1.0587+0.8836*LN(AJ5)+0.284)</f>
        <v>0.57614983837086087</v>
      </c>
      <c r="AL5" s="22">
        <f t="shared" si="4"/>
        <v>3.2459194465110297</v>
      </c>
      <c r="AM5" s="60">
        <f t="shared" si="5"/>
        <v>173.84320073401187</v>
      </c>
      <c r="AN5" s="60">
        <f ca="1">AVERAGE(OFFSET($AM$3,0,0,'Données projet'!$E$10+1,1))-AVERAGE(OFFSET($H$3,0,0,'Données projet'!$E$10+1,1))</f>
        <v>394.49874384716014</v>
      </c>
      <c r="AO5" s="60">
        <f t="shared" ref="AO5:AO68" si="36">$AO$3</f>
        <v>423.72519584013378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2.4933333333333332</v>
      </c>
      <c r="BD5" s="13">
        <f>IF('Données projet'!$A$88&gt;35,BD4+BC5-BL4,IF(A5&lt;'Données projet'!$A$88,$BA$205^A5,IF(A5='Données projet'!$A$88,'Données projet'!$B$88,BD4+BC5-BL4)))</f>
        <v>1.6207506842533985</v>
      </c>
      <c r="BE5" s="14">
        <f>BD5*VLOOKUP('Données projet'!$B$11,Paramètres!$A$1:$I$89,3,0)*VLOOKUP('Données projet'!$B$11,Paramètres!$A$1:$I$89,5,0)</f>
        <v>1.4158877977637692</v>
      </c>
      <c r="BF5" s="14">
        <f t="shared" ref="BF5:BF68" si="37">EXP(-1.0587+0.8836*LN(BE5)+0.284)</f>
        <v>0.62661551960081552</v>
      </c>
      <c r="BG5" s="22">
        <f t="shared" si="7"/>
        <v>3.5573599444099848</v>
      </c>
      <c r="BH5" s="60">
        <f t="shared" si="8"/>
        <v>174.15464123191083</v>
      </c>
      <c r="BI5" s="60">
        <f ca="1">AVERAGE(OFFSET($BH$3,0,0,'Données projet'!$E$11+1,1))-AVERAGE(OFFSET($H$3,0,0,'Données projet'!$E$11+1,1))</f>
        <v>363.28611056308665</v>
      </c>
      <c r="BJ5" s="60">
        <f t="shared" ref="BJ5:BJ68" si="38">$BJ$3</f>
        <v>389.43647559455974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3.1623931623931623</v>
      </c>
      <c r="BY5" s="13">
        <f>IF('Données projet'!$A$114&gt;35,BY4+BX5-CG4,IF(A5&lt;'Données projet'!$A$114,$BV$205^A5,IF(A5='Données projet'!$A$114,'Données projet'!$B$114,BY4+BX5-CG4)))</f>
        <v>1.6729422505775835</v>
      </c>
      <c r="BZ5" s="14">
        <f>BY5*VLOOKUP('Données projet'!$B$12,Paramètres!$A$1:$I$89,3,0)*VLOOKUP('Données projet'!$B$12,Paramètres!$A$1:$I$89,5,0)</f>
        <v>1.5919718456496286</v>
      </c>
      <c r="CA5" s="14">
        <f t="shared" ref="CA5:CA68" si="39">EXP(-1.0587+0.8836*LN(BZ5)+0.284)</f>
        <v>0.69499578258152339</v>
      </c>
      <c r="CB5" s="22">
        <f t="shared" si="10"/>
        <v>3.9831352858359232</v>
      </c>
      <c r="CC5" s="60">
        <f t="shared" si="11"/>
        <v>174.58041657333675</v>
      </c>
      <c r="CD5" s="60">
        <f ca="1">AVERAGE(OFFSET($CC$3,0,0,'Données projet'!$E$12+1,1))-AVERAGE(OFFSET($H$3,0,0,'Données projet'!$E$12+1,1))</f>
        <v>441.15969139782891</v>
      </c>
      <c r="CE5" s="60">
        <f t="shared" ref="CE5:CE68" si="40">$CE$3</f>
        <v>315.06466790224783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1.1099999999999999</v>
      </c>
      <c r="CT5" s="13">
        <f>IF('Données projet'!$A$140&gt;35,CT4+CS5-DB4,IF(A5&lt;'Données projet'!$A$140,$CQ$205^A5,IF(A5='Données projet'!$A$140,'Données projet'!$B$140,CT4+CS5-DB4)))</f>
        <v>1.6183207242814768</v>
      </c>
      <c r="CU5" s="18">
        <f>CT5*VLOOKUP('Données projet'!$B$13,Paramètres!$A$1:$I$89,3,0)*VLOOKUP('Données projet'!$B$13,Paramètres!$A$1:$I$89,5,0)</f>
        <v>1.1865527550431787</v>
      </c>
      <c r="CV5" s="14">
        <f t="shared" ref="CV5:CV68" si="41">EXP(-1.0587+0.8836*LN(CU5)+0.284)</f>
        <v>0.53603371205753736</v>
      </c>
      <c r="CW5" s="22">
        <f t="shared" si="13"/>
        <v>3.0001714302004134</v>
      </c>
      <c r="CX5" s="60">
        <f t="shared" si="14"/>
        <v>173.59745271770126</v>
      </c>
      <c r="CY5" s="60">
        <f ca="1">AVERAGE(OFFSET($CX$3,0,0,'Données projet'!$E$13+1,1))-AVERAGE(OFFSET($H$3,0,0,'Données projet'!$E$13+1,1))</f>
        <v>368.35775920359396</v>
      </c>
      <c r="CZ5" s="60">
        <f t="shared" ref="CZ5:CZ68" si="42">$CZ$3</f>
        <v>395.5218438652638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2.6666666666666665</v>
      </c>
      <c r="DO5" s="13">
        <f>IF('Données projet'!$A$166&gt;35,DO4+DN5-DW4,IF(A5&lt;'Données projet'!$A$166,$DL$205^A5,IF(A5='Données projet'!$A$166,'Données projet'!$B$166,DO4+DN5-DW4)))</f>
        <v>1.6353397711850939</v>
      </c>
      <c r="DP5" s="18">
        <f>DO5*VLOOKUP('Données projet'!$B$14,Paramètres!$A$1:$I$89,3,0)*VLOOKUP('Données projet'!$B$14,Paramètres!$A$1:$I$89,5,0)</f>
        <v>1.2755650215243732</v>
      </c>
      <c r="DQ5" s="14">
        <f t="shared" ref="DQ5:DQ68" si="43">EXP(-1.0587+0.8836*LN(DP5)+0.284)</f>
        <v>0.57141400910743001</v>
      </c>
      <c r="DR5" s="22">
        <f t="shared" si="16"/>
        <v>3.2168218116837237</v>
      </c>
      <c r="DS5" s="60">
        <f t="shared" si="17"/>
        <v>173.81410309918456</v>
      </c>
      <c r="DT5" s="60">
        <f ca="1">AVERAGE(OFFSET($DS$3,0,0,'Données projet'!$E$14+1,1))-AVERAGE(OFFSET($H$3,0,0,'Données projet'!$E$14+1,1))</f>
        <v>312.59632808777332</v>
      </c>
      <c r="DU5" s="60">
        <f t="shared" ref="DU5:DU68" si="44">$DU$3</f>
        <v>302.59481222418219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2.8518518518518516</v>
      </c>
      <c r="EJ5" s="13">
        <f>IF('Données projet'!$A$192&gt;35,EJ4+EI5-ER4,IF(A5&lt;'Données projet'!$A$192,$EG$205^A5,IF(A5='Données projet'!$A$192,'Données projet'!$B$192,EJ4+EI5-ER4)))</f>
        <v>1.3795582849773456</v>
      </c>
      <c r="EK5" s="18">
        <f>EJ5*VLOOKUP('Données projet'!$B$15,Paramètres!$A$1:$I$89,3,0)*VLOOKUP('Données projet'!$B$15,Paramètres!$A$1:$I$89,5,0)</f>
        <v>1.1836610085105626</v>
      </c>
      <c r="EL5" s="14">
        <f t="shared" ref="EL5:EL68" si="45">EXP(-1.0587+0.8836*LN(EK5)+0.284)</f>
        <v>0.53487924210431825</v>
      </c>
      <c r="EM5" s="22">
        <f t="shared" si="19"/>
        <v>2.9931242698209175</v>
      </c>
      <c r="EN5" s="60">
        <f t="shared" si="20"/>
        <v>173.59040555732176</v>
      </c>
      <c r="EO5" s="60">
        <f ca="1">AVERAGE(OFFSET($EN$3,0,0,'Données projet'!$E$15+1,1))-AVERAGE(OFFSET($H$3,0,0,'Données projet'!$E$15+1,1))</f>
        <v>478.11504516179713</v>
      </c>
      <c r="EP5" s="60">
        <f t="shared" ref="EP5:EP68" si="46">$EP$3</f>
        <v>249.93713224442419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3.65</v>
      </c>
      <c r="FE5" s="13">
        <f>IF('Données projet'!$A$218&gt;35,FE4+FD5-FM4,IF(A5&lt;'Données projet'!$A$218,$FB$205^A5,IF(A5='Données projet'!$A$218,'Données projet'!$B$218,FE4+FD5-FM4)))</f>
        <v>1.5357915933617867</v>
      </c>
      <c r="FF5" s="18">
        <f>FE5*VLOOKUP('Données projet'!$B$16,Paramètres!$A$1:$I$89,3,0)*VLOOKUP('Données projet'!$B$16,Paramètres!$A$1:$I$89,5,0)</f>
        <v>1.4854176290995202</v>
      </c>
      <c r="FG5" s="14">
        <f t="shared" ref="FG5:FG68" si="47">EXP(-1.0587+0.8836*LN(FF5)+0.284)</f>
        <v>0.65372856897250708</v>
      </c>
      <c r="FH5" s="22">
        <f t="shared" si="22"/>
        <v>3.725679628308781</v>
      </c>
      <c r="FI5" s="60">
        <f t="shared" si="23"/>
        <v>174.3229609158096</v>
      </c>
      <c r="FJ5" s="60">
        <f ca="1">AVERAGE(OFFSET($FI$3,0,0,'Données projet'!$E$16+1,1))-AVERAGE(OFFSET($H$3,0,0,'Données projet'!$E$16+1,1))</f>
        <v>603.52431522262032</v>
      </c>
      <c r="FK5" s="60">
        <f t="shared" ref="FK5:FK68" si="48">$FK$3</f>
        <v>313.56299786481338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>
        <f>EXP(-LN(2)/35)*FQ4+(1-EXP(-LN(2)/35))/(LN(2)/35)*FM5*FN5*VLOOKUP('Données projet'!$B$16,Paramètres!$A$1:$I$89,3,0)*0.475*44/12</f>
        <v>0</v>
      </c>
      <c r="FR5" s="23">
        <f>EXP(-LN(2)/25)*FR4+(1-EXP(-LN(2)/25))/(LN(2)/25)*Calculateur!FM5*Calculateur!FO5*VLOOKUP('Données projet'!$B$16,Paramètres!$A$1:$I$89,3,0)*0.475*44/12</f>
        <v>0</v>
      </c>
      <c r="FS5" s="23">
        <f>EXP(-LN(2)/2)*FS4+(1-EXP(-LN(2)/2))/(LN(2)/2)*FM5*FP5*VLOOKUP('Données projet'!$B$16,Paramètres!$A$1:$I$89,3,0)*0.475*44/12</f>
        <v>0</v>
      </c>
      <c r="FT5" s="24">
        <f t="shared" si="24"/>
        <v>0</v>
      </c>
      <c r="FU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3.2692307692307692</v>
      </c>
      <c r="FZ5" s="13">
        <f>IF('Données projet'!$A$244&gt;35,FZ4+FY5-GH4,IF(A5&lt;'Données projet'!$A$244,$FW$205^A5,IF(A5='Données projet'!$A$244,'Données projet'!$B$244,FZ4+FY5-GH4)))</f>
        <v>2.0085799147340855</v>
      </c>
      <c r="GA5" s="18">
        <f>FZ5*VLOOKUP('Données projet'!$B$17,Paramètres!$A$1:$I$89,3,0)*VLOOKUP('Données projet'!$B$17,Paramètres!$A$1:$I$89,5,0)</f>
        <v>1.3473554068036244</v>
      </c>
      <c r="GB5" s="14">
        <f t="shared" ref="GB5:GB68" si="49">EXP(-1.0587+0.8836*LN(GA5)+0.284)</f>
        <v>0.5997393019338928</v>
      </c>
      <c r="GC5" s="22">
        <f t="shared" si="25"/>
        <v>3.3911899510511758</v>
      </c>
      <c r="GD5" s="60">
        <f t="shared" si="26"/>
        <v>173.98847123855202</v>
      </c>
      <c r="GE5" s="60">
        <f ca="1">AVERAGE(OFFSET($GD$3,0,0,'Données projet'!$E$17+1,1))-AVERAGE(OFFSET($H$3,0,0,'Données projet'!$E$17+1,1))</f>
        <v>396.0878652679051</v>
      </c>
      <c r="GF5" s="60">
        <f t="shared" ref="GF5:GF68" si="50">$GF$3</f>
        <v>327.26339199235406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>
        <f>EXP(-LN(2)/35)*GL4+(1-EXP(-LN(2)/35))/(LN(2)/35)*GH5*GI5*VLOOKUP('Données projet'!$B$17,Paramètres!$A$1:$I$89,3,0)*0.475*44/12</f>
        <v>0</v>
      </c>
      <c r="GM5" s="23">
        <f>EXP(-LN(2)/25)*GM4+(1-EXP(-LN(2)/25))/(LN(2)/25)*Calculateur!GH5*Calculateur!GJ5*VLOOKUP('Données projet'!$B$17,Paramètres!$A$1:$I$89,3,0)*0.475*44/12</f>
        <v>0</v>
      </c>
      <c r="GN5" s="23">
        <f>EXP(-LN(2)/2)*GN4+(1-EXP(-LN(2)/2))/(LN(2)/2)*GH5*GK5*VLOOKUP('Données projet'!$B$17,Paramètres!$A$1:$I$89,3,0)*0.475*44/12</f>
        <v>0</v>
      </c>
      <c r="GO5" s="23">
        <f t="shared" si="27"/>
        <v>0</v>
      </c>
      <c r="GP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0.9</v>
      </c>
      <c r="GU5" s="13">
        <f>IF('Données projet'!$A$270&gt;35,GU4+GT5-HC4,IF(A5&lt;'Données projet'!$A$270,$GR$205^A5,IF(A5='Données projet'!$A$270,'Données projet'!$B$270,GU4+GT5-HC4)))</f>
        <v>1.5518455739153598</v>
      </c>
      <c r="GV5" s="18">
        <f>GU5*VLOOKUP('Données projet'!$B$18,Paramètres!$A$1:$I$89,3,0)*VLOOKUP('Données projet'!$B$18,Paramètres!$A$1:$I$89,5,0)</f>
        <v>1.2588571295601401</v>
      </c>
      <c r="GW5" s="14">
        <f t="shared" ref="GW5:GW68" si="51">EXP(-1.0587+0.8836*LN(GV5)+0.284)</f>
        <v>0.56479552972512193</v>
      </c>
      <c r="GX5" s="22">
        <f t="shared" si="28"/>
        <v>3.1761950482551646</v>
      </c>
      <c r="GY5" s="60">
        <f t="shared" si="29"/>
        <v>173.77347633575599</v>
      </c>
      <c r="GZ5" s="60">
        <f ca="1">AVERAGE(OFFSET($GY$3,0,0,'Données projet'!$E$18+1,1))-AVERAGE(OFFSET($H$3,0,0,'Données projet'!$E$18+1,1))</f>
        <v>272.69564942740931</v>
      </c>
      <c r="HA5" s="60">
        <f t="shared" ref="HA5:HA68" si="52">$HA$3</f>
        <v>316.57989180609252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>
        <f>EXP(-LN(2)/35)*HG4+(1-EXP(-LN(2)/35))/(LN(2)/35)*HC5*HD5*VLOOKUP('Données projet'!$B$18,Paramètres!$A$1:$I$89,3,0)*0.475*44/12</f>
        <v>0</v>
      </c>
      <c r="HH5" s="23">
        <f>EXP(-LN(2)/25)*HH4+(1-EXP(-LN(2)/25))/(LN(2)/25)*Calculateur!HC5*Calculateur!HE5*VLOOKUP('Données projet'!$B$18,Paramètres!$A$1:$I$89,3,0)*0.475*44/12</f>
        <v>0</v>
      </c>
      <c r="HI5" s="23">
        <f>EXP(-LN(2)/2)*HI4+(1-EXP(-LN(2)/2))/(LN(2)/2)*HC5*HF5*VLOOKUP('Données projet'!$B$18,Paramètres!$A$1:$I$89,3,0)*0.475*44/12</f>
        <v>0</v>
      </c>
      <c r="HJ5" s="24">
        <f t="shared" si="30"/>
        <v>0</v>
      </c>
    </row>
    <row r="6" spans="1:218" s="5" customFormat="1" x14ac:dyDescent="0.25">
      <c r="A6" s="11">
        <f t="shared" si="31"/>
        <v>3</v>
      </c>
      <c r="B6" s="75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8">
        <f t="shared" si="1"/>
        <v>183.33333333333334</v>
      </c>
      <c r="I6" s="7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3.65</v>
      </c>
      <c r="N6" s="14">
        <f>IF('Données projet'!$A$36&gt;35,N5+M6-V5,IF(A6&lt;'Données projet'!$A$36,$K$205^A6,IF(A6='Données projet'!$A$36,'Données projet'!$B$36,N5+M6-V5)))</f>
        <v>1.9032613528593461</v>
      </c>
      <c r="O6" s="14">
        <f>N6*VLOOKUP('Données projet'!$B$9,Paramètres!$A$1:$I$89,3,0)*VLOOKUP('Données projet'!$B$9,Paramètres!$A$1:$I$89,5,0)</f>
        <v>1.7220708720671365</v>
      </c>
      <c r="P6" s="14">
        <f t="shared" si="33"/>
        <v>0.74494935243383209</v>
      </c>
      <c r="Q6" s="22">
        <f t="shared" si="2"/>
        <v>4.2967268910058536</v>
      </c>
      <c r="R6" s="60">
        <f t="shared" si="0"/>
        <v>177.65174746089073</v>
      </c>
      <c r="S6" s="60">
        <f ca="1">AVERAGE(OFFSET($R$3,0,0,'Données projet'!$E$9+1,1))-AVERAGE(OFFSET($H$3,0,0,'Données projet'!$E$9+1,1))</f>
        <v>570.08763950759544</v>
      </c>
      <c r="T6" s="60">
        <f t="shared" si="34"/>
        <v>297.32483725004136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1.1099999999999999</v>
      </c>
      <c r="AI6" s="14">
        <f>IF('Données projet'!$A$62&gt;35,AI5+AH6-AQ5,IF(A6&lt;'Données projet'!$A$62,$AF$205^A6,IF(A6='Données projet'!$A$62,'Données projet'!$B$62,AI5+AH6-AQ5)))</f>
        <v>2.0587181513545616</v>
      </c>
      <c r="AJ6" s="14">
        <f>AI6*VLOOKUP('Données projet'!$B$10,Paramètres!$A$1:$I$89,3,0)*VLOOKUP('Données projet'!$B$10,Paramètres!$A$1:$I$89,5,0)</f>
        <v>1.6379161612176893</v>
      </c>
      <c r="AK6" s="14">
        <f t="shared" si="35"/>
        <v>0.71268920851376738</v>
      </c>
      <c r="AL6" s="22">
        <f t="shared" si="4"/>
        <v>4.0939710189489533</v>
      </c>
      <c r="AM6" s="60">
        <f t="shared" si="5"/>
        <v>177.44899158883385</v>
      </c>
      <c r="AN6" s="60">
        <f ca="1">AVERAGE(OFFSET($AM$3,0,0,'Données projet'!$E$10+1,1))-AVERAGE(OFFSET($H$3,0,0,'Données projet'!$E$10+1,1))</f>
        <v>394.49874384716014</v>
      </c>
      <c r="AO6" s="60">
        <f t="shared" si="36"/>
        <v>423.72519584013378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2.4933333333333332</v>
      </c>
      <c r="BD6" s="13">
        <f>IF('Données projet'!$A$88&gt;35,BD5+BC6-BL5,IF(A6&lt;'Données projet'!$A$88,$BA$205^A6,IF(A6='Données projet'!$A$88,'Données projet'!$B$88,BD5+BC6-BL5)))</f>
        <v>2.0633567375583337</v>
      </c>
      <c r="BE6" s="14">
        <f>BD6*VLOOKUP('Données projet'!$B$11,Paramètres!$A$1:$I$89,3,0)*VLOOKUP('Données projet'!$B$11,Paramètres!$A$1:$I$89,5,0)</f>
        <v>1.8025484459309604</v>
      </c>
      <c r="BF6" s="14">
        <f t="shared" si="37"/>
        <v>0.77562852070138621</v>
      </c>
      <c r="BG6" s="22">
        <f t="shared" si="7"/>
        <v>4.4903248835513372</v>
      </c>
      <c r="BH6" s="60">
        <f t="shared" si="8"/>
        <v>177.84534545343621</v>
      </c>
      <c r="BI6" s="60">
        <f ca="1">AVERAGE(OFFSET($BH$3,0,0,'Données projet'!$E$11+1,1))-AVERAGE(OFFSET($H$3,0,0,'Données projet'!$E$11+1,1))</f>
        <v>363.28611056308665</v>
      </c>
      <c r="BJ6" s="60">
        <f t="shared" si="38"/>
        <v>389.43647559455974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3.1623931623931623</v>
      </c>
      <c r="BY6" s="13">
        <f>IF('Données projet'!$A$114&gt;35,BY5+BX6-CG5,IF(A6&lt;'Données projet'!$A$114,$BV$205^A6,IF(A6='Données projet'!$A$114,'Données projet'!$B$114,BY5+BX6-CG5)))</f>
        <v>2.1638214630922641</v>
      </c>
      <c r="BZ6" s="14">
        <f>BY6*VLOOKUP('Données projet'!$B$12,Paramètres!$A$1:$I$89,3,0)*VLOOKUP('Données projet'!$B$12,Paramètres!$A$1:$I$89,5,0)</f>
        <v>2.0590925042785986</v>
      </c>
      <c r="CA6" s="14">
        <f t="shared" si="39"/>
        <v>0.87240079502149648</v>
      </c>
      <c r="CB6" s="22">
        <f t="shared" si="10"/>
        <v>5.1056841629476652</v>
      </c>
      <c r="CC6" s="60">
        <f t="shared" si="11"/>
        <v>178.46070473283254</v>
      </c>
      <c r="CD6" s="60">
        <f ca="1">AVERAGE(OFFSET($CC$3,0,0,'Données projet'!$E$12+1,1))-AVERAGE(OFFSET($H$3,0,0,'Données projet'!$E$12+1,1))</f>
        <v>441.15969139782891</v>
      </c>
      <c r="CE6" s="60">
        <f t="shared" si="40"/>
        <v>315.06466790224783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1.1099999999999999</v>
      </c>
      <c r="CT6" s="13">
        <f>IF('Données projet'!$A$140&gt;35,CT5+CS6-DB5,IF(A6&lt;'Données projet'!$A$140,$CQ$205^A6,IF(A6='Données projet'!$A$140,'Données projet'!$B$140,CT5+CS6-DB5)))</f>
        <v>2.0587181513545616</v>
      </c>
      <c r="CU6" s="18">
        <f>CT6*VLOOKUP('Données projet'!$B$13,Paramètres!$A$1:$I$89,3,0)*VLOOKUP('Données projet'!$B$13,Paramètres!$A$1:$I$89,5,0)</f>
        <v>1.5094521485731647</v>
      </c>
      <c r="CV6" s="14">
        <f t="shared" si="41"/>
        <v>0.66306612714360913</v>
      </c>
      <c r="CW6" s="22">
        <f t="shared" si="13"/>
        <v>3.7838026635400475</v>
      </c>
      <c r="CX6" s="60">
        <f t="shared" si="14"/>
        <v>177.13882323342494</v>
      </c>
      <c r="CY6" s="60">
        <f ca="1">AVERAGE(OFFSET($CX$3,0,0,'Données projet'!$E$13+1,1))-AVERAGE(OFFSET($H$3,0,0,'Données projet'!$E$13+1,1))</f>
        <v>368.35775920359396</v>
      </c>
      <c r="CZ6" s="60">
        <f t="shared" si="42"/>
        <v>395.5218438652638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2.6666666666666665</v>
      </c>
      <c r="DO6" s="13">
        <f>IF('Données projet'!$A$166&gt;35,DO5+DN6-DW5,IF(A6&lt;'Données projet'!$A$166,$DL$205^A6,IF(A6='Données projet'!$A$166,'Données projet'!$B$166,DO5+DN6-DW5)))</f>
        <v>2.0912791051825459</v>
      </c>
      <c r="DP6" s="18">
        <f>DO6*VLOOKUP('Données projet'!$B$14,Paramètres!$A$1:$I$89,3,0)*VLOOKUP('Données projet'!$B$14,Paramètres!$A$1:$I$89,5,0)</f>
        <v>1.6311977020423858</v>
      </c>
      <c r="DQ6" s="14">
        <f t="shared" si="43"/>
        <v>0.71010553443370616</v>
      </c>
      <c r="DR6" s="22">
        <f t="shared" si="16"/>
        <v>4.0777698035291934</v>
      </c>
      <c r="DS6" s="60">
        <f t="shared" si="17"/>
        <v>177.43279037341409</v>
      </c>
      <c r="DT6" s="60">
        <f ca="1">AVERAGE(OFFSET($DS$3,0,0,'Données projet'!$E$14+1,1))-AVERAGE(OFFSET($H$3,0,0,'Données projet'!$E$14+1,1))</f>
        <v>312.59632808777332</v>
      </c>
      <c r="DU6" s="60">
        <f t="shared" si="44"/>
        <v>302.59481222418219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2.8518518518518516</v>
      </c>
      <c r="EJ6" s="13">
        <f>IF('Données projet'!$A$192&gt;35,EJ5+EI6-ER5,IF(A6&lt;'Données projet'!$A$192,$EG$205^A6,IF(A6='Données projet'!$A$192,'Données projet'!$B$192,EJ5+EI6-ER5)))</f>
        <v>1.6203546529728405</v>
      </c>
      <c r="EK6" s="18">
        <f>EJ6*VLOOKUP('Données projet'!$B$15,Paramètres!$A$1:$I$89,3,0)*VLOOKUP('Données projet'!$B$15,Paramètres!$A$1:$I$89,5,0)</f>
        <v>1.3902642922506974</v>
      </c>
      <c r="EL6" s="14">
        <f t="shared" si="45"/>
        <v>0.61658492107457386</v>
      </c>
      <c r="EM6" s="22">
        <f t="shared" si="19"/>
        <v>3.495262379874847</v>
      </c>
      <c r="EN6" s="60">
        <f t="shared" si="20"/>
        <v>176.85028294975973</v>
      </c>
      <c r="EO6" s="60">
        <f ca="1">AVERAGE(OFFSET($EN$3,0,0,'Données projet'!$E$15+1,1))-AVERAGE(OFFSET($H$3,0,0,'Données projet'!$E$15+1,1))</f>
        <v>478.11504516179713</v>
      </c>
      <c r="EP6" s="60">
        <f t="shared" si="46"/>
        <v>249.93713224442419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3.65</v>
      </c>
      <c r="FE6" s="13">
        <f>IF('Données projet'!$A$218&gt;35,FE5+FD6-FM5,IF(A6&lt;'Données projet'!$A$218,$FB$205^A6,IF(A6='Données projet'!$A$218,'Données projet'!$B$218,FE5+FD6-FM5)))</f>
        <v>1.9032613528593461</v>
      </c>
      <c r="FF6" s="18">
        <f>FE6*VLOOKUP('Données projet'!$B$16,Paramètres!$A$1:$I$89,3,0)*VLOOKUP('Données projet'!$B$16,Paramètres!$A$1:$I$89,5,0)</f>
        <v>1.8408343804855598</v>
      </c>
      <c r="FG6" s="14">
        <f t="shared" si="47"/>
        <v>0.79016732850363813</v>
      </c>
      <c r="FH6" s="22">
        <f t="shared" si="22"/>
        <v>4.5823279764895188</v>
      </c>
      <c r="FI6" s="60">
        <f t="shared" si="23"/>
        <v>177.93734854637441</v>
      </c>
      <c r="FJ6" s="60">
        <f ca="1">AVERAGE(OFFSET($FI$3,0,0,'Données projet'!$E$16+1,1))-AVERAGE(OFFSET($H$3,0,0,'Données projet'!$E$16+1,1))</f>
        <v>603.52431522262032</v>
      </c>
      <c r="FK6" s="60">
        <f t="shared" si="48"/>
        <v>313.56299786481338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>
        <f>EXP(-LN(2)/35)*FQ5+(1-EXP(-LN(2)/35))/(LN(2)/35)*FM6*FN6*VLOOKUP('Données projet'!$B$16,Paramètres!$A$1:$I$89,3,0)*0.475*44/12</f>
        <v>0</v>
      </c>
      <c r="FR6" s="23">
        <f>EXP(-LN(2)/25)*FR5+(1-EXP(-LN(2)/25))/(LN(2)/25)*Calculateur!FM6*Calculateur!FO6*VLOOKUP('Données projet'!$B$16,Paramètres!$A$1:$I$89,3,0)*0.475*44/12</f>
        <v>0</v>
      </c>
      <c r="FS6" s="23">
        <f>EXP(-LN(2)/2)*FS5+(1-EXP(-LN(2)/2))/(LN(2)/2)*FM6*FP6*VLOOKUP('Données projet'!$B$16,Paramètres!$A$1:$I$89,3,0)*0.475*44/12</f>
        <v>0</v>
      </c>
      <c r="FT6" s="24">
        <f t="shared" si="24"/>
        <v>0</v>
      </c>
      <c r="FU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3.2692307692307692</v>
      </c>
      <c r="FZ6" s="13">
        <f>IF('Données projet'!$A$244&gt;35,FZ5+FY6-GH5,IF(A6&lt;'Données projet'!$A$244,$FW$205^A6,IF(A6='Données projet'!$A$244,'Données projet'!$B$244,FZ5+FY6-GH5)))</f>
        <v>2.8466473785911686</v>
      </c>
      <c r="GA6" s="18">
        <f>FZ6*VLOOKUP('Données projet'!$B$17,Paramètres!$A$1:$I$89,3,0)*VLOOKUP('Données projet'!$B$17,Paramètres!$A$1:$I$89,5,0)</f>
        <v>1.909531061558956</v>
      </c>
      <c r="GB6" s="14">
        <f t="shared" si="49"/>
        <v>0.81616679340497278</v>
      </c>
      <c r="GC6" s="22">
        <f t="shared" si="25"/>
        <v>4.7472570973955088</v>
      </c>
      <c r="GD6" s="60">
        <f t="shared" si="26"/>
        <v>178.10227766728039</v>
      </c>
      <c r="GE6" s="60">
        <f ca="1">AVERAGE(OFFSET($GD$3,0,0,'Données projet'!$E$17+1,1))-AVERAGE(OFFSET($H$3,0,0,'Données projet'!$E$17+1,1))</f>
        <v>396.0878652679051</v>
      </c>
      <c r="GF6" s="60">
        <f t="shared" si="50"/>
        <v>327.26339199235406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>
        <f>EXP(-LN(2)/35)*GL5+(1-EXP(-LN(2)/35))/(LN(2)/35)*GH6*GI6*VLOOKUP('Données projet'!$B$17,Paramètres!$A$1:$I$89,3,0)*0.475*44/12</f>
        <v>0</v>
      </c>
      <c r="GM6" s="23">
        <f>EXP(-LN(2)/25)*GM5+(1-EXP(-LN(2)/25))/(LN(2)/25)*Calculateur!GH6*Calculateur!GJ6*VLOOKUP('Données projet'!$B$17,Paramètres!$A$1:$I$89,3,0)*0.475*44/12</f>
        <v>0</v>
      </c>
      <c r="GN6" s="23">
        <f>EXP(-LN(2)/2)*GN5+(1-EXP(-LN(2)/2))/(LN(2)/2)*GH6*GK6*VLOOKUP('Données projet'!$B$17,Paramètres!$A$1:$I$89,3,0)*0.475*44/12</f>
        <v>0</v>
      </c>
      <c r="GO6" s="23">
        <f t="shared" si="27"/>
        <v>0</v>
      </c>
      <c r="GP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0.9</v>
      </c>
      <c r="GU6" s="13">
        <f>IF('Données projet'!$A$270&gt;35,GU5+GT6-HC5,IF(A6&lt;'Données projet'!$A$270,$GR$205^A6,IF(A6='Données projet'!$A$270,'Données projet'!$B$270,GU5+GT6-HC5)))</f>
        <v>1.9331820449317632</v>
      </c>
      <c r="GV6" s="18">
        <f>GU6*VLOOKUP('Données projet'!$B$18,Paramètres!$A$1:$I$89,3,0)*VLOOKUP('Données projet'!$B$18,Paramètres!$A$1:$I$89,5,0)</f>
        <v>1.5681972748486466</v>
      </c>
      <c r="GW6" s="14">
        <f t="shared" si="51"/>
        <v>0.68581679886281277</v>
      </c>
      <c r="GX6" s="22">
        <f t="shared" si="28"/>
        <v>3.9257411783807914</v>
      </c>
      <c r="GY6" s="60">
        <f t="shared" si="29"/>
        <v>177.28076174826569</v>
      </c>
      <c r="GZ6" s="60">
        <f ca="1">AVERAGE(OFFSET($GY$3,0,0,'Données projet'!$E$18+1,1))-AVERAGE(OFFSET($H$3,0,0,'Données projet'!$E$18+1,1))</f>
        <v>272.69564942740931</v>
      </c>
      <c r="HA6" s="60">
        <f t="shared" si="52"/>
        <v>316.57989180609252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>
        <f>EXP(-LN(2)/35)*HG5+(1-EXP(-LN(2)/35))/(LN(2)/35)*HC6*HD6*VLOOKUP('Données projet'!$B$18,Paramètres!$A$1:$I$89,3,0)*0.475*44/12</f>
        <v>0</v>
      </c>
      <c r="HH6" s="23">
        <f>EXP(-LN(2)/25)*HH5+(1-EXP(-LN(2)/25))/(LN(2)/25)*Calculateur!HC6*Calculateur!HE6*VLOOKUP('Données projet'!$B$18,Paramètres!$A$1:$I$89,3,0)*0.475*44/12</f>
        <v>0</v>
      </c>
      <c r="HI6" s="23">
        <f>EXP(-LN(2)/2)*HI5+(1-EXP(-LN(2)/2))/(LN(2)/2)*HC6*HF6*VLOOKUP('Données projet'!$B$18,Paramètres!$A$1:$I$89,3,0)*0.475*44/12</f>
        <v>0</v>
      </c>
      <c r="HJ6" s="24">
        <f t="shared" si="30"/>
        <v>0</v>
      </c>
    </row>
    <row r="7" spans="1:218" s="5" customFormat="1" x14ac:dyDescent="0.25">
      <c r="A7" s="11">
        <f t="shared" si="31"/>
        <v>4</v>
      </c>
      <c r="B7" s="75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8">
        <f t="shared" si="1"/>
        <v>183.33333333333334</v>
      </c>
      <c r="I7" s="7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3.65</v>
      </c>
      <c r="N7" s="14">
        <f>IF('Données projet'!$A$36&gt;35,N6+M7-V6,IF(A7&lt;'Données projet'!$A$36,$K$205^A7,IF(A7='Données projet'!$A$36,'Données projet'!$B$36,N6+M7-V6)))</f>
        <v>2.3586558182407358</v>
      </c>
      <c r="O7" s="14">
        <f>N7*VLOOKUP('Données projet'!$B$9,Paramètres!$A$1:$I$89,3,0)*VLOOKUP('Données projet'!$B$9,Paramètres!$A$1:$I$89,5,0)</f>
        <v>2.1341117843442179</v>
      </c>
      <c r="P7" s="14">
        <f t="shared" si="33"/>
        <v>0.90042667189585779</v>
      </c>
      <c r="Q7" s="22">
        <f t="shared" si="2"/>
        <v>5.2851544779514645</v>
      </c>
      <c r="R7" s="60">
        <f t="shared" si="0"/>
        <v>181.37127654212841</v>
      </c>
      <c r="S7" s="60">
        <f ca="1">AVERAGE(OFFSET($R$3,0,0,'Données projet'!$E$9+1,1))-AVERAGE(OFFSET($H$3,0,0,'Données projet'!$E$9+1,1))</f>
        <v>570.08763950759544</v>
      </c>
      <c r="T7" s="60">
        <f t="shared" si="34"/>
        <v>297.32483725004136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1.1099999999999999</v>
      </c>
      <c r="AI7" s="14">
        <f>IF('Données projet'!$A$62&gt;35,AI6+AH7-AQ6,IF(A7&lt;'Données projet'!$A$62,$AF$205^A7,IF(A7='Données projet'!$A$62,'Données projet'!$B$62,AI6+AH7-AQ6)))</f>
        <v>2.6189619666389237</v>
      </c>
      <c r="AJ7" s="14">
        <f>AI7*VLOOKUP('Données projet'!$B$10,Paramètres!$A$1:$I$89,3,0)*VLOOKUP('Données projet'!$B$10,Paramètres!$A$1:$I$89,5,0)</f>
        <v>2.0836461406579279</v>
      </c>
      <c r="AK7" s="14">
        <f t="shared" si="35"/>
        <v>0.88158647994800687</v>
      </c>
      <c r="AL7" s="22">
        <f t="shared" si="4"/>
        <v>5.1644468142220035</v>
      </c>
      <c r="AM7" s="60">
        <f t="shared" si="5"/>
        <v>181.25056887839895</v>
      </c>
      <c r="AN7" s="60">
        <f ca="1">AVERAGE(OFFSET($AM$3,0,0,'Données projet'!$E$10+1,1))-AVERAGE(OFFSET($H$3,0,0,'Données projet'!$E$10+1,1))</f>
        <v>394.49874384716014</v>
      </c>
      <c r="AO7" s="60">
        <f t="shared" si="36"/>
        <v>423.72519584013378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2.4933333333333332</v>
      </c>
      <c r="BD7" s="13">
        <f>IF('Données projet'!$A$88&gt;35,BD6+BC7-BL6,IF(A7&lt;'Données projet'!$A$88,$BA$205^A7,IF(A7='Données projet'!$A$88,'Données projet'!$B$88,BD6+BC7-BL6)))</f>
        <v>2.6268327805078595</v>
      </c>
      <c r="BE7" s="14">
        <f>BD7*VLOOKUP('Données projet'!$B$11,Paramètres!$A$1:$I$89,3,0)*VLOOKUP('Données projet'!$B$11,Paramètres!$A$1:$I$89,5,0)</f>
        <v>2.2948011170516667</v>
      </c>
      <c r="BF7" s="14">
        <f t="shared" si="37"/>
        <v>0.96007772438938166</v>
      </c>
      <c r="BG7" s="22">
        <f t="shared" si="7"/>
        <v>5.6689139821764911</v>
      </c>
      <c r="BH7" s="60">
        <f t="shared" si="8"/>
        <v>181.75503604635344</v>
      </c>
      <c r="BI7" s="60">
        <f ca="1">AVERAGE(OFFSET($BH$3,0,0,'Données projet'!$E$11+1,1))-AVERAGE(OFFSET($H$3,0,0,'Données projet'!$E$11+1,1))</f>
        <v>363.28611056308665</v>
      </c>
      <c r="BJ7" s="60">
        <f t="shared" si="38"/>
        <v>389.43647559455974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3.1623931623931623</v>
      </c>
      <c r="BY7" s="13">
        <f>IF('Données projet'!$A$114&gt;35,BY6+BX7-CG6,IF(A7&lt;'Données projet'!$A$114,$BV$205^A7,IF(A7='Données projet'!$A$114,'Données projet'!$B$114,BY6+BX7-CG6)))</f>
        <v>2.7987357737675902</v>
      </c>
      <c r="BZ7" s="14">
        <f>BY7*VLOOKUP('Données projet'!$B$12,Paramètres!$A$1:$I$89,3,0)*VLOOKUP('Données projet'!$B$12,Paramètres!$A$1:$I$89,5,0)</f>
        <v>2.6632769623172385</v>
      </c>
      <c r="CA7" s="14">
        <f t="shared" si="39"/>
        <v>1.0950903102276937</v>
      </c>
      <c r="CB7" s="22">
        <f t="shared" si="10"/>
        <v>6.5458229996824224</v>
      </c>
      <c r="CC7" s="60">
        <f t="shared" si="11"/>
        <v>182.63194506385938</v>
      </c>
      <c r="CD7" s="60">
        <f ca="1">AVERAGE(OFFSET($CC$3,0,0,'Données projet'!$E$12+1,1))-AVERAGE(OFFSET($H$3,0,0,'Données projet'!$E$12+1,1))</f>
        <v>441.15969139782891</v>
      </c>
      <c r="CE7" s="60">
        <f t="shared" si="40"/>
        <v>315.06466790224783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1.1099999999999999</v>
      </c>
      <c r="CT7" s="13">
        <f>IF('Données projet'!$A$140&gt;35,CT6+CS7-DB6,IF(A7&lt;'Données projet'!$A$140,$CQ$205^A7,IF(A7='Données projet'!$A$140,'Données projet'!$B$140,CT6+CS7-DB6)))</f>
        <v>2.6189619666389237</v>
      </c>
      <c r="CU7" s="18">
        <f>CT7*VLOOKUP('Données projet'!$B$13,Paramètres!$A$1:$I$89,3,0)*VLOOKUP('Données projet'!$B$13,Paramètres!$A$1:$I$89,5,0)</f>
        <v>1.9202229139396587</v>
      </c>
      <c r="CV7" s="14">
        <f t="shared" si="41"/>
        <v>0.82020342951495628</v>
      </c>
      <c r="CW7" s="22">
        <f t="shared" si="13"/>
        <v>4.7729092148501211</v>
      </c>
      <c r="CX7" s="60">
        <f t="shared" si="14"/>
        <v>180.85903127902708</v>
      </c>
      <c r="CY7" s="60">
        <f ca="1">AVERAGE(OFFSET($CX$3,0,0,'Données projet'!$E$13+1,1))-AVERAGE(OFFSET($H$3,0,0,'Données projet'!$E$13+1,1))</f>
        <v>368.35775920359396</v>
      </c>
      <c r="CZ7" s="60">
        <f t="shared" si="42"/>
        <v>395.5218438652638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2.6666666666666665</v>
      </c>
      <c r="DO7" s="13">
        <f>IF('Données projet'!$A$166&gt;35,DO6+DN7-DW6,IF(A7&lt;'Données projet'!$A$166,$DL$205^A7,IF(A7='Données projet'!$A$166,'Données projet'!$B$166,DO6+DN7-DW6)))</f>
        <v>2.6743361672197152</v>
      </c>
      <c r="DP7" s="18">
        <f>DO7*VLOOKUP('Données projet'!$B$14,Paramètres!$A$1:$I$89,3,0)*VLOOKUP('Données projet'!$B$14,Paramètres!$A$1:$I$89,5,0)</f>
        <v>2.0859822104313781</v>
      </c>
      <c r="DQ7" s="14">
        <f t="shared" si="43"/>
        <v>0.88245976121767966</v>
      </c>
      <c r="DR7" s="22">
        <f t="shared" si="16"/>
        <v>5.1700364339554419</v>
      </c>
      <c r="DS7" s="60">
        <f t="shared" si="17"/>
        <v>181.25615849813238</v>
      </c>
      <c r="DT7" s="60">
        <f ca="1">AVERAGE(OFFSET($DS$3,0,0,'Données projet'!$E$14+1,1))-AVERAGE(OFFSET($H$3,0,0,'Données projet'!$E$14+1,1))</f>
        <v>312.59632808777332</v>
      </c>
      <c r="DU7" s="60">
        <f t="shared" si="44"/>
        <v>302.59481222418219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2.8518518518518516</v>
      </c>
      <c r="EJ7" s="13">
        <f>IF('Données projet'!$A$192&gt;35,EJ6+EI7-ER6,IF(A7&lt;'Données projet'!$A$192,$EG$205^A7,IF(A7='Données projet'!$A$192,'Données projet'!$B$192,EJ6+EI7-ER6)))</f>
        <v>1.903181061649635</v>
      </c>
      <c r="EK7" s="18">
        <f>EJ7*VLOOKUP('Données projet'!$B$15,Paramètres!$A$1:$I$89,3,0)*VLOOKUP('Données projet'!$B$15,Paramètres!$A$1:$I$89,5,0)</f>
        <v>1.632929350895387</v>
      </c>
      <c r="EL7" s="14">
        <f t="shared" si="45"/>
        <v>0.71077158163934118</v>
      </c>
      <c r="EM7" s="22">
        <f t="shared" si="19"/>
        <v>4.0819457908313188</v>
      </c>
      <c r="EN7" s="60">
        <f t="shared" si="20"/>
        <v>180.16806785500827</v>
      </c>
      <c r="EO7" s="60">
        <f ca="1">AVERAGE(OFFSET($EN$3,0,0,'Données projet'!$E$15+1,1))-AVERAGE(OFFSET($H$3,0,0,'Données projet'!$E$15+1,1))</f>
        <v>478.11504516179713</v>
      </c>
      <c r="EP7" s="60">
        <f t="shared" si="46"/>
        <v>249.93713224442419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3.65</v>
      </c>
      <c r="FE7" s="13">
        <f>IF('Données projet'!$A$218&gt;35,FE6+FD7-FM6,IF(A7&lt;'Données projet'!$A$218,$FB$205^A7,IF(A7='Données projet'!$A$218,'Données projet'!$B$218,FE6+FD7-FM6)))</f>
        <v>2.3586558182407358</v>
      </c>
      <c r="FF7" s="18">
        <f>FE7*VLOOKUP('Données projet'!$B$16,Paramètres!$A$1:$I$89,3,0)*VLOOKUP('Données projet'!$B$16,Paramètres!$A$1:$I$89,5,0)</f>
        <v>2.2812919074024398</v>
      </c>
      <c r="FG7" s="14">
        <f t="shared" si="47"/>
        <v>0.95508202741684722</v>
      </c>
      <c r="FH7" s="22">
        <f t="shared" si="22"/>
        <v>5.6366846031435918</v>
      </c>
      <c r="FI7" s="60">
        <f t="shared" si="23"/>
        <v>181.72280666732053</v>
      </c>
      <c r="FJ7" s="60">
        <f ca="1">AVERAGE(OFFSET($FI$3,0,0,'Données projet'!$E$16+1,1))-AVERAGE(OFFSET($H$3,0,0,'Données projet'!$E$16+1,1))</f>
        <v>603.52431522262032</v>
      </c>
      <c r="FK7" s="60">
        <f t="shared" si="48"/>
        <v>313.56299786481338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>
        <f>EXP(-LN(2)/35)*FQ6+(1-EXP(-LN(2)/35))/(LN(2)/35)*FM7*FN7*VLOOKUP('Données projet'!$B$16,Paramètres!$A$1:$I$89,3,0)*0.475*44/12</f>
        <v>0</v>
      </c>
      <c r="FR7" s="23">
        <f>EXP(-LN(2)/25)*FR6+(1-EXP(-LN(2)/25))/(LN(2)/25)*Calculateur!FM7*Calculateur!FO7*VLOOKUP('Données projet'!$B$16,Paramètres!$A$1:$I$89,3,0)*0.475*44/12</f>
        <v>0</v>
      </c>
      <c r="FS7" s="23">
        <f>EXP(-LN(2)/2)*FS6+(1-EXP(-LN(2)/2))/(LN(2)/2)*FM7*FP7*VLOOKUP('Données projet'!$B$16,Paramètres!$A$1:$I$89,3,0)*0.475*44/12</f>
        <v>0</v>
      </c>
      <c r="FT7" s="24">
        <f t="shared" si="24"/>
        <v>0</v>
      </c>
      <c r="FU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3.2692307692307692</v>
      </c>
      <c r="FZ7" s="13">
        <f>IF('Données projet'!$A$244&gt;35,FZ6+FY7-GH6,IF(A7&lt;'Données projet'!$A$244,$FW$205^A7,IF(A7='Données projet'!$A$244,'Données projet'!$B$244,FZ6+FY7-GH6)))</f>
        <v>4.034393273873186</v>
      </c>
      <c r="GA7" s="18">
        <f>FZ7*VLOOKUP('Données projet'!$B$17,Paramètres!$A$1:$I$89,3,0)*VLOOKUP('Données projet'!$B$17,Paramètres!$A$1:$I$89,5,0)</f>
        <v>2.7062710081141335</v>
      </c>
      <c r="GB7" s="14">
        <f t="shared" si="49"/>
        <v>1.1106963183986573</v>
      </c>
      <c r="GC7" s="22">
        <f t="shared" si="25"/>
        <v>6.6478847603431106</v>
      </c>
      <c r="GD7" s="60">
        <f t="shared" si="26"/>
        <v>182.73400682452007</v>
      </c>
      <c r="GE7" s="60">
        <f ca="1">AVERAGE(OFFSET($GD$3,0,0,'Données projet'!$E$17+1,1))-AVERAGE(OFFSET($H$3,0,0,'Données projet'!$E$17+1,1))</f>
        <v>396.0878652679051</v>
      </c>
      <c r="GF7" s="60">
        <f t="shared" si="50"/>
        <v>327.26339199235406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>
        <f>EXP(-LN(2)/35)*GL6+(1-EXP(-LN(2)/35))/(LN(2)/35)*GH7*GI7*VLOOKUP('Données projet'!$B$17,Paramètres!$A$1:$I$89,3,0)*0.475*44/12</f>
        <v>0</v>
      </c>
      <c r="GM7" s="23">
        <f>EXP(-LN(2)/25)*GM6+(1-EXP(-LN(2)/25))/(LN(2)/25)*Calculateur!GH7*Calculateur!GJ7*VLOOKUP('Données projet'!$B$17,Paramètres!$A$1:$I$89,3,0)*0.475*44/12</f>
        <v>0</v>
      </c>
      <c r="GN7" s="23">
        <f>EXP(-LN(2)/2)*GN6+(1-EXP(-LN(2)/2))/(LN(2)/2)*GH7*GK7*VLOOKUP('Données projet'!$B$17,Paramètres!$A$1:$I$89,3,0)*0.475*44/12</f>
        <v>0</v>
      </c>
      <c r="GO7" s="23">
        <f t="shared" si="27"/>
        <v>0</v>
      </c>
      <c r="GP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0.9</v>
      </c>
      <c r="GU7" s="13">
        <f>IF('Données projet'!$A$270&gt;35,GU6+GT7-HC6,IF(A7&lt;'Données projet'!$A$270,$GR$205^A7,IF(A7='Données projet'!$A$270,'Données projet'!$B$270,GU6+GT7-HC6)))</f>
        <v>2.4082246852806923</v>
      </c>
      <c r="GV7" s="18">
        <f>GU7*VLOOKUP('Données projet'!$B$18,Paramètres!$A$1:$I$89,3,0)*VLOOKUP('Données projet'!$B$18,Paramètres!$A$1:$I$89,5,0)</f>
        <v>1.9535518646996977</v>
      </c>
      <c r="GW7" s="14">
        <f t="shared" si="51"/>
        <v>0.83276983766381052</v>
      </c>
      <c r="GX7" s="22">
        <f t="shared" si="28"/>
        <v>4.8528436316164436</v>
      </c>
      <c r="GY7" s="60">
        <f t="shared" si="29"/>
        <v>180.9389656957934</v>
      </c>
      <c r="GZ7" s="60">
        <f ca="1">AVERAGE(OFFSET($GY$3,0,0,'Données projet'!$E$18+1,1))-AVERAGE(OFFSET($H$3,0,0,'Données projet'!$E$18+1,1))</f>
        <v>272.69564942740931</v>
      </c>
      <c r="HA7" s="60">
        <f t="shared" si="52"/>
        <v>316.57989180609252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>
        <f>EXP(-LN(2)/35)*HG6+(1-EXP(-LN(2)/35))/(LN(2)/35)*HC7*HD7*VLOOKUP('Données projet'!$B$18,Paramètres!$A$1:$I$89,3,0)*0.475*44/12</f>
        <v>0</v>
      </c>
      <c r="HH7" s="23">
        <f>EXP(-LN(2)/25)*HH6+(1-EXP(-LN(2)/25))/(LN(2)/25)*Calculateur!HC7*Calculateur!HE7*VLOOKUP('Données projet'!$B$18,Paramètres!$A$1:$I$89,3,0)*0.475*44/12</f>
        <v>0</v>
      </c>
      <c r="HI7" s="23">
        <f>EXP(-LN(2)/2)*HI6+(1-EXP(-LN(2)/2))/(LN(2)/2)*HC7*HF7*VLOOKUP('Données projet'!$B$18,Paramètres!$A$1:$I$89,3,0)*0.475*44/12</f>
        <v>0</v>
      </c>
      <c r="HJ7" s="24">
        <f t="shared" si="30"/>
        <v>0</v>
      </c>
    </row>
    <row r="8" spans="1:218" s="5" customFormat="1" x14ac:dyDescent="0.25">
      <c r="A8" s="11">
        <f t="shared" si="31"/>
        <v>5</v>
      </c>
      <c r="B8" s="75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8">
        <f t="shared" si="1"/>
        <v>183.33333333333334</v>
      </c>
      <c r="I8" s="7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3.65</v>
      </c>
      <c r="N8" s="14">
        <f>IF('Données projet'!$A$36&gt;35,N7+M8-V7,IF(A8&lt;'Données projet'!$A$36,$K$205^A8,IF(A8='Données projet'!$A$36,'Données projet'!$B$36,N7+M8-V7)))</f>
        <v>2.9230127856917649</v>
      </c>
      <c r="O8" s="14">
        <f>N8*VLOOKUP('Données projet'!$B$9,Paramètres!$A$1:$I$89,3,0)*VLOOKUP('Données projet'!$B$9,Paramètres!$A$1:$I$89,5,0)</f>
        <v>2.6447419684939089</v>
      </c>
      <c r="P8" s="14">
        <f t="shared" si="33"/>
        <v>1.0883534414958294</v>
      </c>
      <c r="Q8" s="22">
        <f t="shared" si="2"/>
        <v>6.5018078390654601</v>
      </c>
      <c r="R8" s="60">
        <f t="shared" si="0"/>
        <v>185.29285571551281</v>
      </c>
      <c r="S8" s="60">
        <f ca="1">AVERAGE(OFFSET($R$3,0,0,'Données projet'!$E$9+1,1))-AVERAGE(OFFSET($H$3,0,0,'Données projet'!$E$9+1,1))</f>
        <v>570.08763950759544</v>
      </c>
      <c r="T8" s="60">
        <f t="shared" si="34"/>
        <v>297.32483725004136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1.1099999999999999</v>
      </c>
      <c r="AI8" s="14">
        <f>IF('Données projet'!$A$62&gt;35,AI7+AH8-AQ7,IF(A8&lt;'Données projet'!$A$62,$AF$205^A8,IF(A8='Données projet'!$A$62,'Données projet'!$B$62,AI7+AH8-AQ7)))</f>
        <v>3.331666249791537</v>
      </c>
      <c r="AJ8" s="14">
        <f>AI8*VLOOKUP('Données projet'!$B$10,Paramètres!$A$1:$I$89,3,0)*VLOOKUP('Données projet'!$B$10,Paramètres!$A$1:$I$89,5,0)</f>
        <v>2.650673668334147</v>
      </c>
      <c r="AK8" s="14">
        <f t="shared" si="35"/>
        <v>1.0905100180313785</v>
      </c>
      <c r="AL8" s="22">
        <f t="shared" si="4"/>
        <v>6.5158949204199574</v>
      </c>
      <c r="AM8" s="60">
        <f t="shared" si="5"/>
        <v>185.3069427968673</v>
      </c>
      <c r="AN8" s="60">
        <f ca="1">AVERAGE(OFFSET($AM$3,0,0,'Données projet'!$E$10+1,1))-AVERAGE(OFFSET($H$3,0,0,'Données projet'!$E$10+1,1))</f>
        <v>394.49874384716014</v>
      </c>
      <c r="AO8" s="60">
        <f t="shared" si="36"/>
        <v>423.72519584013378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2.4933333333333332</v>
      </c>
      <c r="BD8" s="13">
        <f>IF('Données projet'!$A$88&gt;35,BD7+BC8-BL7,IF(A8&lt;'Données projet'!$A$88,$BA$205^A8,IF(A8='Données projet'!$A$88,'Données projet'!$B$88,BD7+BC8-BL7)))</f>
        <v>3.3441868442565297</v>
      </c>
      <c r="BE8" s="14">
        <f>BD8*VLOOKUP('Données projet'!$B$11,Paramètres!$A$1:$I$89,3,0)*VLOOKUP('Données projet'!$B$11,Paramètres!$A$1:$I$89,5,0)</f>
        <v>2.9214816271425046</v>
      </c>
      <c r="BF8" s="14">
        <f t="shared" si="37"/>
        <v>1.1883900762637927</v>
      </c>
      <c r="BG8" s="22">
        <f t="shared" si="7"/>
        <v>7.1580265500992999</v>
      </c>
      <c r="BH8" s="60">
        <f t="shared" si="8"/>
        <v>185.94907442654664</v>
      </c>
      <c r="BI8" s="60">
        <f ca="1">AVERAGE(OFFSET($BH$3,0,0,'Données projet'!$E$11+1,1))-AVERAGE(OFFSET($H$3,0,0,'Données projet'!$E$11+1,1))</f>
        <v>363.28611056308665</v>
      </c>
      <c r="BJ8" s="60">
        <f t="shared" si="38"/>
        <v>389.43647559455974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3.1623931623931623</v>
      </c>
      <c r="BY8" s="13">
        <f>IF('Données projet'!$A$114&gt;35,BY7+BX8-CG7,IF(A8&lt;'Données projet'!$A$114,$BV$205^A8,IF(A8='Données projet'!$A$114,'Données projet'!$B$114,BY7+BX8-CG7)))</f>
        <v>3.6199483483136521</v>
      </c>
      <c r="BZ8" s="14">
        <f>BY8*VLOOKUP('Données projet'!$B$12,Paramètres!$A$1:$I$89,3,0)*VLOOKUP('Données projet'!$B$12,Paramètres!$A$1:$I$89,5,0)</f>
        <v>3.4447428482552716</v>
      </c>
      <c r="CA8" s="14">
        <f t="shared" si="39"/>
        <v>1.3746236757212458</v>
      </c>
      <c r="CB8" s="22">
        <f t="shared" si="10"/>
        <v>8.3937300292591015</v>
      </c>
      <c r="CC8" s="60">
        <f t="shared" si="11"/>
        <v>187.18477790570645</v>
      </c>
      <c r="CD8" s="60">
        <f ca="1">AVERAGE(OFFSET($CC$3,0,0,'Données projet'!$E$12+1,1))-AVERAGE(OFFSET($H$3,0,0,'Données projet'!$E$12+1,1))</f>
        <v>441.15969139782891</v>
      </c>
      <c r="CE8" s="60">
        <f t="shared" si="40"/>
        <v>315.06466790224783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1.1099999999999999</v>
      </c>
      <c r="CT8" s="13">
        <f>IF('Données projet'!$A$140&gt;35,CT7+CS8-DB7,IF(A8&lt;'Données projet'!$A$140,$CQ$205^A8,IF(A8='Données projet'!$A$140,'Données projet'!$B$140,CT7+CS8-DB7)))</f>
        <v>3.331666249791537</v>
      </c>
      <c r="CU8" s="18">
        <f>CT8*VLOOKUP('Données projet'!$B$13,Paramètres!$A$1:$I$89,3,0)*VLOOKUP('Données projet'!$B$13,Paramètres!$A$1:$I$89,5,0)</f>
        <v>2.4427776943471549</v>
      </c>
      <c r="CV8" s="14">
        <f t="shared" si="41"/>
        <v>1.0145800520471964</v>
      </c>
      <c r="CW8" s="22">
        <f t="shared" si="13"/>
        <v>6.0215647416368272</v>
      </c>
      <c r="CX8" s="60">
        <f t="shared" si="14"/>
        <v>184.81261261808419</v>
      </c>
      <c r="CY8" s="60">
        <f ca="1">AVERAGE(OFFSET($CX$3,0,0,'Données projet'!$E$13+1,1))-AVERAGE(OFFSET($H$3,0,0,'Données projet'!$E$13+1,1))</f>
        <v>368.35775920359396</v>
      </c>
      <c r="CZ8" s="60">
        <f t="shared" si="42"/>
        <v>395.5218438652638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2.6666666666666665</v>
      </c>
      <c r="DO8" s="13">
        <f>IF('Données projet'!$A$166&gt;35,DO7+DN8-DW7,IF(A8&lt;'Données projet'!$A$166,$DL$205^A8,IF(A8='Données projet'!$A$166,'Données projet'!$B$166,DO7+DN8-DW7)))</f>
        <v>3.4199518933533928</v>
      </c>
      <c r="DP8" s="18">
        <f>DO8*VLOOKUP('Données projet'!$B$14,Paramètres!$A$1:$I$89,3,0)*VLOOKUP('Données projet'!$B$14,Paramètres!$A$1:$I$89,5,0)</f>
        <v>2.6675624768156463</v>
      </c>
      <c r="DQ8" s="14">
        <f t="shared" si="43"/>
        <v>1.0966471776471767</v>
      </c>
      <c r="DR8" s="22">
        <f t="shared" si="16"/>
        <v>6.5559984815227494</v>
      </c>
      <c r="DS8" s="60">
        <f t="shared" si="17"/>
        <v>185.3470463579701</v>
      </c>
      <c r="DT8" s="60">
        <f ca="1">AVERAGE(OFFSET($DS$3,0,0,'Données projet'!$E$14+1,1))-AVERAGE(OFFSET($H$3,0,0,'Données projet'!$E$14+1,1))</f>
        <v>312.59632808777332</v>
      </c>
      <c r="DU8" s="60">
        <f t="shared" si="44"/>
        <v>302.59481222418219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2.8518518518518516</v>
      </c>
      <c r="EJ8" s="13">
        <f>IF('Données projet'!$A$192&gt;35,EJ7+EI8-ER7,IF(A8&lt;'Données projet'!$A$192,$EG$205^A8,IF(A8='Données projet'!$A$192,'Données projet'!$B$192,EJ7+EI8-ER7)))</f>
        <v>2.2353736861102735</v>
      </c>
      <c r="EK8" s="18">
        <f>EJ8*VLOOKUP('Données projet'!$B$15,Paramètres!$A$1:$I$89,3,0)*VLOOKUP('Données projet'!$B$15,Paramètres!$A$1:$I$89,5,0)</f>
        <v>1.9179506226826148</v>
      </c>
      <c r="EL8" s="14">
        <f t="shared" si="45"/>
        <v>0.81934576081692545</v>
      </c>
      <c r="EM8" s="22">
        <f t="shared" si="19"/>
        <v>4.767457867928365</v>
      </c>
      <c r="EN8" s="60">
        <f t="shared" si="20"/>
        <v>183.55850574437571</v>
      </c>
      <c r="EO8" s="60">
        <f ca="1">AVERAGE(OFFSET($EN$3,0,0,'Données projet'!$E$15+1,1))-AVERAGE(OFFSET($H$3,0,0,'Données projet'!$E$15+1,1))</f>
        <v>478.11504516179713</v>
      </c>
      <c r="EP8" s="60">
        <f t="shared" si="46"/>
        <v>249.93713224442419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3.65</v>
      </c>
      <c r="FE8" s="13">
        <f>IF('Données projet'!$A$218&gt;35,FE7+FD8-FM7,IF(A8&lt;'Données projet'!$A$218,$FB$205^A8,IF(A8='Données projet'!$A$218,'Données projet'!$B$218,FE7+FD8-FM7)))</f>
        <v>2.9230127856917649</v>
      </c>
      <c r="FF8" s="18">
        <f>FE8*VLOOKUP('Données projet'!$B$16,Paramètres!$A$1:$I$89,3,0)*VLOOKUP('Données projet'!$B$16,Paramètres!$A$1:$I$89,5,0)</f>
        <v>2.8271379663210752</v>
      </c>
      <c r="FG8" s="14">
        <f t="shared" si="47"/>
        <v>1.1544158385061292</v>
      </c>
      <c r="FH8" s="22">
        <f t="shared" si="22"/>
        <v>6.9345395434073795</v>
      </c>
      <c r="FI8" s="60">
        <f t="shared" si="23"/>
        <v>185.72558741985472</v>
      </c>
      <c r="FJ8" s="60">
        <f ca="1">AVERAGE(OFFSET($FI$3,0,0,'Données projet'!$E$16+1,1))-AVERAGE(OFFSET($H$3,0,0,'Données projet'!$E$16+1,1))</f>
        <v>603.52431522262032</v>
      </c>
      <c r="FK8" s="60">
        <f t="shared" si="48"/>
        <v>313.56299786481338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>
        <f>EXP(-LN(2)/35)*FQ7+(1-EXP(-LN(2)/35))/(LN(2)/35)*FM8*FN8*VLOOKUP('Données projet'!$B$16,Paramètres!$A$1:$I$89,3,0)*0.475*44/12</f>
        <v>0</v>
      </c>
      <c r="FR8" s="23">
        <f>EXP(-LN(2)/25)*FR7+(1-EXP(-LN(2)/25))/(LN(2)/25)*Calculateur!FM8*Calculateur!FO8*VLOOKUP('Données projet'!$B$16,Paramètres!$A$1:$I$89,3,0)*0.475*44/12</f>
        <v>0</v>
      </c>
      <c r="FS8" s="23">
        <f>EXP(-LN(2)/2)*FS7+(1-EXP(-LN(2)/2))/(LN(2)/2)*FM8*FP8*VLOOKUP('Données projet'!$B$16,Paramètres!$A$1:$I$89,3,0)*0.475*44/12</f>
        <v>0</v>
      </c>
      <c r="FT8" s="24">
        <f t="shared" si="24"/>
        <v>0</v>
      </c>
      <c r="FU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3.2692307692307692</v>
      </c>
      <c r="FZ8" s="13">
        <f>IF('Données projet'!$A$244&gt;35,FZ7+FY8-GH7,IF(A8&lt;'Données projet'!$A$244,$FW$205^A8,IF(A8='Données projet'!$A$244,'Données projet'!$B$244,FZ7+FY8-GH7)))</f>
        <v>5.7177187489686574</v>
      </c>
      <c r="GA8" s="18">
        <f>FZ8*VLOOKUP('Données projet'!$B$17,Paramètres!$A$1:$I$89,3,0)*VLOOKUP('Données projet'!$B$17,Paramètres!$A$1:$I$89,5,0)</f>
        <v>3.8354457368081754</v>
      </c>
      <c r="GB8" s="14">
        <f t="shared" si="49"/>
        <v>1.5115125017003845</v>
      </c>
      <c r="GC8" s="22">
        <f t="shared" si="25"/>
        <v>9.3126189320690731</v>
      </c>
      <c r="GD8" s="60">
        <f t="shared" si="26"/>
        <v>188.10366680851644</v>
      </c>
      <c r="GE8" s="60">
        <f ca="1">AVERAGE(OFFSET($GD$3,0,0,'Données projet'!$E$17+1,1))-AVERAGE(OFFSET($H$3,0,0,'Données projet'!$E$17+1,1))</f>
        <v>396.0878652679051</v>
      </c>
      <c r="GF8" s="60">
        <f t="shared" si="50"/>
        <v>327.26339199235406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>
        <f>EXP(-LN(2)/35)*GL7+(1-EXP(-LN(2)/35))/(LN(2)/35)*GH8*GI8*VLOOKUP('Données projet'!$B$17,Paramètres!$A$1:$I$89,3,0)*0.475*44/12</f>
        <v>0</v>
      </c>
      <c r="GM8" s="23">
        <f>EXP(-LN(2)/25)*GM7+(1-EXP(-LN(2)/25))/(LN(2)/25)*Calculateur!GH8*Calculateur!GJ8*VLOOKUP('Données projet'!$B$17,Paramètres!$A$1:$I$89,3,0)*0.475*44/12</f>
        <v>0</v>
      </c>
      <c r="GN8" s="23">
        <f>EXP(-LN(2)/2)*GN7+(1-EXP(-LN(2)/2))/(LN(2)/2)*GH8*GK8*VLOOKUP('Données projet'!$B$17,Paramètres!$A$1:$I$89,3,0)*0.475*44/12</f>
        <v>0</v>
      </c>
      <c r="GO8" s="23">
        <f t="shared" si="27"/>
        <v>0</v>
      </c>
      <c r="GP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0.9</v>
      </c>
      <c r="GU8" s="13">
        <f>IF('Données projet'!$A$270&gt;35,GU7+GT8-HC7,IF(A8&lt;'Données projet'!$A$270,$GR$205^A8,IF(A8='Données projet'!$A$270,'Données projet'!$B$270,GU7+GT8-HC7)))</f>
        <v>3.0000000000000004</v>
      </c>
      <c r="GV8" s="18">
        <f>GU8*VLOOKUP('Données projet'!$B$18,Paramètres!$A$1:$I$89,3,0)*VLOOKUP('Données projet'!$B$18,Paramètres!$A$1:$I$89,5,0)</f>
        <v>2.4336000000000007</v>
      </c>
      <c r="GW8" s="14">
        <f t="shared" si="51"/>
        <v>1.0112111626203177</v>
      </c>
      <c r="GX8" s="22">
        <f t="shared" si="28"/>
        <v>5.9997127748970547</v>
      </c>
      <c r="GY8" s="60">
        <f t="shared" si="29"/>
        <v>184.79076065134441</v>
      </c>
      <c r="GZ8" s="60">
        <f ca="1">AVERAGE(OFFSET($GY$3,0,0,'Données projet'!$E$18+1,1))-AVERAGE(OFFSET($H$3,0,0,'Données projet'!$E$18+1,1))</f>
        <v>272.69564942740931</v>
      </c>
      <c r="HA8" s="60">
        <f t="shared" si="52"/>
        <v>316.57989180609252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>
        <f>EXP(-LN(2)/35)*HG7+(1-EXP(-LN(2)/35))/(LN(2)/35)*HC8*HD8*VLOOKUP('Données projet'!$B$18,Paramètres!$A$1:$I$89,3,0)*0.475*44/12</f>
        <v>0</v>
      </c>
      <c r="HH8" s="23">
        <f>EXP(-LN(2)/25)*HH7+(1-EXP(-LN(2)/25))/(LN(2)/25)*Calculateur!HC8*Calculateur!HE8*VLOOKUP('Données projet'!$B$18,Paramètres!$A$1:$I$89,3,0)*0.475*44/12</f>
        <v>0</v>
      </c>
      <c r="HI8" s="23">
        <f>EXP(-LN(2)/2)*HI7+(1-EXP(-LN(2)/2))/(LN(2)/2)*HC8*HF8*VLOOKUP('Données projet'!$B$18,Paramètres!$A$1:$I$89,3,0)*0.475*44/12</f>
        <v>0</v>
      </c>
      <c r="HJ8" s="24">
        <f t="shared" si="30"/>
        <v>0</v>
      </c>
    </row>
    <row r="9" spans="1:218" s="5" customFormat="1" x14ac:dyDescent="0.25">
      <c r="A9" s="11">
        <f t="shared" si="31"/>
        <v>6</v>
      </c>
      <c r="B9" s="75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8">
        <f t="shared" si="1"/>
        <v>183.33333333333334</v>
      </c>
      <c r="I9" s="7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3.65</v>
      </c>
      <c r="N9" s="14">
        <f>IF('Données projet'!$A$36&gt;35,N8+M9-V8,IF(A9&lt;'Données projet'!$A$36,$K$205^A9,IF(A9='Données projet'!$A$36,'Données projet'!$B$36,N8+M9-V8)))</f>
        <v>3.6224037772879885</v>
      </c>
      <c r="O9" s="14">
        <f>N9*VLOOKUP('Données projet'!$B$9,Paramètres!$A$1:$I$89,3,0)*VLOOKUP('Données projet'!$B$9,Paramètres!$A$1:$I$89,5,0)</f>
        <v>3.2775509376901719</v>
      </c>
      <c r="P9" s="14">
        <f t="shared" si="33"/>
        <v>1.315502139804245</v>
      </c>
      <c r="Q9" s="22">
        <f t="shared" si="2"/>
        <v>7.9995674433027766</v>
      </c>
      <c r="R9" s="60">
        <f t="shared" si="0"/>
        <v>189.46981953956174</v>
      </c>
      <c r="S9" s="60">
        <f ca="1">AVERAGE(OFFSET($R$3,0,0,'Données projet'!$E$9+1,1))-AVERAGE(OFFSET($H$3,0,0,'Données projet'!$E$9+1,1))</f>
        <v>570.08763950759544</v>
      </c>
      <c r="T9" s="60">
        <f t="shared" si="34"/>
        <v>297.32483725004136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1.1099999999999999</v>
      </c>
      <c r="AI9" s="14">
        <f>IF('Données projet'!$A$62&gt;35,AI8+AH9-AQ8,IF(A9&lt;'Données projet'!$A$62,$AF$205^A9,IF(A9='Données projet'!$A$62,'Données projet'!$B$62,AI8+AH9-AQ8)))</f>
        <v>4.2383204267167436</v>
      </c>
      <c r="AJ9" s="14">
        <f>AI9*VLOOKUP('Données projet'!$B$10,Paramètres!$A$1:$I$89,3,0)*VLOOKUP('Données projet'!$B$10,Paramètres!$A$1:$I$89,5,0)</f>
        <v>3.3720077314958417</v>
      </c>
      <c r="AK9" s="14">
        <f t="shared" si="35"/>
        <v>1.3489454823501079</v>
      </c>
      <c r="AL9" s="22">
        <f t="shared" si="4"/>
        <v>8.2223268474483628</v>
      </c>
      <c r="AM9" s="60">
        <f t="shared" si="5"/>
        <v>189.69257894370733</v>
      </c>
      <c r="AN9" s="60">
        <f ca="1">AVERAGE(OFFSET($AM$3,0,0,'Données projet'!$E$10+1,1))-AVERAGE(OFFSET($H$3,0,0,'Données projet'!$E$10+1,1))</f>
        <v>394.49874384716014</v>
      </c>
      <c r="AO9" s="60">
        <f t="shared" si="36"/>
        <v>423.72519584013378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2.4933333333333332</v>
      </c>
      <c r="BD9" s="13">
        <f>IF('Données projet'!$A$88&gt;35,BD8+BC9-BL8,IF(A9&lt;'Données projet'!$A$88,$BA$205^A9,IF(A9='Données projet'!$A$88,'Données projet'!$B$88,BD8+BC9-BL8)))</f>
        <v>4.2574410264273705</v>
      </c>
      <c r="BE9" s="14">
        <f>BD9*VLOOKUP('Données projet'!$B$11,Paramètres!$A$1:$I$89,3,0)*VLOOKUP('Données projet'!$B$11,Paramètres!$A$1:$I$89,5,0)</f>
        <v>3.7193004806869516</v>
      </c>
      <c r="BF9" s="14">
        <f t="shared" si="37"/>
        <v>1.4709965011014925</v>
      </c>
      <c r="BG9" s="22">
        <f t="shared" si="7"/>
        <v>9.0397672432815401</v>
      </c>
      <c r="BH9" s="60">
        <f t="shared" si="8"/>
        <v>190.51001933954052</v>
      </c>
      <c r="BI9" s="60">
        <f ca="1">AVERAGE(OFFSET($BH$3,0,0,'Données projet'!$E$11+1,1))-AVERAGE(OFFSET($H$3,0,0,'Données projet'!$E$11+1,1))</f>
        <v>363.28611056308665</v>
      </c>
      <c r="BJ9" s="60">
        <f t="shared" si="38"/>
        <v>389.43647559455974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3.1623931623931623</v>
      </c>
      <c r="BY9" s="13">
        <f>IF('Données projet'!$A$114&gt;35,BY8+BX9-CG8,IF(A9&lt;'Données projet'!$A$114,$BV$205^A9,IF(A9='Données projet'!$A$114,'Données projet'!$B$114,BY8+BX9-CG8)))</f>
        <v>4.6821233241387468</v>
      </c>
      <c r="BZ9" s="14">
        <f>BY9*VLOOKUP('Données projet'!$B$12,Paramètres!$A$1:$I$89,3,0)*VLOOKUP('Données projet'!$B$12,Paramètres!$A$1:$I$89,5,0)</f>
        <v>4.4555085552504314</v>
      </c>
      <c r="CA9" s="14">
        <f t="shared" si="39"/>
        <v>1.7255108845411122</v>
      </c>
      <c r="CB9" s="22">
        <f t="shared" si="10"/>
        <v>10.765275524303604</v>
      </c>
      <c r="CC9" s="60">
        <f t="shared" si="11"/>
        <v>192.23552762056258</v>
      </c>
      <c r="CD9" s="60">
        <f ca="1">AVERAGE(OFFSET($CC$3,0,0,'Données projet'!$E$12+1,1))-AVERAGE(OFFSET($H$3,0,0,'Données projet'!$E$12+1,1))</f>
        <v>441.15969139782891</v>
      </c>
      <c r="CE9" s="60">
        <f t="shared" si="40"/>
        <v>315.06466790224783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1.1099999999999999</v>
      </c>
      <c r="CT9" s="13">
        <f>IF('Données projet'!$A$140&gt;35,CT8+CS9-DB8,IF(A9&lt;'Données projet'!$A$140,$CQ$205^A9,IF(A9='Données projet'!$A$140,'Données projet'!$B$140,CT8+CS9-DB8)))</f>
        <v>4.2383204267167436</v>
      </c>
      <c r="CU9" s="18">
        <f>CT9*VLOOKUP('Données projet'!$B$13,Paramètres!$A$1:$I$89,3,0)*VLOOKUP('Données projet'!$B$13,Paramètres!$A$1:$I$89,5,0)</f>
        <v>3.1075365368687162</v>
      </c>
      <c r="CV9" s="14">
        <f t="shared" si="41"/>
        <v>1.2550211873910744</v>
      </c>
      <c r="CW9" s="22">
        <f t="shared" si="13"/>
        <v>7.5981213697524668</v>
      </c>
      <c r="CX9" s="60">
        <f t="shared" si="14"/>
        <v>189.06837346601145</v>
      </c>
      <c r="CY9" s="60">
        <f ca="1">AVERAGE(OFFSET($CX$3,0,0,'Données projet'!$E$13+1,1))-AVERAGE(OFFSET($H$3,0,0,'Données projet'!$E$13+1,1))</f>
        <v>368.35775920359396</v>
      </c>
      <c r="CZ9" s="60">
        <f t="shared" si="42"/>
        <v>395.5218438652638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2.6666666666666665</v>
      </c>
      <c r="DO9" s="13">
        <f>IF('Données projet'!$A$166&gt;35,DO8+DN9-DW8,IF(A9&lt;'Données projet'!$A$166,$DL$205^A9,IF(A9='Données projet'!$A$166,'Données projet'!$B$166,DO8+DN9-DW8)))</f>
        <v>4.3734482957731098</v>
      </c>
      <c r="DP9" s="18">
        <f>DO9*VLOOKUP('Données projet'!$B$14,Paramètres!$A$1:$I$89,3,0)*VLOOKUP('Données projet'!$B$14,Paramètres!$A$1:$I$89,5,0)</f>
        <v>3.4112896707030256</v>
      </c>
      <c r="DQ9" s="14">
        <f t="shared" si="43"/>
        <v>1.3628213830192535</v>
      </c>
      <c r="DR9" s="22">
        <f t="shared" si="16"/>
        <v>8.3149100852329703</v>
      </c>
      <c r="DS9" s="60">
        <f t="shared" si="17"/>
        <v>189.78516218149196</v>
      </c>
      <c r="DT9" s="60">
        <f ca="1">AVERAGE(OFFSET($DS$3,0,0,'Données projet'!$E$14+1,1))-AVERAGE(OFFSET($H$3,0,0,'Données projet'!$E$14+1,1))</f>
        <v>312.59632808777332</v>
      </c>
      <c r="DU9" s="60">
        <f t="shared" si="44"/>
        <v>302.59481222418219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2.8518518518518516</v>
      </c>
      <c r="EJ9" s="13">
        <f>IF('Données projet'!$A$192&gt;35,EJ8+EI9-ER8,IF(A9&lt;'Données projet'!$A$192,$EG$205^A9,IF(A9='Données projet'!$A$192,'Données projet'!$B$192,EJ8+EI9-ER8)))</f>
        <v>2.6255492014107342</v>
      </c>
      <c r="EK9" s="18">
        <f>EJ9*VLOOKUP('Données projet'!$B$15,Paramètres!$A$1:$I$89,3,0)*VLOOKUP('Données projet'!$B$15,Paramètres!$A$1:$I$89,5,0)</f>
        <v>2.2527212148104101</v>
      </c>
      <c r="EL9" s="14">
        <f t="shared" si="45"/>
        <v>0.94450522940196935</v>
      </c>
      <c r="EM9" s="22">
        <f t="shared" si="19"/>
        <v>5.5685027236698934</v>
      </c>
      <c r="EN9" s="60">
        <f t="shared" si="20"/>
        <v>187.03875481992887</v>
      </c>
      <c r="EO9" s="60">
        <f ca="1">AVERAGE(OFFSET($EN$3,0,0,'Données projet'!$E$15+1,1))-AVERAGE(OFFSET($H$3,0,0,'Données projet'!$E$15+1,1))</f>
        <v>478.11504516179713</v>
      </c>
      <c r="EP9" s="60">
        <f t="shared" si="46"/>
        <v>249.93713224442419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3.65</v>
      </c>
      <c r="FE9" s="13">
        <f>IF('Données projet'!$A$218&gt;35,FE8+FD9-FM8,IF(A9&lt;'Données projet'!$A$218,$FB$205^A9,IF(A9='Données projet'!$A$218,'Données projet'!$B$218,FE8+FD9-FM8)))</f>
        <v>3.6224037772879885</v>
      </c>
      <c r="FF9" s="18">
        <f>FE9*VLOOKUP('Données projet'!$B$16,Paramètres!$A$1:$I$89,3,0)*VLOOKUP('Données projet'!$B$16,Paramètres!$A$1:$I$89,5,0)</f>
        <v>3.5035889333929422</v>
      </c>
      <c r="FG9" s="14">
        <f t="shared" si="47"/>
        <v>1.3953523257036018</v>
      </c>
      <c r="FH9" s="22">
        <f t="shared" si="22"/>
        <v>8.5323226929264795</v>
      </c>
      <c r="FI9" s="60">
        <f t="shared" si="23"/>
        <v>190.00257478918545</v>
      </c>
      <c r="FJ9" s="60">
        <f ca="1">AVERAGE(OFFSET($FI$3,0,0,'Données projet'!$E$16+1,1))-AVERAGE(OFFSET($H$3,0,0,'Données projet'!$E$16+1,1))</f>
        <v>603.52431522262032</v>
      </c>
      <c r="FK9" s="60">
        <f t="shared" si="48"/>
        <v>313.56299786481338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>
        <f>EXP(-LN(2)/35)*FQ8+(1-EXP(-LN(2)/35))/(LN(2)/35)*FM9*FN9*VLOOKUP('Données projet'!$B$16,Paramètres!$A$1:$I$89,3,0)*0.475*44/12</f>
        <v>0</v>
      </c>
      <c r="FR9" s="23">
        <f>EXP(-LN(2)/25)*FR8+(1-EXP(-LN(2)/25))/(LN(2)/25)*Calculateur!FM9*Calculateur!FO9*VLOOKUP('Données projet'!$B$16,Paramètres!$A$1:$I$89,3,0)*0.475*44/12</f>
        <v>0</v>
      </c>
      <c r="FS9" s="23">
        <f>EXP(-LN(2)/2)*FS8+(1-EXP(-LN(2)/2))/(LN(2)/2)*FM9*FP9*VLOOKUP('Données projet'!$B$16,Paramètres!$A$1:$I$89,3,0)*0.475*44/12</f>
        <v>0</v>
      </c>
      <c r="FT9" s="24">
        <f t="shared" si="24"/>
        <v>0</v>
      </c>
      <c r="FU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3.2692307692307692</v>
      </c>
      <c r="FZ9" s="13">
        <f>IF('Données projet'!$A$244&gt;35,FZ8+FY9-GH8,IF(A9&lt;'Données projet'!$A$244,$FW$205^A9,IF(A9='Données projet'!$A$244,'Données projet'!$B$244,FZ8+FY9-GH8)))</f>
        <v>8.1034012980399712</v>
      </c>
      <c r="GA9" s="18">
        <f>FZ9*VLOOKUP('Données projet'!$B$17,Paramètres!$A$1:$I$89,3,0)*VLOOKUP('Données projet'!$B$17,Paramètres!$A$1:$I$89,5,0)</f>
        <v>5.435761590725213</v>
      </c>
      <c r="GB9" s="14">
        <f t="shared" si="49"/>
        <v>2.0569709334145188</v>
      </c>
      <c r="GC9" s="22">
        <f t="shared" si="25"/>
        <v>13.049842479543365</v>
      </c>
      <c r="GD9" s="60">
        <f t="shared" si="26"/>
        <v>194.52009457580235</v>
      </c>
      <c r="GE9" s="60">
        <f ca="1">AVERAGE(OFFSET($GD$3,0,0,'Données projet'!$E$17+1,1))-AVERAGE(OFFSET($H$3,0,0,'Données projet'!$E$17+1,1))</f>
        <v>396.0878652679051</v>
      </c>
      <c r="GF9" s="60">
        <f t="shared" si="50"/>
        <v>327.26339199235406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>
        <f>EXP(-LN(2)/35)*GL8+(1-EXP(-LN(2)/35))/(LN(2)/35)*GH9*GI9*VLOOKUP('Données projet'!$B$17,Paramètres!$A$1:$I$89,3,0)*0.475*44/12</f>
        <v>0</v>
      </c>
      <c r="GM9" s="23">
        <f>EXP(-LN(2)/25)*GM8+(1-EXP(-LN(2)/25))/(LN(2)/25)*Calculateur!GH9*Calculateur!GJ9*VLOOKUP('Données projet'!$B$17,Paramètres!$A$1:$I$89,3,0)*0.475*44/12</f>
        <v>0</v>
      </c>
      <c r="GN9" s="23">
        <f>EXP(-LN(2)/2)*GN8+(1-EXP(-LN(2)/2))/(LN(2)/2)*GH9*GK9*VLOOKUP('Données projet'!$B$17,Paramètres!$A$1:$I$89,3,0)*0.475*44/12</f>
        <v>0</v>
      </c>
      <c r="GO9" s="23">
        <f t="shared" si="27"/>
        <v>0</v>
      </c>
      <c r="GP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0.9</v>
      </c>
      <c r="GU9" s="13">
        <f>IF('Données projet'!$A$270&gt;35,GU8+GT9-HC8,IF(A9&lt;'Données projet'!$A$270,$GR$205^A9,IF(A9='Données projet'!$A$270,'Données projet'!$B$270,GU8+GT9-HC8)))</f>
        <v>3.7371928188465526</v>
      </c>
      <c r="GV9" s="18">
        <f>GU9*VLOOKUP('Données projet'!$B$18,Paramètres!$A$1:$I$89,3,0)*VLOOKUP('Données projet'!$B$18,Paramètres!$A$1:$I$89,5,0)</f>
        <v>3.0316108146483236</v>
      </c>
      <c r="GW9" s="14">
        <f t="shared" si="51"/>
        <v>1.2278879099133964</v>
      </c>
      <c r="GX9" s="22">
        <f t="shared" si="28"/>
        <v>7.4186269452783291</v>
      </c>
      <c r="GY9" s="60">
        <f t="shared" si="29"/>
        <v>188.88887904153731</v>
      </c>
      <c r="GZ9" s="60">
        <f ca="1">AVERAGE(OFFSET($GY$3,0,0,'Données projet'!$E$18+1,1))-AVERAGE(OFFSET($H$3,0,0,'Données projet'!$E$18+1,1))</f>
        <v>272.69564942740931</v>
      </c>
      <c r="HA9" s="60">
        <f t="shared" si="52"/>
        <v>316.57989180609252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>
        <f>EXP(-LN(2)/35)*HG8+(1-EXP(-LN(2)/35))/(LN(2)/35)*HC9*HD9*VLOOKUP('Données projet'!$B$18,Paramètres!$A$1:$I$89,3,0)*0.475*44/12</f>
        <v>0</v>
      </c>
      <c r="HH9" s="23">
        <f>EXP(-LN(2)/25)*HH8+(1-EXP(-LN(2)/25))/(LN(2)/25)*Calculateur!HC9*Calculateur!HE9*VLOOKUP('Données projet'!$B$18,Paramètres!$A$1:$I$89,3,0)*0.475*44/12</f>
        <v>0</v>
      </c>
      <c r="HI9" s="23">
        <f>EXP(-LN(2)/2)*HI8+(1-EXP(-LN(2)/2))/(LN(2)/2)*HC9*HF9*VLOOKUP('Données projet'!$B$18,Paramètres!$A$1:$I$89,3,0)*0.475*44/12</f>
        <v>0</v>
      </c>
      <c r="HJ9" s="24">
        <f t="shared" si="30"/>
        <v>0</v>
      </c>
    </row>
    <row r="10" spans="1:218" s="5" customFormat="1" x14ac:dyDescent="0.25">
      <c r="A10" s="11">
        <f t="shared" si="31"/>
        <v>7</v>
      </c>
      <c r="B10" s="75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8">
        <f t="shared" si="1"/>
        <v>183.33333333333334</v>
      </c>
      <c r="I10" s="7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3.65</v>
      </c>
      <c r="N10" s="14">
        <f>IF('Données projet'!$A$36&gt;35,N9+M10-V9,IF(A10&lt;'Données projet'!$A$36,$K$205^A10,IF(A10='Données projet'!$A$36,'Données projet'!$B$36,N9+M10-V9)))</f>
        <v>4.4891384635544309</v>
      </c>
      <c r="O10" s="14">
        <f>N10*VLOOKUP('Données projet'!$B$9,Paramètres!$A$1:$I$89,3,0)*VLOOKUP('Données projet'!$B$9,Paramètres!$A$1:$I$89,5,0)</f>
        <v>4.0617724818240486</v>
      </c>
      <c r="P10" s="14">
        <f t="shared" si="33"/>
        <v>1.590058719758437</v>
      </c>
      <c r="Q10" s="22">
        <f t="shared" si="2"/>
        <v>9.8436060094228282</v>
      </c>
      <c r="R10" s="60">
        <f t="shared" si="0"/>
        <v>193.96778694515905</v>
      </c>
      <c r="S10" s="60">
        <f ca="1">AVERAGE(OFFSET($R$3,0,0,'Données projet'!$E$9+1,1))-AVERAGE(OFFSET($H$3,0,0,'Données projet'!$E$9+1,1))</f>
        <v>570.08763950759544</v>
      </c>
      <c r="T10" s="60">
        <f t="shared" si="34"/>
        <v>297.32483725004136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1.1099999999999999</v>
      </c>
      <c r="AI10" s="14">
        <f>IF('Données projet'!$A$62&gt;35,AI9+AH10-AQ9,IF(A10&lt;'Données projet'!$A$62,$AF$205^A10,IF(A10='Données projet'!$A$62,'Données projet'!$B$62,AI9+AH10-AQ9)))</f>
        <v>5.3917045384267919</v>
      </c>
      <c r="AJ10" s="14">
        <f>AI10*VLOOKUP('Données projet'!$B$10,Paramètres!$A$1:$I$89,3,0)*VLOOKUP('Données projet'!$B$10,Paramètres!$A$1:$I$89,5,0)</f>
        <v>4.289640130772356</v>
      </c>
      <c r="AK10" s="14">
        <f t="shared" si="35"/>
        <v>1.6686264997708673</v>
      </c>
      <c r="AL10" s="22">
        <f t="shared" si="4"/>
        <v>10.377314381529446</v>
      </c>
      <c r="AM10" s="60">
        <f t="shared" si="5"/>
        <v>194.50149531726569</v>
      </c>
      <c r="AN10" s="60">
        <f ca="1">AVERAGE(OFFSET($AM$3,0,0,'Données projet'!$E$10+1,1))-AVERAGE(OFFSET($H$3,0,0,'Données projet'!$E$10+1,1))</f>
        <v>394.49874384716014</v>
      </c>
      <c r="AO10" s="60">
        <f t="shared" si="36"/>
        <v>423.72519584013378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2.4933333333333332</v>
      </c>
      <c r="BD10" s="13">
        <f>IF('Données projet'!$A$88&gt;35,BD9+BC10-BL9,IF(A10&lt;'Données projet'!$A$88,$BA$205^A10,IF(A10='Données projet'!$A$88,'Données projet'!$B$88,BD9+BC10-BL9)))</f>
        <v>5.4200931160999835</v>
      </c>
      <c r="BE10" s="14">
        <f>BD10*VLOOKUP('Données projet'!$B$11,Paramètres!$A$1:$I$89,3,0)*VLOOKUP('Données projet'!$B$11,Paramètres!$A$1:$I$89,5,0)</f>
        <v>4.7349933462249458</v>
      </c>
      <c r="BF10" s="14">
        <f t="shared" si="37"/>
        <v>1.8208084613561826</v>
      </c>
      <c r="BG10" s="22">
        <f t="shared" si="7"/>
        <v>11.418021481537131</v>
      </c>
      <c r="BH10" s="60">
        <f t="shared" si="8"/>
        <v>195.54220241727336</v>
      </c>
      <c r="BI10" s="60">
        <f ca="1">AVERAGE(OFFSET($BH$3,0,0,'Données projet'!$E$11+1,1))-AVERAGE(OFFSET($H$3,0,0,'Données projet'!$E$11+1,1))</f>
        <v>363.28611056308665</v>
      </c>
      <c r="BJ10" s="60">
        <f t="shared" si="38"/>
        <v>389.43647559455974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3.1623931623931623</v>
      </c>
      <c r="BY10" s="13">
        <f>IF('Données projet'!$A$114&gt;35,BY9+BX10-CG9,IF(A10&lt;'Données projet'!$A$114,$BV$205^A10,IF(A10='Données projet'!$A$114,'Données projet'!$B$114,BY9+BX10-CG9)))</f>
        <v>6.0559645368024464</v>
      </c>
      <c r="BZ10" s="14">
        <f>BY10*VLOOKUP('Données projet'!$B$12,Paramètres!$A$1:$I$89,3,0)*VLOOKUP('Données projet'!$B$12,Paramètres!$A$1:$I$89,5,0)</f>
        <v>5.7628558532212084</v>
      </c>
      <c r="CA10" s="14">
        <f t="shared" si="39"/>
        <v>2.1659657586703922</v>
      </c>
      <c r="CB10" s="22">
        <f t="shared" si="10"/>
        <v>13.809364307377871</v>
      </c>
      <c r="CC10" s="60">
        <f t="shared" si="11"/>
        <v>197.93354524311411</v>
      </c>
      <c r="CD10" s="60">
        <f ca="1">AVERAGE(OFFSET($CC$3,0,0,'Données projet'!$E$12+1,1))-AVERAGE(OFFSET($H$3,0,0,'Données projet'!$E$12+1,1))</f>
        <v>441.15969139782891</v>
      </c>
      <c r="CE10" s="60">
        <f t="shared" si="40"/>
        <v>315.06466790224783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1.1099999999999999</v>
      </c>
      <c r="CT10" s="13">
        <f>IF('Données projet'!$A$140&gt;35,CT9+CS10-DB9,IF(A10&lt;'Données projet'!$A$140,$CQ$205^A10,IF(A10='Données projet'!$A$140,'Données projet'!$B$140,CT9+CS10-DB9)))</f>
        <v>5.3917045384267919</v>
      </c>
      <c r="CU10" s="18">
        <f>CT10*VLOOKUP('Données projet'!$B$13,Paramètres!$A$1:$I$89,3,0)*VLOOKUP('Données projet'!$B$13,Paramètres!$A$1:$I$89,5,0)</f>
        <v>3.9531977675745238</v>
      </c>
      <c r="CV10" s="14">
        <f t="shared" si="41"/>
        <v>1.5524434741471074</v>
      </c>
      <c r="CW10" s="22">
        <f t="shared" si="13"/>
        <v>9.5889918293318406</v>
      </c>
      <c r="CX10" s="60">
        <f t="shared" si="14"/>
        <v>193.71317276506807</v>
      </c>
      <c r="CY10" s="60">
        <f ca="1">AVERAGE(OFFSET($CX$3,0,0,'Données projet'!$E$13+1,1))-AVERAGE(OFFSET($H$3,0,0,'Données projet'!$E$13+1,1))</f>
        <v>368.35775920359396</v>
      </c>
      <c r="CZ10" s="60">
        <f t="shared" si="42"/>
        <v>395.5218438652638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2.6666666666666665</v>
      </c>
      <c r="DO10" s="13">
        <f>IF('Données projet'!$A$166&gt;35,DO9+DN10-DW9,IF(A10&lt;'Données projet'!$A$166,$DL$205^A10,IF(A10='Données projet'!$A$166,'Données projet'!$B$166,DO9+DN10-DW9)))</f>
        <v>5.5927833467405659</v>
      </c>
      <c r="DP10" s="18">
        <f>DO10*VLOOKUP('Données projet'!$B$14,Paramètres!$A$1:$I$89,3,0)*VLOOKUP('Données projet'!$B$14,Paramètres!$A$1:$I$89,5,0)</f>
        <v>4.3623710104576414</v>
      </c>
      <c r="DQ10" s="14">
        <f t="shared" si="43"/>
        <v>1.6936004212396314</v>
      </c>
      <c r="DR10" s="22">
        <f t="shared" si="16"/>
        <v>10.54748357687275</v>
      </c>
      <c r="DS10" s="60">
        <f t="shared" si="17"/>
        <v>194.67166451260897</v>
      </c>
      <c r="DT10" s="60">
        <f ca="1">AVERAGE(OFFSET($DS$3,0,0,'Données projet'!$E$14+1,1))-AVERAGE(OFFSET($H$3,0,0,'Données projet'!$E$14+1,1))</f>
        <v>312.59632808777332</v>
      </c>
      <c r="DU10" s="60">
        <f t="shared" si="44"/>
        <v>302.59481222418219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2.8518518518518516</v>
      </c>
      <c r="EJ10" s="13">
        <f>IF('Données projet'!$A$192&gt;35,EJ9+EI10-ER9,IF(A10&lt;'Données projet'!$A$192,$EG$205^A10,IF(A10='Données projet'!$A$192,'Données projet'!$B$192,EJ9+EI10-ER9)))</f>
        <v>3.0838282886937765</v>
      </c>
      <c r="EK10" s="18">
        <f>EJ10*VLOOKUP('Données projet'!$B$15,Paramètres!$A$1:$I$89,3,0)*VLOOKUP('Données projet'!$B$15,Paramètres!$A$1:$I$89,5,0)</f>
        <v>2.6459246716992606</v>
      </c>
      <c r="EL10" s="14">
        <f t="shared" si="45"/>
        <v>1.0887834794900406</v>
      </c>
      <c r="EM10" s="22">
        <f t="shared" si="19"/>
        <v>6.5046166966546997</v>
      </c>
      <c r="EN10" s="60">
        <f t="shared" si="20"/>
        <v>190.62879763239093</v>
      </c>
      <c r="EO10" s="60">
        <f ca="1">AVERAGE(OFFSET($EN$3,0,0,'Données projet'!$E$15+1,1))-AVERAGE(OFFSET($H$3,0,0,'Données projet'!$E$15+1,1))</f>
        <v>478.11504516179713</v>
      </c>
      <c r="EP10" s="60">
        <f t="shared" si="46"/>
        <v>249.93713224442419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3.65</v>
      </c>
      <c r="FE10" s="13">
        <f>IF('Données projet'!$A$218&gt;35,FE9+FD10-FM9,IF(A10&lt;'Données projet'!$A$218,$FB$205^A10,IF(A10='Données projet'!$A$218,'Données projet'!$B$218,FE9+FD10-FM9)))</f>
        <v>4.4891384635544309</v>
      </c>
      <c r="FF10" s="18">
        <f>FE10*VLOOKUP('Données projet'!$B$16,Paramètres!$A$1:$I$89,3,0)*VLOOKUP('Données projet'!$B$16,Paramètres!$A$1:$I$89,5,0)</f>
        <v>4.3418947219498456</v>
      </c>
      <c r="FG10" s="14">
        <f t="shared" si="47"/>
        <v>1.6865743243491664</v>
      </c>
      <c r="FH10" s="22">
        <f t="shared" si="22"/>
        <v>10.499583588970779</v>
      </c>
      <c r="FI10" s="60">
        <f t="shared" si="23"/>
        <v>194.62376452470701</v>
      </c>
      <c r="FJ10" s="60">
        <f ca="1">AVERAGE(OFFSET($FI$3,0,0,'Données projet'!$E$16+1,1))-AVERAGE(OFFSET($H$3,0,0,'Données projet'!$E$16+1,1))</f>
        <v>603.52431522262032</v>
      </c>
      <c r="FK10" s="60">
        <f t="shared" si="48"/>
        <v>313.56299786481338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>
        <f>EXP(-LN(2)/35)*FQ9+(1-EXP(-LN(2)/35))/(LN(2)/35)*FM10*FN10*VLOOKUP('Données projet'!$B$16,Paramètres!$A$1:$I$89,3,0)*0.475*44/12</f>
        <v>0</v>
      </c>
      <c r="FR10" s="23">
        <f>EXP(-LN(2)/25)*FR9+(1-EXP(-LN(2)/25))/(LN(2)/25)*Calculateur!FM10*Calculateur!FO10*VLOOKUP('Données projet'!$B$16,Paramètres!$A$1:$I$89,3,0)*0.475*44/12</f>
        <v>0</v>
      </c>
      <c r="FS10" s="23">
        <f>EXP(-LN(2)/2)*FS9+(1-EXP(-LN(2)/2))/(LN(2)/2)*FM10*FP10*VLOOKUP('Données projet'!$B$16,Paramètres!$A$1:$I$89,3,0)*0.475*44/12</f>
        <v>0</v>
      </c>
      <c r="FT10" s="24">
        <f t="shared" si="24"/>
        <v>0</v>
      </c>
      <c r="FU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3.2692307692307692</v>
      </c>
      <c r="FZ10" s="13">
        <f>IF('Données projet'!$A$244&gt;35,FZ9+FY10-GH9,IF(A10&lt;'Données projet'!$A$244,$FW$205^A10,IF(A10='Données projet'!$A$244,'Données projet'!$B$244,FZ9+FY10-GH9)))</f>
        <v>11.484495037276947</v>
      </c>
      <c r="GA10" s="18">
        <f>FZ10*VLOOKUP('Données projet'!$B$17,Paramètres!$A$1:$I$89,3,0)*VLOOKUP('Données projet'!$B$17,Paramètres!$A$1:$I$89,5,0)</f>
        <v>7.7037992710053755</v>
      </c>
      <c r="GB10" s="14">
        <f t="shared" si="49"/>
        <v>2.7992685579195422</v>
      </c>
      <c r="GC10" s="22">
        <f t="shared" si="25"/>
        <v>18.292843135377566</v>
      </c>
      <c r="GD10" s="60">
        <f t="shared" si="26"/>
        <v>202.41702407111381</v>
      </c>
      <c r="GE10" s="60">
        <f ca="1">AVERAGE(OFFSET($GD$3,0,0,'Données projet'!$E$17+1,1))-AVERAGE(OFFSET($H$3,0,0,'Données projet'!$E$17+1,1))</f>
        <v>396.0878652679051</v>
      </c>
      <c r="GF10" s="60">
        <f t="shared" si="50"/>
        <v>327.26339199235406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>
        <f>EXP(-LN(2)/35)*GL9+(1-EXP(-LN(2)/35))/(LN(2)/35)*GH10*GI10*VLOOKUP('Données projet'!$B$17,Paramètres!$A$1:$I$89,3,0)*0.475*44/12</f>
        <v>0</v>
      </c>
      <c r="GM10" s="23">
        <f>EXP(-LN(2)/25)*GM9+(1-EXP(-LN(2)/25))/(LN(2)/25)*Calculateur!GH10*Calculateur!GJ10*VLOOKUP('Données projet'!$B$17,Paramètres!$A$1:$I$89,3,0)*0.475*44/12</f>
        <v>0</v>
      </c>
      <c r="GN10" s="23">
        <f>EXP(-LN(2)/2)*GN9+(1-EXP(-LN(2)/2))/(LN(2)/2)*GH10*GK10*VLOOKUP('Données projet'!$B$17,Paramètres!$A$1:$I$89,3,0)*0.475*44/12</f>
        <v>0</v>
      </c>
      <c r="GO10" s="23">
        <f t="shared" si="27"/>
        <v>0</v>
      </c>
      <c r="GP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0.9</v>
      </c>
      <c r="GU10" s="13">
        <f>IF('Données projet'!$A$270&gt;35,GU9+GT10-HC9,IF(A10&lt;'Données projet'!$A$270,$GR$205^A10,IF(A10='Données projet'!$A$270,'Données projet'!$B$270,GU9+GT10-HC9)))</f>
        <v>4.6555367217460804</v>
      </c>
      <c r="GV10" s="18">
        <f>GU10*VLOOKUP('Données projet'!$B$18,Paramètres!$A$1:$I$89,3,0)*VLOOKUP('Données projet'!$B$18,Paramètres!$A$1:$I$89,5,0)</f>
        <v>3.7765713886804204</v>
      </c>
      <c r="GW10" s="14">
        <f t="shared" si="51"/>
        <v>1.490992954829151</v>
      </c>
      <c r="GX10" s="22">
        <f t="shared" si="28"/>
        <v>9.1743412316125035</v>
      </c>
      <c r="GY10" s="60">
        <f t="shared" si="29"/>
        <v>193.29852216734875</v>
      </c>
      <c r="GZ10" s="60">
        <f ca="1">AVERAGE(OFFSET($GY$3,0,0,'Données projet'!$E$18+1,1))-AVERAGE(OFFSET($H$3,0,0,'Données projet'!$E$18+1,1))</f>
        <v>272.69564942740931</v>
      </c>
      <c r="HA10" s="60">
        <f t="shared" si="52"/>
        <v>316.57989180609252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>
        <f>EXP(-LN(2)/35)*HG9+(1-EXP(-LN(2)/35))/(LN(2)/35)*HC10*HD10*VLOOKUP('Données projet'!$B$18,Paramètres!$A$1:$I$89,3,0)*0.475*44/12</f>
        <v>0</v>
      </c>
      <c r="HH10" s="23">
        <f>EXP(-LN(2)/25)*HH9+(1-EXP(-LN(2)/25))/(LN(2)/25)*Calculateur!HC10*Calculateur!HE10*VLOOKUP('Données projet'!$B$18,Paramètres!$A$1:$I$89,3,0)*0.475*44/12</f>
        <v>0</v>
      </c>
      <c r="HI10" s="23">
        <f>EXP(-LN(2)/2)*HI9+(1-EXP(-LN(2)/2))/(LN(2)/2)*HC10*HF10*VLOOKUP('Données projet'!$B$18,Paramètres!$A$1:$I$89,3,0)*0.475*44/12</f>
        <v>0</v>
      </c>
      <c r="HJ10" s="24">
        <f t="shared" si="30"/>
        <v>0</v>
      </c>
    </row>
    <row r="11" spans="1:218" s="5" customFormat="1" x14ac:dyDescent="0.25">
      <c r="A11" s="11">
        <f t="shared" si="31"/>
        <v>8</v>
      </c>
      <c r="B11" s="75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8">
        <f t="shared" si="1"/>
        <v>183.33333333333334</v>
      </c>
      <c r="I11" s="7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3.65</v>
      </c>
      <c r="N11" s="14">
        <f>IF('Données projet'!$A$36&gt;35,N10+M11-V10,IF(A11&lt;'Données projet'!$A$36,$K$205^A11,IF(A11='Données projet'!$A$36,'Données projet'!$B$36,N10+M11-V10)))</f>
        <v>5.563257268920875</v>
      </c>
      <c r="O11" s="14">
        <f>N11*VLOOKUP('Données projet'!$B$9,Paramètres!$A$1:$I$89,3,0)*VLOOKUP('Données projet'!$B$9,Paramètres!$A$1:$I$89,5,0)</f>
        <v>5.0336351769196082</v>
      </c>
      <c r="P11" s="14">
        <f t="shared" si="33"/>
        <v>1.9219176128866391</v>
      </c>
      <c r="Q11" s="22">
        <f t="shared" si="2"/>
        <v>12.11425444224588</v>
      </c>
      <c r="R11" s="60">
        <f t="shared" si="0"/>
        <v>198.86752730846644</v>
      </c>
      <c r="S11" s="60">
        <f ca="1">AVERAGE(OFFSET($R$3,0,0,'Données projet'!$E$9+1,1))-AVERAGE(OFFSET($H$3,0,0,'Données projet'!$E$9+1,1))</f>
        <v>570.08763950759544</v>
      </c>
      <c r="T11" s="60">
        <f t="shared" si="34"/>
        <v>297.32483725004136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1.1099999999999999</v>
      </c>
      <c r="AI11" s="14">
        <f>IF('Données projet'!$A$62&gt;35,AI10+AH11-AQ10,IF(A11&lt;'Données projet'!$A$62,$AF$205^A11,IF(A11='Données projet'!$A$62,'Données projet'!$B$62,AI10+AH11-AQ10)))</f>
        <v>6.8589617827012184</v>
      </c>
      <c r="AJ11" s="14">
        <f>AI11*VLOOKUP('Données projet'!$B$10,Paramètres!$A$1:$I$89,3,0)*VLOOKUP('Données projet'!$B$10,Paramètres!$A$1:$I$89,5,0)</f>
        <v>5.4569899943170901</v>
      </c>
      <c r="AK11" s="14">
        <f t="shared" si="35"/>
        <v>2.0640674009203073</v>
      </c>
      <c r="AL11" s="22">
        <f t="shared" si="4"/>
        <v>13.0991749633718</v>
      </c>
      <c r="AM11" s="60">
        <f t="shared" si="5"/>
        <v>199.85244782959236</v>
      </c>
      <c r="AN11" s="60">
        <f ca="1">AVERAGE(OFFSET($AM$3,0,0,'Données projet'!$E$10+1,1))-AVERAGE(OFFSET($H$3,0,0,'Données projet'!$E$10+1,1))</f>
        <v>394.49874384716014</v>
      </c>
      <c r="AO11" s="60">
        <f t="shared" si="36"/>
        <v>423.72519584013378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2.4933333333333332</v>
      </c>
      <c r="BD11" s="13">
        <f>IF('Données projet'!$A$88&gt;35,BD10+BC11-BL10,IF(A11&lt;'Données projet'!$A$88,$BA$205^A11,IF(A11='Données projet'!$A$88,'Données projet'!$B$88,BD10+BC11-BL10)))</f>
        <v>6.9002504567506522</v>
      </c>
      <c r="BE11" s="14">
        <f>BD11*VLOOKUP('Données projet'!$B$11,Paramètres!$A$1:$I$89,3,0)*VLOOKUP('Données projet'!$B$11,Paramètres!$A$1:$I$89,5,0)</f>
        <v>6.0280587990173711</v>
      </c>
      <c r="BF11" s="14">
        <f t="shared" si="37"/>
        <v>2.2538078441816265</v>
      </c>
      <c r="BG11" s="22">
        <f t="shared" si="7"/>
        <v>14.424251070238251</v>
      </c>
      <c r="BH11" s="60">
        <f t="shared" si="8"/>
        <v>201.17752393645881</v>
      </c>
      <c r="BI11" s="60">
        <f ca="1">AVERAGE(OFFSET($BH$3,0,0,'Données projet'!$E$11+1,1))-AVERAGE(OFFSET($H$3,0,0,'Données projet'!$E$11+1,1))</f>
        <v>363.28611056308665</v>
      </c>
      <c r="BJ11" s="60">
        <f t="shared" si="38"/>
        <v>389.43647559455974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3.1623931623931623</v>
      </c>
      <c r="BY11" s="13">
        <f>IF('Données projet'!$A$114&gt;35,BY10+BX11-CG10,IF(A11&lt;'Données projet'!$A$114,$BV$205^A11,IF(A11='Données projet'!$A$114,'Données projet'!$B$114,BY10+BX11-CG10)))</f>
        <v>7.8329219313664717</v>
      </c>
      <c r="BZ11" s="14">
        <f>BY11*VLOOKUP('Données projet'!$B$12,Paramètres!$A$1:$I$89,3,0)*VLOOKUP('Données projet'!$B$12,Paramètres!$A$1:$I$89,5,0)</f>
        <v>7.4538085098883347</v>
      </c>
      <c r="CA11" s="14">
        <f t="shared" si="39"/>
        <v>2.7188513904855807</v>
      </c>
      <c r="CB11" s="22">
        <f t="shared" si="10"/>
        <v>17.717382659817904</v>
      </c>
      <c r="CC11" s="60">
        <f t="shared" si="11"/>
        <v>204.47065552603846</v>
      </c>
      <c r="CD11" s="60">
        <f ca="1">AVERAGE(OFFSET($CC$3,0,0,'Données projet'!$E$12+1,1))-AVERAGE(OFFSET($H$3,0,0,'Données projet'!$E$12+1,1))</f>
        <v>441.15969139782891</v>
      </c>
      <c r="CE11" s="60">
        <f t="shared" si="40"/>
        <v>315.06466790224783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1.1099999999999999</v>
      </c>
      <c r="CT11" s="13">
        <f>IF('Données projet'!$A$140&gt;35,CT10+CS11-DB10,IF(A11&lt;'Données projet'!$A$140,$CQ$205^A11,IF(A11='Données projet'!$A$140,'Données projet'!$B$140,CT10+CS11-DB10)))</f>
        <v>6.8589617827012184</v>
      </c>
      <c r="CU11" s="18">
        <f>CT11*VLOOKUP('Données projet'!$B$13,Paramètres!$A$1:$I$89,3,0)*VLOOKUP('Données projet'!$B$13,Paramètres!$A$1:$I$89,5,0)</f>
        <v>5.0289907790765334</v>
      </c>
      <c r="CV11" s="14">
        <f t="shared" si="41"/>
        <v>1.920350640001538</v>
      </c>
      <c r="CW11" s="22">
        <f t="shared" si="13"/>
        <v>12.103436304894307</v>
      </c>
      <c r="CX11" s="60">
        <f t="shared" si="14"/>
        <v>198.85670917111486</v>
      </c>
      <c r="CY11" s="60">
        <f ca="1">AVERAGE(OFFSET($CX$3,0,0,'Données projet'!$E$13+1,1))-AVERAGE(OFFSET($H$3,0,0,'Données projet'!$E$13+1,1))</f>
        <v>368.35775920359396</v>
      </c>
      <c r="CZ11" s="60">
        <f t="shared" si="42"/>
        <v>395.5218438652638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2.6666666666666665</v>
      </c>
      <c r="DO11" s="13">
        <f>IF('Données projet'!$A$166&gt;35,DO10+DN11-DW10,IF(A11&lt;'Données projet'!$A$166,$DL$205^A11,IF(A11='Données projet'!$A$166,'Données projet'!$B$166,DO10+DN11-DW10)))</f>
        <v>7.1520739352994367</v>
      </c>
      <c r="DP11" s="18">
        <f>DO11*VLOOKUP('Données projet'!$B$14,Paramètres!$A$1:$I$89,3,0)*VLOOKUP('Données projet'!$B$14,Paramètres!$A$1:$I$89,5,0)</f>
        <v>5.5786176695335605</v>
      </c>
      <c r="DQ11" s="14">
        <f t="shared" si="43"/>
        <v>2.1046649418345189</v>
      </c>
      <c r="DR11" s="22">
        <f t="shared" si="16"/>
        <v>13.381717214799407</v>
      </c>
      <c r="DS11" s="60">
        <f t="shared" si="17"/>
        <v>200.13499008101996</v>
      </c>
      <c r="DT11" s="60">
        <f ca="1">AVERAGE(OFFSET($DS$3,0,0,'Données projet'!$E$14+1,1))-AVERAGE(OFFSET($H$3,0,0,'Données projet'!$E$14+1,1))</f>
        <v>312.59632808777332</v>
      </c>
      <c r="DU11" s="60">
        <f t="shared" si="44"/>
        <v>302.59481222418219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2.8518518518518516</v>
      </c>
      <c r="EJ11" s="13">
        <f>IF('Données projet'!$A$192&gt;35,EJ10+EI11-ER10,IF(A11&lt;'Données projet'!$A$192,$EG$205^A11,IF(A11='Données projet'!$A$192,'Données projet'!$B$192,EJ10+EI11-ER10)))</f>
        <v>3.6220981534218315</v>
      </c>
      <c r="EK11" s="18">
        <f>EJ11*VLOOKUP('Données projet'!$B$15,Paramètres!$A$1:$I$89,3,0)*VLOOKUP('Données projet'!$B$15,Paramètres!$A$1:$I$89,5,0)</f>
        <v>3.1077602156359316</v>
      </c>
      <c r="EL11" s="14">
        <f t="shared" si="45"/>
        <v>1.2551010077107021</v>
      </c>
      <c r="EM11" s="22">
        <f t="shared" si="19"/>
        <v>7.5986499639953875</v>
      </c>
      <c r="EN11" s="60">
        <f t="shared" si="20"/>
        <v>194.35192283021595</v>
      </c>
      <c r="EO11" s="60">
        <f ca="1">AVERAGE(OFFSET($EN$3,0,0,'Données projet'!$E$15+1,1))-AVERAGE(OFFSET($H$3,0,0,'Données projet'!$E$15+1,1))</f>
        <v>478.11504516179713</v>
      </c>
      <c r="EP11" s="60">
        <f t="shared" si="46"/>
        <v>249.93713224442419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3.65</v>
      </c>
      <c r="FE11" s="13">
        <f>IF('Données projet'!$A$218&gt;35,FE10+FD11-FM10,IF(A11&lt;'Données projet'!$A$218,$FB$205^A11,IF(A11='Données projet'!$A$218,'Données projet'!$B$218,FE10+FD11-FM10)))</f>
        <v>5.563257268920875</v>
      </c>
      <c r="FF11" s="18">
        <f>FE11*VLOOKUP('Données projet'!$B$16,Paramètres!$A$1:$I$89,3,0)*VLOOKUP('Données projet'!$B$16,Paramètres!$A$1:$I$89,5,0)</f>
        <v>5.3807824305002701</v>
      </c>
      <c r="FG11" s="14">
        <f t="shared" si="47"/>
        <v>2.0385768519929188</v>
      </c>
      <c r="FH11" s="22">
        <f t="shared" si="22"/>
        <v>12.922050750342303</v>
      </c>
      <c r="FI11" s="60">
        <f t="shared" si="23"/>
        <v>199.67532361656285</v>
      </c>
      <c r="FJ11" s="60">
        <f ca="1">AVERAGE(OFFSET($FI$3,0,0,'Données projet'!$E$16+1,1))-AVERAGE(OFFSET($H$3,0,0,'Données projet'!$E$16+1,1))</f>
        <v>603.52431522262032</v>
      </c>
      <c r="FK11" s="60">
        <f t="shared" si="48"/>
        <v>313.56299786481338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>
        <f>EXP(-LN(2)/35)*FQ10+(1-EXP(-LN(2)/35))/(LN(2)/35)*FM11*FN11*VLOOKUP('Données projet'!$B$16,Paramètres!$A$1:$I$89,3,0)*0.475*44/12</f>
        <v>0</v>
      </c>
      <c r="FR11" s="23">
        <f>EXP(-LN(2)/25)*FR10+(1-EXP(-LN(2)/25))/(LN(2)/25)*Calculateur!FM11*Calculateur!FO11*VLOOKUP('Données projet'!$B$16,Paramètres!$A$1:$I$89,3,0)*0.475*44/12</f>
        <v>0</v>
      </c>
      <c r="FS11" s="23">
        <f>EXP(-LN(2)/2)*FS10+(1-EXP(-LN(2)/2))/(LN(2)/2)*FM11*FP11*VLOOKUP('Données projet'!$B$16,Paramètres!$A$1:$I$89,3,0)*0.475*44/12</f>
        <v>0</v>
      </c>
      <c r="FT11" s="24">
        <f t="shared" si="24"/>
        <v>0</v>
      </c>
      <c r="FU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3.2692307692307692</v>
      </c>
      <c r="FZ11" s="13">
        <f>IF('Données projet'!$A$244&gt;35,FZ10+FY11-GH10,IF(A11&lt;'Données projet'!$A$244,$FW$205^A11,IF(A11='Données projet'!$A$244,'Données projet'!$B$244,FZ10+FY11-GH10)))</f>
        <v>16.276329088273204</v>
      </c>
      <c r="GA11" s="18">
        <f>FZ11*VLOOKUP('Données projet'!$B$17,Paramètres!$A$1:$I$89,3,0)*VLOOKUP('Données projet'!$B$17,Paramètres!$A$1:$I$89,5,0)</f>
        <v>10.918161552413665</v>
      </c>
      <c r="GB11" s="14">
        <f t="shared" si="49"/>
        <v>3.8094385934513699</v>
      </c>
      <c r="GC11" s="22">
        <f t="shared" si="25"/>
        <v>25.650570254048265</v>
      </c>
      <c r="GD11" s="60">
        <f t="shared" si="26"/>
        <v>212.40384312026882</v>
      </c>
      <c r="GE11" s="60">
        <f ca="1">AVERAGE(OFFSET($GD$3,0,0,'Données projet'!$E$17+1,1))-AVERAGE(OFFSET($H$3,0,0,'Données projet'!$E$17+1,1))</f>
        <v>396.0878652679051</v>
      </c>
      <c r="GF11" s="60">
        <f t="shared" si="50"/>
        <v>327.26339199235406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>
        <f>EXP(-LN(2)/35)*GL10+(1-EXP(-LN(2)/35))/(LN(2)/35)*GH11*GI11*VLOOKUP('Données projet'!$B$17,Paramètres!$A$1:$I$89,3,0)*0.475*44/12</f>
        <v>0</v>
      </c>
      <c r="GM11" s="23">
        <f>EXP(-LN(2)/25)*GM10+(1-EXP(-LN(2)/25))/(LN(2)/25)*Calculateur!GH11*Calculateur!GJ11*VLOOKUP('Données projet'!$B$17,Paramètres!$A$1:$I$89,3,0)*0.475*44/12</f>
        <v>0</v>
      </c>
      <c r="GN11" s="23">
        <f>EXP(-LN(2)/2)*GN10+(1-EXP(-LN(2)/2))/(LN(2)/2)*GH11*GK11*VLOOKUP('Données projet'!$B$17,Paramètres!$A$1:$I$89,3,0)*0.475*44/12</f>
        <v>0</v>
      </c>
      <c r="GO11" s="23">
        <f t="shared" si="27"/>
        <v>0</v>
      </c>
      <c r="GP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0.9</v>
      </c>
      <c r="GU11" s="13">
        <f>IF('Données projet'!$A$270&gt;35,GU10+GT11-HC10,IF(A11&lt;'Données projet'!$A$270,$GR$205^A11,IF(A11='Données projet'!$A$270,'Données projet'!$B$270,GU10+GT11-HC10)))</f>
        <v>5.7995461347952899</v>
      </c>
      <c r="GV11" s="18">
        <f>GU11*VLOOKUP('Données projet'!$B$18,Paramètres!$A$1:$I$89,3,0)*VLOOKUP('Données projet'!$B$18,Paramètres!$A$1:$I$89,5,0)</f>
        <v>4.7045918245459397</v>
      </c>
      <c r="GW11" s="14">
        <f t="shared" si="51"/>
        <v>1.8104746967554695</v>
      </c>
      <c r="GX11" s="22">
        <f t="shared" si="28"/>
        <v>11.347074191266621</v>
      </c>
      <c r="GY11" s="60">
        <f t="shared" si="29"/>
        <v>198.10034705748717</v>
      </c>
      <c r="GZ11" s="60">
        <f ca="1">AVERAGE(OFFSET($GY$3,0,0,'Données projet'!$E$18+1,1))-AVERAGE(OFFSET($H$3,0,0,'Données projet'!$E$18+1,1))</f>
        <v>272.69564942740931</v>
      </c>
      <c r="HA11" s="60">
        <f t="shared" si="52"/>
        <v>316.57989180609252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>
        <f>EXP(-LN(2)/35)*HG10+(1-EXP(-LN(2)/35))/(LN(2)/35)*HC11*HD11*VLOOKUP('Données projet'!$B$18,Paramètres!$A$1:$I$89,3,0)*0.475*44/12</f>
        <v>0</v>
      </c>
      <c r="HH11" s="23">
        <f>EXP(-LN(2)/25)*HH10+(1-EXP(-LN(2)/25))/(LN(2)/25)*Calculateur!HC11*Calculateur!HE11*VLOOKUP('Données projet'!$B$18,Paramètres!$A$1:$I$89,3,0)*0.475*44/12</f>
        <v>0</v>
      </c>
      <c r="HI11" s="23">
        <f>EXP(-LN(2)/2)*HI10+(1-EXP(-LN(2)/2))/(LN(2)/2)*HC11*HF11*VLOOKUP('Données projet'!$B$18,Paramètres!$A$1:$I$89,3,0)*0.475*44/12</f>
        <v>0</v>
      </c>
      <c r="HJ11" s="24">
        <f t="shared" si="30"/>
        <v>0</v>
      </c>
    </row>
    <row r="12" spans="1:218" s="5" customFormat="1" x14ac:dyDescent="0.25">
      <c r="A12" s="11">
        <f t="shared" si="31"/>
        <v>9</v>
      </c>
      <c r="B12" s="75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8">
        <f t="shared" si="1"/>
        <v>183.33333333333334</v>
      </c>
      <c r="I12" s="7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3.65</v>
      </c>
      <c r="N12" s="14">
        <f>IF('Données projet'!$A$36&gt;35,N11+M12-V11,IF(A12&lt;'Données projet'!$A$36,$K$205^A12,IF(A12='Données projet'!$A$36,'Données projet'!$B$36,N11+M12-V11)))</f>
        <v>6.8943811137639424</v>
      </c>
      <c r="O12" s="14">
        <f>N12*VLOOKUP('Données projet'!$B$9,Paramètres!$A$1:$I$89,3,0)*VLOOKUP('Données projet'!$B$9,Paramètres!$A$1:$I$89,5,0)</f>
        <v>6.2380360317336141</v>
      </c>
      <c r="P12" s="14">
        <f t="shared" si="33"/>
        <v>2.3230383034439352</v>
      </c>
      <c r="Q12" s="22">
        <f t="shared" si="2"/>
        <v>14.910537800434229</v>
      </c>
      <c r="R12" s="60">
        <f t="shared" si="0"/>
        <v>204.26849655299031</v>
      </c>
      <c r="S12" s="60">
        <f ca="1">AVERAGE(OFFSET($R$3,0,0,'Données projet'!$E$9+1,1))-AVERAGE(OFFSET($H$3,0,0,'Données projet'!$E$9+1,1))</f>
        <v>570.08763950759544</v>
      </c>
      <c r="T12" s="60">
        <f t="shared" si="34"/>
        <v>297.32483725004136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1.1099999999999999</v>
      </c>
      <c r="AI12" s="14">
        <f>IF('Données projet'!$A$62&gt;35,AI11+AH12-AQ11,IF(A12&lt;'Données projet'!$A$62,$AF$205^A12,IF(A12='Données projet'!$A$62,'Données projet'!$B$62,AI11+AH12-AQ11)))</f>
        <v>8.7255071937385704</v>
      </c>
      <c r="AJ12" s="14">
        <f>AI12*VLOOKUP('Données projet'!$B$10,Paramètres!$A$1:$I$89,3,0)*VLOOKUP('Données projet'!$B$10,Paramètres!$A$1:$I$89,5,0)</f>
        <v>6.9420135233384066</v>
      </c>
      <c r="AK12" s="14">
        <f t="shared" si="35"/>
        <v>2.5532222076821487</v>
      </c>
      <c r="AL12" s="22">
        <f t="shared" si="4"/>
        <v>16.5375355648608</v>
      </c>
      <c r="AM12" s="60">
        <f t="shared" si="5"/>
        <v>205.89549431741688</v>
      </c>
      <c r="AN12" s="60">
        <f ca="1">AVERAGE(OFFSET($AM$3,0,0,'Données projet'!$E$10+1,1))-AVERAGE(OFFSET($H$3,0,0,'Données projet'!$E$10+1,1))</f>
        <v>394.49874384716014</v>
      </c>
      <c r="AO12" s="60">
        <f t="shared" si="36"/>
        <v>423.72519584013378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2.4933333333333332</v>
      </c>
      <c r="BD12" s="13">
        <f>IF('Données projet'!$A$88&gt;35,BD11+BC12-BL11,IF(A12&lt;'Données projet'!$A$88,$BA$205^A12,IF(A12='Données projet'!$A$88,'Données projet'!$B$88,BD11+BC12-BL11)))</f>
        <v>8.784619626636184</v>
      </c>
      <c r="BE12" s="14">
        <f>BD12*VLOOKUP('Données projet'!$B$11,Paramètres!$A$1:$I$89,3,0)*VLOOKUP('Données projet'!$B$11,Paramètres!$A$1:$I$89,5,0)</f>
        <v>7.6742437058293707</v>
      </c>
      <c r="BF12" s="14">
        <f t="shared" si="37"/>
        <v>2.7897771271950154</v>
      </c>
      <c r="BG12" s="22">
        <f t="shared" si="7"/>
        <v>18.224836284184136</v>
      </c>
      <c r="BH12" s="60">
        <f t="shared" si="8"/>
        <v>207.58279503674021</v>
      </c>
      <c r="BI12" s="60">
        <f ca="1">AVERAGE(OFFSET($BH$3,0,0,'Données projet'!$E$11+1,1))-AVERAGE(OFFSET($H$3,0,0,'Données projet'!$E$11+1,1))</f>
        <v>363.28611056308665</v>
      </c>
      <c r="BJ12" s="60">
        <f t="shared" si="38"/>
        <v>389.43647559455974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3.1623931623931623</v>
      </c>
      <c r="BY12" s="13">
        <f>IF('Données projet'!$A$114&gt;35,BY11+BX12-CG11,IF(A12&lt;'Données projet'!$A$114,$BV$205^A12,IF(A12='Données projet'!$A$114,'Données projet'!$B$114,BY11+BX12-CG11)))</f>
        <v>10.131278941616319</v>
      </c>
      <c r="BZ12" s="14">
        <f>BY12*VLOOKUP('Données projet'!$B$12,Paramètres!$A$1:$I$89,3,0)*VLOOKUP('Données projet'!$B$12,Paramètres!$A$1:$I$89,5,0)</f>
        <v>9.6409250408420899</v>
      </c>
      <c r="CA12" s="14">
        <f t="shared" si="39"/>
        <v>3.412866918119311</v>
      </c>
      <c r="CB12" s="22">
        <f t="shared" si="10"/>
        <v>22.735354328524441</v>
      </c>
      <c r="CC12" s="60">
        <f t="shared" si="11"/>
        <v>212.09331308108051</v>
      </c>
      <c r="CD12" s="60">
        <f ca="1">AVERAGE(OFFSET($CC$3,0,0,'Données projet'!$E$12+1,1))-AVERAGE(OFFSET($H$3,0,0,'Données projet'!$E$12+1,1))</f>
        <v>441.15969139782891</v>
      </c>
      <c r="CE12" s="60">
        <f t="shared" si="40"/>
        <v>315.06466790224783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1.1099999999999999</v>
      </c>
      <c r="CT12" s="13">
        <f>IF('Données projet'!$A$140&gt;35,CT11+CS12-DB11,IF(A12&lt;'Données projet'!$A$140,$CQ$205^A12,IF(A12='Données projet'!$A$140,'Données projet'!$B$140,CT11+CS12-DB11)))</f>
        <v>8.7255071937385704</v>
      </c>
      <c r="CU12" s="18">
        <f>CT12*VLOOKUP('Données projet'!$B$13,Paramètres!$A$1:$I$89,3,0)*VLOOKUP('Données projet'!$B$13,Paramètres!$A$1:$I$89,5,0)</f>
        <v>6.3975418744491197</v>
      </c>
      <c r="CV12" s="14">
        <f t="shared" si="41"/>
        <v>2.3754466052815975</v>
      </c>
      <c r="CW12" s="22">
        <f t="shared" si="13"/>
        <v>15.279621602197665</v>
      </c>
      <c r="CX12" s="60">
        <f t="shared" si="14"/>
        <v>204.63758035475374</v>
      </c>
      <c r="CY12" s="60">
        <f ca="1">AVERAGE(OFFSET($CX$3,0,0,'Données projet'!$E$13+1,1))-AVERAGE(OFFSET($H$3,0,0,'Données projet'!$E$13+1,1))</f>
        <v>368.35775920359396</v>
      </c>
      <c r="CZ12" s="60">
        <f t="shared" si="42"/>
        <v>395.5218438652638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2.6666666666666665</v>
      </c>
      <c r="DO12" s="13">
        <f>IF('Données projet'!$A$166&gt;35,DO11+DN12-DW11,IF(A12&lt;'Données projet'!$A$166,$DL$205^A12,IF(A12='Données projet'!$A$166,'Données projet'!$B$166,DO11+DN12-DW11)))</f>
        <v>9.1461010385465205</v>
      </c>
      <c r="DP12" s="18">
        <f>DO12*VLOOKUP('Données projet'!$B$14,Paramètres!$A$1:$I$89,3,0)*VLOOKUP('Données projet'!$B$14,Paramètres!$A$1:$I$89,5,0)</f>
        <v>7.1339588100662858</v>
      </c>
      <c r="DQ12" s="14">
        <f t="shared" si="43"/>
        <v>2.6155015444227643</v>
      </c>
      <c r="DR12" s="22">
        <f t="shared" si="16"/>
        <v>16.980310117401761</v>
      </c>
      <c r="DS12" s="60">
        <f t="shared" si="17"/>
        <v>206.33826886995783</v>
      </c>
      <c r="DT12" s="60">
        <f ca="1">AVERAGE(OFFSET($DS$3,0,0,'Données projet'!$E$14+1,1))-AVERAGE(OFFSET($H$3,0,0,'Données projet'!$E$14+1,1))</f>
        <v>312.59632808777332</v>
      </c>
      <c r="DU12" s="60">
        <f t="shared" si="44"/>
        <v>302.59481222418219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2.8518518518518516</v>
      </c>
      <c r="EJ12" s="13">
        <f>IF('Données projet'!$A$192&gt;35,EJ11+EI12-ER11,IF(A12&lt;'Données projet'!$A$192,$EG$205^A12,IF(A12='Données projet'!$A$192,'Données projet'!$B$192,EJ11+EI12-ER11)))</f>
        <v>4.254320865115008</v>
      </c>
      <c r="EK12" s="18">
        <f>EJ12*VLOOKUP('Données projet'!$B$15,Paramètres!$A$1:$I$89,3,0)*VLOOKUP('Données projet'!$B$15,Paramètres!$A$1:$I$89,5,0)</f>
        <v>3.6502073022686772</v>
      </c>
      <c r="EL12" s="14">
        <f t="shared" si="45"/>
        <v>1.4468244322500574</v>
      </c>
      <c r="EM12" s="22">
        <f t="shared" si="19"/>
        <v>8.8773302709534629</v>
      </c>
      <c r="EN12" s="60">
        <f t="shared" si="20"/>
        <v>198.23528902350952</v>
      </c>
      <c r="EO12" s="60">
        <f ca="1">AVERAGE(OFFSET($EN$3,0,0,'Données projet'!$E$15+1,1))-AVERAGE(OFFSET($H$3,0,0,'Données projet'!$E$15+1,1))</f>
        <v>478.11504516179713</v>
      </c>
      <c r="EP12" s="60">
        <f t="shared" si="46"/>
        <v>249.93713224442419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3.65</v>
      </c>
      <c r="FE12" s="13">
        <f>IF('Données projet'!$A$218&gt;35,FE11+FD12-FM11,IF(A12&lt;'Données projet'!$A$218,$FB$205^A12,IF(A12='Données projet'!$A$218,'Données projet'!$B$218,FE11+FD12-FM11)))</f>
        <v>6.8943811137639424</v>
      </c>
      <c r="FF12" s="18">
        <f>FE12*VLOOKUP('Données projet'!$B$16,Paramètres!$A$1:$I$89,3,0)*VLOOKUP('Données projet'!$B$16,Paramètres!$A$1:$I$89,5,0)</f>
        <v>6.6682454132324853</v>
      </c>
      <c r="FG12" s="14">
        <f t="shared" si="47"/>
        <v>2.4640453263659414</v>
      </c>
      <c r="FH12" s="22">
        <f t="shared" si="22"/>
        <v>15.905406371467258</v>
      </c>
      <c r="FI12" s="60">
        <f t="shared" si="23"/>
        <v>205.26336512402332</v>
      </c>
      <c r="FJ12" s="60">
        <f ca="1">AVERAGE(OFFSET($FI$3,0,0,'Données projet'!$E$16+1,1))-AVERAGE(OFFSET($H$3,0,0,'Données projet'!$E$16+1,1))</f>
        <v>603.52431522262032</v>
      </c>
      <c r="FK12" s="60">
        <f t="shared" si="48"/>
        <v>313.56299786481338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>
        <f>EXP(-LN(2)/35)*FQ11+(1-EXP(-LN(2)/35))/(LN(2)/35)*FM12*FN12*VLOOKUP('Données projet'!$B$16,Paramètres!$A$1:$I$89,3,0)*0.475*44/12</f>
        <v>0</v>
      </c>
      <c r="FR12" s="23">
        <f>EXP(-LN(2)/25)*FR11+(1-EXP(-LN(2)/25))/(LN(2)/25)*Calculateur!FM12*Calculateur!FO12*VLOOKUP('Données projet'!$B$16,Paramètres!$A$1:$I$89,3,0)*0.475*44/12</f>
        <v>0</v>
      </c>
      <c r="FS12" s="23">
        <f>EXP(-LN(2)/2)*FS11+(1-EXP(-LN(2)/2))/(LN(2)/2)*FM12*FP12*VLOOKUP('Données projet'!$B$16,Paramètres!$A$1:$I$89,3,0)*0.475*44/12</f>
        <v>0</v>
      </c>
      <c r="FT12" s="24">
        <f t="shared" si="24"/>
        <v>0</v>
      </c>
      <c r="FU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3.2692307692307692</v>
      </c>
      <c r="FZ12" s="13">
        <f>IF('Données projet'!$A$244&gt;35,FZ11+FY12-GH11,IF(A12&lt;'Données projet'!$A$244,$FW$205^A12,IF(A12='Données projet'!$A$244,'Données projet'!$B$244,FZ11+FY12-GH11)))</f>
        <v>23.067526062737759</v>
      </c>
      <c r="GA12" s="18">
        <f>FZ12*VLOOKUP('Données projet'!$B$17,Paramètres!$A$1:$I$89,3,0)*VLOOKUP('Données projet'!$B$17,Paramètres!$A$1:$I$89,5,0)</f>
        <v>15.473696482884488</v>
      </c>
      <c r="GB12" s="14">
        <f t="shared" si="49"/>
        <v>5.1841479647319577</v>
      </c>
      <c r="GC12" s="22">
        <f t="shared" si="25"/>
        <v>35.979079079598641</v>
      </c>
      <c r="GD12" s="60">
        <f t="shared" si="26"/>
        <v>225.33703783215472</v>
      </c>
      <c r="GE12" s="60">
        <f ca="1">AVERAGE(OFFSET($GD$3,0,0,'Données projet'!$E$17+1,1))-AVERAGE(OFFSET($H$3,0,0,'Données projet'!$E$17+1,1))</f>
        <v>396.0878652679051</v>
      </c>
      <c r="GF12" s="60">
        <f t="shared" si="50"/>
        <v>327.26339199235406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>
        <f>EXP(-LN(2)/35)*GL11+(1-EXP(-LN(2)/35))/(LN(2)/35)*GH12*GI12*VLOOKUP('Données projet'!$B$17,Paramètres!$A$1:$I$89,3,0)*0.475*44/12</f>
        <v>0</v>
      </c>
      <c r="GM12" s="23">
        <f>EXP(-LN(2)/25)*GM11+(1-EXP(-LN(2)/25))/(LN(2)/25)*Calculateur!GH12*Calculateur!GJ12*VLOOKUP('Données projet'!$B$17,Paramètres!$A$1:$I$89,3,0)*0.475*44/12</f>
        <v>0</v>
      </c>
      <c r="GN12" s="23">
        <f>EXP(-LN(2)/2)*GN11+(1-EXP(-LN(2)/2))/(LN(2)/2)*GH12*GK12*VLOOKUP('Données projet'!$B$17,Paramètres!$A$1:$I$89,3,0)*0.475*44/12</f>
        <v>0</v>
      </c>
      <c r="GO12" s="23">
        <f t="shared" si="27"/>
        <v>0</v>
      </c>
      <c r="GP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0.9</v>
      </c>
      <c r="GU12" s="13">
        <f>IF('Données projet'!$A$270&gt;35,GU11+GT12-HC11,IF(A12&lt;'Données projet'!$A$270,$GR$205^A12,IF(A12='Données projet'!$A$270,'Données projet'!$B$270,GU11+GT12-HC11)))</f>
        <v>7.2246740558420788</v>
      </c>
      <c r="GV12" s="18">
        <f>GU12*VLOOKUP('Données projet'!$B$18,Paramètres!$A$1:$I$89,3,0)*VLOOKUP('Données projet'!$B$18,Paramètres!$A$1:$I$89,5,0)</f>
        <v>5.8606555940990948</v>
      </c>
      <c r="GW12" s="14">
        <f t="shared" si="51"/>
        <v>2.1984132231982314</v>
      </c>
      <c r="GX12" s="22">
        <f t="shared" si="28"/>
        <v>14.036211523459508</v>
      </c>
      <c r="GY12" s="60">
        <f t="shared" si="29"/>
        <v>203.39417027601559</v>
      </c>
      <c r="GZ12" s="60">
        <f ca="1">AVERAGE(OFFSET($GY$3,0,0,'Données projet'!$E$18+1,1))-AVERAGE(OFFSET($H$3,0,0,'Données projet'!$E$18+1,1))</f>
        <v>272.69564942740931</v>
      </c>
      <c r="HA12" s="60">
        <f t="shared" si="52"/>
        <v>316.57989180609252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>
        <f>EXP(-LN(2)/35)*HG11+(1-EXP(-LN(2)/35))/(LN(2)/35)*HC12*HD12*VLOOKUP('Données projet'!$B$18,Paramètres!$A$1:$I$89,3,0)*0.475*44/12</f>
        <v>0</v>
      </c>
      <c r="HH12" s="23">
        <f>EXP(-LN(2)/25)*HH11+(1-EXP(-LN(2)/25))/(LN(2)/25)*Calculateur!HC12*Calculateur!HE12*VLOOKUP('Données projet'!$B$18,Paramètres!$A$1:$I$89,3,0)*0.475*44/12</f>
        <v>0</v>
      </c>
      <c r="HI12" s="23">
        <f>EXP(-LN(2)/2)*HI11+(1-EXP(-LN(2)/2))/(LN(2)/2)*HC12*HF12*VLOOKUP('Données projet'!$B$18,Paramètres!$A$1:$I$89,3,0)*0.475*44/12</f>
        <v>0</v>
      </c>
      <c r="HJ12" s="24">
        <f t="shared" si="30"/>
        <v>0</v>
      </c>
    </row>
    <row r="13" spans="1:218" s="5" customFormat="1" x14ac:dyDescent="0.25">
      <c r="A13" s="11">
        <f t="shared" si="31"/>
        <v>10</v>
      </c>
      <c r="B13" s="75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8">
        <f t="shared" si="1"/>
        <v>183.33333333333334</v>
      </c>
      <c r="I13" s="7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3.65</v>
      </c>
      <c r="N13" s="14">
        <f>IF('Données projet'!$A$36&gt;35,N12+M13-V12,IF(A13&lt;'Données projet'!$A$36,$K$205^A13,IF(A13='Données projet'!$A$36,'Données projet'!$B$36,N12+M13-V12)))</f>
        <v>8.5440037453175322</v>
      </c>
      <c r="O13" s="14">
        <f>N13*VLOOKUP('Données projet'!$B$9,Paramètres!$A$1:$I$89,3,0)*VLOOKUP('Données projet'!$B$9,Paramètres!$A$1:$I$89,5,0)</f>
        <v>7.7306145887633031</v>
      </c>
      <c r="P13" s="14">
        <f t="shared" si="33"/>
        <v>2.8078763226288115</v>
      </c>
      <c r="Q13" s="22">
        <f t="shared" si="2"/>
        <v>18.354538337341264</v>
      </c>
      <c r="R13" s="60">
        <f t="shared" si="0"/>
        <v>210.29320032238616</v>
      </c>
      <c r="S13" s="60">
        <f ca="1">AVERAGE(OFFSET($R$3,0,0,'Données projet'!$E$9+1,1))-AVERAGE(OFFSET($H$3,0,0,'Données projet'!$E$9+1,1))</f>
        <v>570.08763950759544</v>
      </c>
      <c r="T13" s="60">
        <f t="shared" si="34"/>
        <v>297.32483725004136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>
        <f>VLOOKUP(A13,'Données projet'!$A$61:$I$81,2,0)</f>
        <v>11.1</v>
      </c>
      <c r="AG13" s="13">
        <f>VLOOKUP(A13,'Données projet'!$A$61:$I$81,9,0)</f>
        <v>1.1099999999999999</v>
      </c>
      <c r="AH13" s="13">
        <f t="array" ref="AH13">INDEX(AG:AG,MIN(IF(ISNUMBER(AG13:AG209),ROW(AG13:AG209),"")))</f>
        <v>1.1099999999999999</v>
      </c>
      <c r="AI13" s="14">
        <f>IF('Données projet'!$A$62&gt;35,AI12+AH13-AQ12,IF(A13&lt;'Données projet'!$A$62,$AF$205^A13,IF(A13='Données projet'!$A$62,'Données projet'!$B$62,AI12+AH13-AQ12)))</f>
        <v>11.1</v>
      </c>
      <c r="AJ13" s="14">
        <f>AI13*VLOOKUP('Données projet'!$B$10,Paramètres!$A$1:$I$89,3,0)*VLOOKUP('Données projet'!$B$10,Paramètres!$A$1:$I$89,5,0)</f>
        <v>8.8311599999999988</v>
      </c>
      <c r="AK13" s="14">
        <f t="shared" si="35"/>
        <v>3.1582997914189717</v>
      </c>
      <c r="AL13" s="22">
        <f t="shared" si="4"/>
        <v>20.881642470054704</v>
      </c>
      <c r="AM13" s="60">
        <f t="shared" si="5"/>
        <v>212.8203044550996</v>
      </c>
      <c r="AN13" s="60">
        <f ca="1">AVERAGE(OFFSET($AM$3,0,0,'Données projet'!$E$10+1,1))-AVERAGE(OFFSET($H$3,0,0,'Données projet'!$E$10+1,1))</f>
        <v>394.49874384716014</v>
      </c>
      <c r="AO13" s="60">
        <f t="shared" si="36"/>
        <v>423.72519584013378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2.4933333333333332</v>
      </c>
      <c r="BD13" s="13">
        <f>IF('Données projet'!$A$88&gt;35,BD12+BC13-BL12,IF(A13&lt;'Données projet'!$A$88,$BA$205^A13,IF(A13='Données projet'!$A$88,'Données projet'!$B$88,BD12+BC13-BL12)))</f>
        <v>11.183585649298445</v>
      </c>
      <c r="BE13" s="14">
        <f>BD13*VLOOKUP('Données projet'!$B$11,Paramètres!$A$1:$I$89,3,0)*VLOOKUP('Données projet'!$B$11,Paramètres!$A$1:$I$89,5,0)</f>
        <v>9.769980423227123</v>
      </c>
      <c r="BF13" s="14">
        <f t="shared" si="37"/>
        <v>3.4532031821224263</v>
      </c>
      <c r="BG13" s="22">
        <f t="shared" si="7"/>
        <v>23.030378112650464</v>
      </c>
      <c r="BH13" s="60">
        <f t="shared" si="8"/>
        <v>214.96904009769534</v>
      </c>
      <c r="BI13" s="60">
        <f ca="1">AVERAGE(OFFSET($BH$3,0,0,'Données projet'!$E$11+1,1))-AVERAGE(OFFSET($H$3,0,0,'Données projet'!$E$11+1,1))</f>
        <v>363.28611056308665</v>
      </c>
      <c r="BJ13" s="60">
        <f t="shared" si="38"/>
        <v>389.43647559455974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3.1623931623931623</v>
      </c>
      <c r="BY13" s="13">
        <f>IF('Données projet'!$A$114&gt;35,BY12+BX13-CG12,IF(A13&lt;'Données projet'!$A$114,$BV$205^A13,IF(A13='Données projet'!$A$114,'Données projet'!$B$114,BY12+BX13-CG12)))</f>
        <v>13.104026044458736</v>
      </c>
      <c r="BZ13" s="14">
        <f>BY13*VLOOKUP('Données projet'!$B$12,Paramètres!$A$1:$I$89,3,0)*VLOOKUP('Données projet'!$B$12,Paramètres!$A$1:$I$89,5,0)</f>
        <v>12.469791183906933</v>
      </c>
      <c r="CA13" s="14">
        <f t="shared" si="39"/>
        <v>4.2840372377664062</v>
      </c>
      <c r="CB13" s="22">
        <f t="shared" si="10"/>
        <v>29.179584501081067</v>
      </c>
      <c r="CC13" s="60">
        <f t="shared" si="11"/>
        <v>221.11824648612594</v>
      </c>
      <c r="CD13" s="60">
        <f ca="1">AVERAGE(OFFSET($CC$3,0,0,'Données projet'!$E$12+1,1))-AVERAGE(OFFSET($H$3,0,0,'Données projet'!$E$12+1,1))</f>
        <v>441.15969139782891</v>
      </c>
      <c r="CE13" s="60">
        <f t="shared" si="40"/>
        <v>315.06466790224783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>
        <f>VLOOKUP(A13,'Données projet'!$A$139:$I$159,2,0)</f>
        <v>11.1</v>
      </c>
      <c r="CR13" s="13">
        <f>VLOOKUP(A13,'Données projet'!$A$139:$I$159,9,0)</f>
        <v>1.1099999999999999</v>
      </c>
      <c r="CS13" s="13">
        <f t="array" ref="CS13">INDEX(CR:CR,MIN(IF(ISNUMBER(CR13:CR209),ROW(CR13:CR209),"")))</f>
        <v>1.1099999999999999</v>
      </c>
      <c r="CT13" s="13">
        <f>IF('Données projet'!$A$140&gt;35,CT12+CS13-DB12,IF(A13&lt;'Données projet'!$A$140,$CQ$205^A13,IF(A13='Données projet'!$A$140,'Données projet'!$B$140,CT12+CS13-DB12)))</f>
        <v>11.1</v>
      </c>
      <c r="CU13" s="18">
        <f>CT13*VLOOKUP('Données projet'!$B$13,Paramètres!$A$1:$I$89,3,0)*VLOOKUP('Données projet'!$B$13,Paramètres!$A$1:$I$89,5,0)</f>
        <v>8.1385199999999998</v>
      </c>
      <c r="CV13" s="14">
        <f t="shared" si="41"/>
        <v>2.9383938833896224</v>
      </c>
      <c r="CW13" s="22">
        <f t="shared" si="13"/>
        <v>19.292291680236925</v>
      </c>
      <c r="CX13" s="60">
        <f t="shared" si="14"/>
        <v>211.23095366528182</v>
      </c>
      <c r="CY13" s="60">
        <f ca="1">AVERAGE(OFFSET($CX$3,0,0,'Données projet'!$E$13+1,1))-AVERAGE(OFFSET($H$3,0,0,'Données projet'!$E$13+1,1))</f>
        <v>368.35775920359396</v>
      </c>
      <c r="CZ13" s="60">
        <f t="shared" si="42"/>
        <v>395.5218438652638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2.6666666666666665</v>
      </c>
      <c r="DO13" s="13">
        <f>IF('Données projet'!$A$166&gt;35,DO12+DN13-DW12,IF(A13&lt;'Données projet'!$A$166,$DL$205^A13,IF(A13='Données projet'!$A$166,'Données projet'!$B$166,DO12+DN13-DW12)))</f>
        <v>11.696070952851455</v>
      </c>
      <c r="DP13" s="18">
        <f>DO13*VLOOKUP('Données projet'!$B$14,Paramètres!$A$1:$I$89,3,0)*VLOOKUP('Données projet'!$B$14,Paramètres!$A$1:$I$89,5,0)</f>
        <v>9.1229353432241354</v>
      </c>
      <c r="DQ13" s="14">
        <f t="shared" si="43"/>
        <v>3.2503265450485803</v>
      </c>
      <c r="DR13" s="22">
        <f t="shared" si="16"/>
        <v>21.550097788741649</v>
      </c>
      <c r="DS13" s="60">
        <f t="shared" si="17"/>
        <v>213.48875977378654</v>
      </c>
      <c r="DT13" s="60">
        <f ca="1">AVERAGE(OFFSET($DS$3,0,0,'Données projet'!$E$14+1,1))-AVERAGE(OFFSET($H$3,0,0,'Données projet'!$E$14+1,1))</f>
        <v>312.59632808777332</v>
      </c>
      <c r="DU13" s="60">
        <f t="shared" si="44"/>
        <v>302.59481222418219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2.8518518518518516</v>
      </c>
      <c r="EJ13" s="13">
        <f>IF('Données projet'!$A$192&gt;35,EJ12+EI13-ER12,IF(A13&lt;'Données projet'!$A$192,$EG$205^A13,IF(A13='Données projet'!$A$192,'Données projet'!$B$192,EJ12+EI13-ER12)))</f>
        <v>4.9968955165542326</v>
      </c>
      <c r="EK13" s="18">
        <f>EJ13*VLOOKUP('Données projet'!$B$15,Paramètres!$A$1:$I$89,3,0)*VLOOKUP('Données projet'!$B$15,Paramètres!$A$1:$I$89,5,0)</f>
        <v>4.287336353203532</v>
      </c>
      <c r="EL13" s="14">
        <f t="shared" si="45"/>
        <v>1.6678346403162176</v>
      </c>
      <c r="EM13" s="22">
        <f t="shared" si="19"/>
        <v>10.371922813713566</v>
      </c>
      <c r="EN13" s="60">
        <f t="shared" si="20"/>
        <v>202.31058479875844</v>
      </c>
      <c r="EO13" s="60">
        <f ca="1">AVERAGE(OFFSET($EN$3,0,0,'Données projet'!$E$15+1,1))-AVERAGE(OFFSET($H$3,0,0,'Données projet'!$E$15+1,1))</f>
        <v>478.11504516179713</v>
      </c>
      <c r="EP13" s="60">
        <f t="shared" si="46"/>
        <v>249.93713224442419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3.65</v>
      </c>
      <c r="FE13" s="13">
        <f>IF('Données projet'!$A$218&gt;35,FE12+FD13-FM12,IF(A13&lt;'Données projet'!$A$218,$FB$205^A13,IF(A13='Données projet'!$A$218,'Données projet'!$B$218,FE12+FD13-FM12)))</f>
        <v>8.5440037453175322</v>
      </c>
      <c r="FF13" s="18">
        <f>FE13*VLOOKUP('Données projet'!$B$16,Paramètres!$A$1:$I$89,3,0)*VLOOKUP('Données projet'!$B$16,Paramètres!$A$1:$I$89,5,0)</f>
        <v>8.2637604224711172</v>
      </c>
      <c r="FG13" s="14">
        <f t="shared" si="47"/>
        <v>2.9783127206856603</v>
      </c>
      <c r="FH13" s="22">
        <f t="shared" si="22"/>
        <v>19.579944057664719</v>
      </c>
      <c r="FI13" s="60">
        <f t="shared" si="23"/>
        <v>211.51860604270962</v>
      </c>
      <c r="FJ13" s="60">
        <f ca="1">AVERAGE(OFFSET($FI$3,0,0,'Données projet'!$E$16+1,1))-AVERAGE(OFFSET($H$3,0,0,'Données projet'!$E$16+1,1))</f>
        <v>603.52431522262032</v>
      </c>
      <c r="FK13" s="60">
        <f t="shared" si="48"/>
        <v>313.56299786481338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>
        <f>EXP(-LN(2)/35)*FQ12+(1-EXP(-LN(2)/35))/(LN(2)/35)*FM13*FN13*VLOOKUP('Données projet'!$B$16,Paramètres!$A$1:$I$89,3,0)*0.475*44/12</f>
        <v>0</v>
      </c>
      <c r="FR13" s="23">
        <f>EXP(-LN(2)/25)*FR12+(1-EXP(-LN(2)/25))/(LN(2)/25)*Calculateur!FM13*Calculateur!FO13*VLOOKUP('Données projet'!$B$16,Paramètres!$A$1:$I$89,3,0)*0.475*44/12</f>
        <v>0</v>
      </c>
      <c r="FS13" s="23">
        <f>EXP(-LN(2)/2)*FS12+(1-EXP(-LN(2)/2))/(LN(2)/2)*FM13*FP13*VLOOKUP('Données projet'!$B$16,Paramètres!$A$1:$I$89,3,0)*0.475*44/12</f>
        <v>0</v>
      </c>
      <c r="FT13" s="24">
        <f t="shared" si="24"/>
        <v>0</v>
      </c>
      <c r="FU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>
        <f>VLOOKUP(A13,'Données projet'!$A$243:$I$263,2,0)</f>
        <v>32.692307692307693</v>
      </c>
      <c r="FX13" s="13">
        <f>VLOOKUP(A13,'Données projet'!$A$243:$I$263,9,0)</f>
        <v>3.2692307692307692</v>
      </c>
      <c r="FY13" s="13">
        <f t="array" ref="FY13">INDEX(FX:FX,MIN(IF(ISNUMBER(FX13:FX209),ROW(FX13:FX209),"")))</f>
        <v>3.2692307692307692</v>
      </c>
      <c r="FZ13" s="13">
        <f>IF('Données projet'!$A$244&gt;35,FZ12+FY13-GH12,IF(A13&lt;'Données projet'!$A$244,$FW$205^A13,IF(A13='Données projet'!$A$244,'Données projet'!$B$244,FZ12+FY13-GH12)))</f>
        <v>32.692307692307693</v>
      </c>
      <c r="GA13" s="18">
        <f>FZ13*VLOOKUP('Données projet'!$B$17,Paramètres!$A$1:$I$89,3,0)*VLOOKUP('Données projet'!$B$17,Paramètres!$A$1:$I$89,5,0)</f>
        <v>21.930000000000003</v>
      </c>
      <c r="GB13" s="14">
        <f t="shared" si="49"/>
        <v>7.0549477202322466</v>
      </c>
      <c r="GC13" s="22">
        <f t="shared" si="25"/>
        <v>50.482117279404498</v>
      </c>
      <c r="GD13" s="60">
        <f t="shared" si="26"/>
        <v>242.42077926444938</v>
      </c>
      <c r="GE13" s="60">
        <f ca="1">AVERAGE(OFFSET($GD$3,0,0,'Données projet'!$E$17+1,1))-AVERAGE(OFFSET($H$3,0,0,'Données projet'!$E$17+1,1))</f>
        <v>396.0878652679051</v>
      </c>
      <c r="GF13" s="60">
        <f t="shared" si="50"/>
        <v>327.26339199235406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>
        <f>EXP(-LN(2)/35)*GL12+(1-EXP(-LN(2)/35))/(LN(2)/35)*GH13*GI13*VLOOKUP('Données projet'!$B$17,Paramètres!$A$1:$I$89,3,0)*0.475*44/12</f>
        <v>0</v>
      </c>
      <c r="GM13" s="23">
        <f>EXP(-LN(2)/25)*GM12+(1-EXP(-LN(2)/25))/(LN(2)/25)*Calculateur!GH13*Calculateur!GJ13*VLOOKUP('Données projet'!$B$17,Paramètres!$A$1:$I$89,3,0)*0.475*44/12</f>
        <v>0</v>
      </c>
      <c r="GN13" s="23">
        <f>EXP(-LN(2)/2)*GN12+(1-EXP(-LN(2)/2))/(LN(2)/2)*GH13*GK13*VLOOKUP('Données projet'!$B$17,Paramètres!$A$1:$I$89,3,0)*0.475*44/12</f>
        <v>0</v>
      </c>
      <c r="GO13" s="23">
        <f t="shared" si="27"/>
        <v>0</v>
      </c>
      <c r="GP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>
        <f>VLOOKUP(A13,'Données projet'!$A$269:$I$289,2,0)</f>
        <v>9</v>
      </c>
      <c r="GS13" s="13">
        <f>VLOOKUP(A13,'Données projet'!$A$269:$I$289,9,0)</f>
        <v>0.9</v>
      </c>
      <c r="GT13" s="13">
        <f t="array" ref="GT13">INDEX(GS:GS,MIN(IF(ISNUMBER(GS13:GS209),ROW(GS13:GS209),"")))</f>
        <v>0.9</v>
      </c>
      <c r="GU13" s="13">
        <f>IF('Données projet'!$A$270&gt;35,GU12+GT13-HC12,IF(A13&lt;'Données projet'!$A$270,$GR$205^A13,IF(A13='Données projet'!$A$270,'Données projet'!$B$270,GU12+GT13-HC12)))</f>
        <v>9</v>
      </c>
      <c r="GV13" s="18">
        <f>GU13*VLOOKUP('Données projet'!$B$18,Paramètres!$A$1:$I$89,3,0)*VLOOKUP('Données projet'!$B$18,Paramètres!$A$1:$I$89,5,0)</f>
        <v>7.3007999999999997</v>
      </c>
      <c r="GW13" s="14">
        <f t="shared" si="51"/>
        <v>2.6694770761469542</v>
      </c>
      <c r="GX13" s="22">
        <f t="shared" si="28"/>
        <v>17.364899240955943</v>
      </c>
      <c r="GY13" s="60">
        <f t="shared" si="29"/>
        <v>209.30356122600082</v>
      </c>
      <c r="GZ13" s="60">
        <f ca="1">AVERAGE(OFFSET($GY$3,0,0,'Données projet'!$E$18+1,1))-AVERAGE(OFFSET($H$3,0,0,'Données projet'!$E$18+1,1))</f>
        <v>272.69564942740931</v>
      </c>
      <c r="HA13" s="60">
        <f t="shared" si="52"/>
        <v>316.57989180609252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>
        <f>EXP(-LN(2)/35)*HG12+(1-EXP(-LN(2)/35))/(LN(2)/35)*HC13*HD13*VLOOKUP('Données projet'!$B$18,Paramètres!$A$1:$I$89,3,0)*0.475*44/12</f>
        <v>0</v>
      </c>
      <c r="HH13" s="23">
        <f>EXP(-LN(2)/25)*HH12+(1-EXP(-LN(2)/25))/(LN(2)/25)*Calculateur!HC13*Calculateur!HE13*VLOOKUP('Données projet'!$B$18,Paramètres!$A$1:$I$89,3,0)*0.475*44/12</f>
        <v>0</v>
      </c>
      <c r="HI13" s="23">
        <f>EXP(-LN(2)/2)*HI12+(1-EXP(-LN(2)/2))/(LN(2)/2)*HC13*HF13*VLOOKUP('Données projet'!$B$18,Paramètres!$A$1:$I$89,3,0)*0.475*44/12</f>
        <v>0</v>
      </c>
      <c r="HJ13" s="24">
        <f t="shared" si="30"/>
        <v>0</v>
      </c>
    </row>
    <row r="14" spans="1:218" s="5" customFormat="1" x14ac:dyDescent="0.25">
      <c r="A14" s="11">
        <f t="shared" si="31"/>
        <v>11</v>
      </c>
      <c r="B14" s="75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8">
        <f t="shared" si="1"/>
        <v>183.33333333333334</v>
      </c>
      <c r="I14" s="7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3.65</v>
      </c>
      <c r="N14" s="14">
        <f>IF('Données projet'!$A$36&gt;35,N13+M14-V13,IF(A14&lt;'Données projet'!$A$36,$K$205^A14,IF(A14='Données projet'!$A$36,'Données projet'!$B$36,N13+M14-V13)))</f>
        <v>10.588332555950936</v>
      </c>
      <c r="O14" s="14">
        <f>N14*VLOOKUP('Données projet'!$B$9,Paramètres!$A$1:$I$89,3,0)*VLOOKUP('Données projet'!$B$9,Paramètres!$A$1:$I$89,5,0)</f>
        <v>9.5803232966244067</v>
      </c>
      <c r="P14" s="14">
        <f t="shared" si="33"/>
        <v>3.3939041949894282</v>
      </c>
      <c r="Q14" s="22">
        <f t="shared" si="2"/>
        <v>22.596779547894098</v>
      </c>
      <c r="R14" s="60">
        <f t="shared" si="0"/>
        <v>217.09257815700823</v>
      </c>
      <c r="S14" s="60">
        <f ca="1">AVERAGE(OFFSET($R$3,0,0,'Données projet'!$E$9+1,1))-AVERAGE(OFFSET($H$3,0,0,'Données projet'!$E$9+1,1))</f>
        <v>570.08763950759544</v>
      </c>
      <c r="T14" s="60">
        <f t="shared" si="34"/>
        <v>297.32483725004136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10.68</v>
      </c>
      <c r="AI14" s="14">
        <f>IF('Données projet'!$A$62&gt;35,AI13+AH14-AQ13,IF(A14&lt;'Données projet'!$A$62,$AF$205^A14,IF(A14='Données projet'!$A$62,'Données projet'!$B$62,AI13+AH14-AQ13)))</f>
        <v>21.78</v>
      </c>
      <c r="AJ14" s="14">
        <f>AI14*VLOOKUP('Données projet'!$B$10,Paramètres!$A$1:$I$89,3,0)*VLOOKUP('Données projet'!$B$10,Paramètres!$A$1:$I$89,5,0)</f>
        <v>17.328168000000002</v>
      </c>
      <c r="AK14" s="14">
        <f t="shared" si="35"/>
        <v>5.7294628302508057</v>
      </c>
      <c r="AL14" s="22">
        <f t="shared" si="4"/>
        <v>40.158707029353486</v>
      </c>
      <c r="AM14" s="60">
        <f t="shared" si="5"/>
        <v>234.65450563846761</v>
      </c>
      <c r="AN14" s="60">
        <f ca="1">AVERAGE(OFFSET($AM$3,0,0,'Données projet'!$E$10+1,1))-AVERAGE(OFFSET($H$3,0,0,'Données projet'!$E$10+1,1))</f>
        <v>394.49874384716014</v>
      </c>
      <c r="AO14" s="60">
        <f t="shared" si="36"/>
        <v>423.72519584013378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2.4933333333333332</v>
      </c>
      <c r="BD14" s="13">
        <f>IF('Données projet'!$A$88&gt;35,BD13+BC14-BL13,IF(A14&lt;'Données projet'!$A$88,$BA$205^A14,IF(A14='Données projet'!$A$88,'Données projet'!$B$88,BD13+BC14-BL13)))</f>
        <v>14.237678270776428</v>
      </c>
      <c r="BE14" s="14">
        <f>BD14*VLOOKUP('Données projet'!$B$11,Paramètres!$A$1:$I$89,3,0)*VLOOKUP('Données projet'!$B$11,Paramètres!$A$1:$I$89,5,0)</f>
        <v>12.438035737350289</v>
      </c>
      <c r="BF14" s="14">
        <f t="shared" si="37"/>
        <v>4.2743960084761534</v>
      </c>
      <c r="BG14" s="22">
        <f t="shared" si="7"/>
        <v>29.10748529064772</v>
      </c>
      <c r="BH14" s="60">
        <f t="shared" si="8"/>
        <v>223.60328389976186</v>
      </c>
      <c r="BI14" s="60">
        <f ca="1">AVERAGE(OFFSET($BH$3,0,0,'Données projet'!$E$11+1,1))-AVERAGE(OFFSET($H$3,0,0,'Données projet'!$E$11+1,1))</f>
        <v>363.28611056308665</v>
      </c>
      <c r="BJ14" s="60">
        <f t="shared" si="38"/>
        <v>389.43647559455974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3.1623931623931623</v>
      </c>
      <c r="BY14" s="13">
        <f>IF('Données projet'!$A$114&gt;35,BY13+BX14-CG13,IF(A14&lt;'Données projet'!$A$114,$BV$205^A14,IF(A14='Données projet'!$A$114,'Données projet'!$B$114,BY13+BX14-CG13)))</f>
        <v>16.949044593816883</v>
      </c>
      <c r="BZ14" s="14">
        <f>BY14*VLOOKUP('Données projet'!$B$12,Paramètres!$A$1:$I$89,3,0)*VLOOKUP('Données projet'!$B$12,Paramètres!$A$1:$I$89,5,0)</f>
        <v>16.128710835476145</v>
      </c>
      <c r="CA14" s="14">
        <f t="shared" si="39"/>
        <v>5.3775829807869533</v>
      </c>
      <c r="CB14" s="22">
        <f t="shared" si="10"/>
        <v>37.456795063324897</v>
      </c>
      <c r="CC14" s="60">
        <f t="shared" si="11"/>
        <v>231.95259367243904</v>
      </c>
      <c r="CD14" s="60">
        <f ca="1">AVERAGE(OFFSET($CC$3,0,0,'Données projet'!$E$12+1,1))-AVERAGE(OFFSET($H$3,0,0,'Données projet'!$E$12+1,1))</f>
        <v>441.15969139782891</v>
      </c>
      <c r="CE14" s="60">
        <f t="shared" si="40"/>
        <v>315.06466790224783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10.68</v>
      </c>
      <c r="CT14" s="13">
        <f>IF('Données projet'!$A$140&gt;35,CT13+CS14-DB13,IF(A14&lt;'Données projet'!$A$140,$CQ$205^A14,IF(A14='Données projet'!$A$140,'Données projet'!$B$140,CT13+CS14-DB13)))</f>
        <v>21.78</v>
      </c>
      <c r="CU14" s="18">
        <f>CT14*VLOOKUP('Données projet'!$B$13,Paramètres!$A$1:$I$89,3,0)*VLOOKUP('Données projet'!$B$13,Paramètres!$A$1:$I$89,5,0)</f>
        <v>15.969095999999999</v>
      </c>
      <c r="CV14" s="14">
        <f t="shared" si="41"/>
        <v>5.3305321367080518</v>
      </c>
      <c r="CW14" s="22">
        <f t="shared" si="13"/>
        <v>37.096852338099858</v>
      </c>
      <c r="CX14" s="60">
        <f t="shared" si="14"/>
        <v>231.592650947214</v>
      </c>
      <c r="CY14" s="60">
        <f ca="1">AVERAGE(OFFSET($CX$3,0,0,'Données projet'!$E$13+1,1))-AVERAGE(OFFSET($H$3,0,0,'Données projet'!$E$13+1,1))</f>
        <v>368.35775920359396</v>
      </c>
      <c r="CZ14" s="60">
        <f t="shared" si="42"/>
        <v>395.5218438652638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2.6666666666666665</v>
      </c>
      <c r="DO14" s="13">
        <f>IF('Données projet'!$A$166&gt;35,DO13+DN14-DW13,IF(A14&lt;'Données projet'!$A$166,$DL$205^A14,IF(A14='Données projet'!$A$166,'Données projet'!$B$166,DO13+DN14-DW13)))</f>
        <v>14.956982779612416</v>
      </c>
      <c r="DP14" s="18">
        <f>DO14*VLOOKUP('Données projet'!$B$14,Paramètres!$A$1:$I$89,3,0)*VLOOKUP('Données projet'!$B$14,Paramètres!$A$1:$I$89,5,0)</f>
        <v>11.666446568097685</v>
      </c>
      <c r="DQ14" s="14">
        <f t="shared" si="43"/>
        <v>4.0392339557111736</v>
      </c>
      <c r="DR14" s="22">
        <f t="shared" si="16"/>
        <v>27.354060245633761</v>
      </c>
      <c r="DS14" s="60">
        <f t="shared" si="17"/>
        <v>221.84985885474788</v>
      </c>
      <c r="DT14" s="60">
        <f ca="1">AVERAGE(OFFSET($DS$3,0,0,'Données projet'!$E$14+1,1))-AVERAGE(OFFSET($H$3,0,0,'Données projet'!$E$14+1,1))</f>
        <v>312.59632808777332</v>
      </c>
      <c r="DU14" s="60">
        <f t="shared" si="44"/>
        <v>302.59481222418219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2.8518518518518516</v>
      </c>
      <c r="EJ14" s="13">
        <f>IF('Données projet'!$A$192&gt;35,EJ13+EI14-ER13,IF(A14&lt;'Données projet'!$A$192,$EG$205^A14,IF(A14='Données projet'!$A$192,'Données projet'!$B$192,EJ13+EI14-ER13)))</f>
        <v>5.8690835964213983</v>
      </c>
      <c r="EK14" s="18">
        <f>EJ14*VLOOKUP('Données projet'!$B$15,Paramètres!$A$1:$I$89,3,0)*VLOOKUP('Données projet'!$B$15,Paramètres!$A$1:$I$89,5,0)</f>
        <v>5.0356737257295601</v>
      </c>
      <c r="EL14" s="14">
        <f t="shared" si="45"/>
        <v>1.922605345496381</v>
      </c>
      <c r="EM14" s="22">
        <f t="shared" si="19"/>
        <v>12.119002715718514</v>
      </c>
      <c r="EN14" s="60">
        <f t="shared" si="20"/>
        <v>206.61480132483265</v>
      </c>
      <c r="EO14" s="60">
        <f ca="1">AVERAGE(OFFSET($EN$3,0,0,'Données projet'!$E$15+1,1))-AVERAGE(OFFSET($H$3,0,0,'Données projet'!$E$15+1,1))</f>
        <v>478.11504516179713</v>
      </c>
      <c r="EP14" s="60">
        <f t="shared" si="46"/>
        <v>249.93713224442419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3.65</v>
      </c>
      <c r="FE14" s="13">
        <f>IF('Données projet'!$A$218&gt;35,FE13+FD14-FM13,IF(A14&lt;'Données projet'!$A$218,$FB$205^A14,IF(A14='Données projet'!$A$218,'Données projet'!$B$218,FE13+FD14-FM13)))</f>
        <v>10.588332555950936</v>
      </c>
      <c r="FF14" s="18">
        <f>FE14*VLOOKUP('Données projet'!$B$16,Paramètres!$A$1:$I$89,3,0)*VLOOKUP('Données projet'!$B$16,Paramètres!$A$1:$I$89,5,0)</f>
        <v>10.241035248115747</v>
      </c>
      <c r="FG14" s="14">
        <f t="shared" si="47"/>
        <v>3.5999121311945652</v>
      </c>
      <c r="FH14" s="22">
        <f t="shared" si="22"/>
        <v>24.106316685632123</v>
      </c>
      <c r="FI14" s="60">
        <f t="shared" si="23"/>
        <v>218.60211529474626</v>
      </c>
      <c r="FJ14" s="60">
        <f ca="1">AVERAGE(OFFSET($FI$3,0,0,'Données projet'!$E$16+1,1))-AVERAGE(OFFSET($H$3,0,0,'Données projet'!$E$16+1,1))</f>
        <v>603.52431522262032</v>
      </c>
      <c r="FK14" s="60">
        <f t="shared" si="48"/>
        <v>313.56299786481338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>
        <f>EXP(-LN(2)/35)*FQ13+(1-EXP(-LN(2)/35))/(LN(2)/35)*FM14*FN14*VLOOKUP('Données projet'!$B$16,Paramètres!$A$1:$I$89,3,0)*0.475*44/12</f>
        <v>0</v>
      </c>
      <c r="FR14" s="23">
        <f>EXP(-LN(2)/25)*FR13+(1-EXP(-LN(2)/25))/(LN(2)/25)*Calculateur!FM14*Calculateur!FO14*VLOOKUP('Données projet'!$B$16,Paramètres!$A$1:$I$89,3,0)*0.475*44/12</f>
        <v>0</v>
      </c>
      <c r="FS14" s="23">
        <f>EXP(-LN(2)/2)*FS13+(1-EXP(-LN(2)/2))/(LN(2)/2)*FM14*FP14*VLOOKUP('Données projet'!$B$16,Paramètres!$A$1:$I$89,3,0)*0.475*44/12</f>
        <v>0</v>
      </c>
      <c r="FT14" s="24">
        <f t="shared" si="24"/>
        <v>0</v>
      </c>
      <c r="FU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9.1025641025641022</v>
      </c>
      <c r="FZ14" s="13">
        <f>IF('Données projet'!$A$244&gt;35,FZ13+FY14-GH13,IF(A14&lt;'Données projet'!$A$244,$FW$205^A14,IF(A14='Données projet'!$A$244,'Données projet'!$B$244,FZ13+FY14-GH13)))</f>
        <v>41.794871794871796</v>
      </c>
      <c r="GA14" s="18">
        <f>FZ14*VLOOKUP('Données projet'!$B$17,Paramètres!$A$1:$I$89,3,0)*VLOOKUP('Données projet'!$B$17,Paramètres!$A$1:$I$89,5,0)</f>
        <v>28.035999999999998</v>
      </c>
      <c r="GB14" s="14">
        <f t="shared" si="49"/>
        <v>8.7650413206161684</v>
      </c>
      <c r="GC14" s="22">
        <f t="shared" si="25"/>
        <v>64.095146966739819</v>
      </c>
      <c r="GD14" s="60">
        <f t="shared" si="26"/>
        <v>258.59094557585394</v>
      </c>
      <c r="GE14" s="60">
        <f ca="1">AVERAGE(OFFSET($GD$3,0,0,'Données projet'!$E$17+1,1))-AVERAGE(OFFSET($H$3,0,0,'Données projet'!$E$17+1,1))</f>
        <v>396.0878652679051</v>
      </c>
      <c r="GF14" s="60">
        <f t="shared" si="50"/>
        <v>327.26339199235406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>
        <f>EXP(-LN(2)/35)*GL13+(1-EXP(-LN(2)/35))/(LN(2)/35)*GH14*GI14*VLOOKUP('Données projet'!$B$17,Paramètres!$A$1:$I$89,3,0)*0.475*44/12</f>
        <v>0</v>
      </c>
      <c r="GM14" s="23">
        <f>EXP(-LN(2)/25)*GM13+(1-EXP(-LN(2)/25))/(LN(2)/25)*Calculateur!GH14*Calculateur!GJ14*VLOOKUP('Données projet'!$B$17,Paramètres!$A$1:$I$89,3,0)*0.475*44/12</f>
        <v>0</v>
      </c>
      <c r="GN14" s="23">
        <f>EXP(-LN(2)/2)*GN13+(1-EXP(-LN(2)/2))/(LN(2)/2)*GH14*GK14*VLOOKUP('Données projet'!$B$17,Paramètres!$A$1:$I$89,3,0)*0.475*44/12</f>
        <v>0</v>
      </c>
      <c r="GO14" s="23">
        <f t="shared" si="27"/>
        <v>0</v>
      </c>
      <c r="GP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8</v>
      </c>
      <c r="GU14" s="13">
        <f>IF('Données projet'!$A$270&gt;35,GU13+GT14-HC13,IF(A14&lt;'Données projet'!$A$270,$GR$205^A14,IF(A14='Données projet'!$A$270,'Données projet'!$B$270,GU13+GT14-HC13)))</f>
        <v>17</v>
      </c>
      <c r="GV14" s="18">
        <f>GU14*VLOOKUP('Données projet'!$B$18,Paramètres!$A$1:$I$89,3,0)*VLOOKUP('Données projet'!$B$18,Paramètres!$A$1:$I$89,5,0)</f>
        <v>13.7904</v>
      </c>
      <c r="GW14" s="14">
        <f t="shared" si="51"/>
        <v>4.6825473896592289</v>
      </c>
      <c r="GX14" s="22">
        <f t="shared" si="28"/>
        <v>32.173716703656488</v>
      </c>
      <c r="GY14" s="60">
        <f t="shared" si="29"/>
        <v>226.66951531277061</v>
      </c>
      <c r="GZ14" s="60">
        <f ca="1">AVERAGE(OFFSET($GY$3,0,0,'Données projet'!$E$18+1,1))-AVERAGE(OFFSET($H$3,0,0,'Données projet'!$E$18+1,1))</f>
        <v>272.69564942740931</v>
      </c>
      <c r="HA14" s="60">
        <f t="shared" si="52"/>
        <v>316.57989180609252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>
        <f>EXP(-LN(2)/35)*HG13+(1-EXP(-LN(2)/35))/(LN(2)/35)*HC14*HD14*VLOOKUP('Données projet'!$B$18,Paramètres!$A$1:$I$89,3,0)*0.475*44/12</f>
        <v>0</v>
      </c>
      <c r="HH14" s="23">
        <f>EXP(-LN(2)/25)*HH13+(1-EXP(-LN(2)/25))/(LN(2)/25)*Calculateur!HC14*Calculateur!HE14*VLOOKUP('Données projet'!$B$18,Paramètres!$A$1:$I$89,3,0)*0.475*44/12</f>
        <v>0</v>
      </c>
      <c r="HI14" s="23">
        <f>EXP(-LN(2)/2)*HI13+(1-EXP(-LN(2)/2))/(LN(2)/2)*HC14*HF14*VLOOKUP('Données projet'!$B$18,Paramètres!$A$1:$I$89,3,0)*0.475*44/12</f>
        <v>0</v>
      </c>
      <c r="HJ14" s="24">
        <f t="shared" si="30"/>
        <v>0</v>
      </c>
    </row>
    <row r="15" spans="1:218" s="5" customFormat="1" x14ac:dyDescent="0.25">
      <c r="A15" s="11">
        <f t="shared" si="31"/>
        <v>12</v>
      </c>
      <c r="B15" s="75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8">
        <f t="shared" si="1"/>
        <v>183.33333333333334</v>
      </c>
      <c r="I15" s="7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3.65</v>
      </c>
      <c r="N15" s="14">
        <f>IF('Données projet'!$A$36&gt;35,N14+M15-V14,IF(A15&lt;'Données projet'!$A$36,$K$205^A15,IF(A15='Données projet'!$A$36,'Données projet'!$B$36,N14+M15-V14)))</f>
        <v>13.121809125710287</v>
      </c>
      <c r="O15" s="14">
        <f>N15*VLOOKUP('Données projet'!$B$9,Paramètres!$A$1:$I$89,3,0)*VLOOKUP('Données projet'!$B$9,Paramètres!$A$1:$I$89,5,0)</f>
        <v>11.872612896942668</v>
      </c>
      <c r="P15" s="14">
        <f t="shared" si="33"/>
        <v>4.1022411108131784</v>
      </c>
      <c r="Q15" s="22">
        <f t="shared" si="2"/>
        <v>27.822870730174767</v>
      </c>
      <c r="R15" s="60">
        <f t="shared" si="0"/>
        <v>224.85264818290764</v>
      </c>
      <c r="S15" s="60">
        <f ca="1">AVERAGE(OFFSET($R$3,0,0,'Données projet'!$E$9+1,1))-AVERAGE(OFFSET($H$3,0,0,'Données projet'!$E$9+1,1))</f>
        <v>570.08763950759544</v>
      </c>
      <c r="T15" s="60">
        <f t="shared" si="34"/>
        <v>297.32483725004136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10.68</v>
      </c>
      <c r="AI15" s="14">
        <f>IF('Données projet'!$A$62&gt;35,AI14+AH15-AQ14,IF(A15&lt;'Données projet'!$A$62,$AF$205^A15,IF(A15='Données projet'!$A$62,'Données projet'!$B$62,AI14+AH15-AQ14)))</f>
        <v>32.46</v>
      </c>
      <c r="AJ15" s="14">
        <f>AI15*VLOOKUP('Données projet'!$B$10,Paramètres!$A$1:$I$89,3,0)*VLOOKUP('Données projet'!$B$10,Paramètres!$A$1:$I$89,5,0)</f>
        <v>25.825176000000003</v>
      </c>
      <c r="AK15" s="14">
        <f t="shared" si="35"/>
        <v>8.1514246027621944</v>
      </c>
      <c r="AL15" s="22">
        <f t="shared" si="4"/>
        <v>59.175912716477491</v>
      </c>
      <c r="AM15" s="60">
        <f t="shared" si="5"/>
        <v>256.20569016921036</v>
      </c>
      <c r="AN15" s="60">
        <f ca="1">AVERAGE(OFFSET($AM$3,0,0,'Données projet'!$E$10+1,1))-AVERAGE(OFFSET($H$3,0,0,'Données projet'!$E$10+1,1))</f>
        <v>394.49874384716014</v>
      </c>
      <c r="AO15" s="60">
        <f t="shared" si="36"/>
        <v>423.72519584013378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2.4933333333333332</v>
      </c>
      <c r="BD15" s="13">
        <f>IF('Données projet'!$A$88&gt;35,BD14+BC15-BL14,IF(A15&lt;'Données projet'!$A$88,$BA$205^A15,IF(A15='Données projet'!$A$88,'Données projet'!$B$88,BD14+BC15-BL14)))</f>
        <v>18.125804093506943</v>
      </c>
      <c r="BE15" s="14">
        <f>BD15*VLOOKUP('Données projet'!$B$11,Paramètres!$A$1:$I$89,3,0)*VLOOKUP('Données projet'!$B$11,Paramètres!$A$1:$I$89,5,0)</f>
        <v>15.834702456087667</v>
      </c>
      <c r="BF15" s="14">
        <f t="shared" si="37"/>
        <v>5.2908735089394296</v>
      </c>
      <c r="BG15" s="22">
        <f t="shared" si="7"/>
        <v>36.793711472422189</v>
      </c>
      <c r="BH15" s="60">
        <f t="shared" si="8"/>
        <v>233.82348892515506</v>
      </c>
      <c r="BI15" s="60">
        <f ca="1">AVERAGE(OFFSET($BH$3,0,0,'Données projet'!$E$11+1,1))-AVERAGE(OFFSET($H$3,0,0,'Données projet'!$E$11+1,1))</f>
        <v>363.28611056308665</v>
      </c>
      <c r="BJ15" s="60">
        <f t="shared" si="38"/>
        <v>389.43647559455974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3.1623931623931623</v>
      </c>
      <c r="BY15" s="13">
        <f>IF('Données projet'!$A$114&gt;35,BY14+BX15-CG14,IF(A15&lt;'Données projet'!$A$114,$BV$205^A15,IF(A15='Données projet'!$A$114,'Données projet'!$B$114,BY14+BX15-CG14)))</f>
        <v>21.922278822444071</v>
      </c>
      <c r="BZ15" s="14">
        <f>BY15*VLOOKUP('Données projet'!$B$12,Paramètres!$A$1:$I$89,3,0)*VLOOKUP('Données projet'!$B$12,Paramètres!$A$1:$I$89,5,0)</f>
        <v>20.861240527437776</v>
      </c>
      <c r="CA15" s="14">
        <f t="shared" si="39"/>
        <v>6.750267822211284</v>
      </c>
      <c r="CB15" s="22">
        <f t="shared" si="10"/>
        <v>48.090043708972111</v>
      </c>
      <c r="CC15" s="60">
        <f t="shared" si="11"/>
        <v>245.11982116170498</v>
      </c>
      <c r="CD15" s="60">
        <f ca="1">AVERAGE(OFFSET($CC$3,0,0,'Données projet'!$E$12+1,1))-AVERAGE(OFFSET($H$3,0,0,'Données projet'!$E$12+1,1))</f>
        <v>441.15969139782891</v>
      </c>
      <c r="CE15" s="60">
        <f t="shared" si="40"/>
        <v>315.06466790224783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10.68</v>
      </c>
      <c r="CT15" s="13">
        <f>IF('Données projet'!$A$140&gt;35,CT14+CS15-DB14,IF(A15&lt;'Données projet'!$A$140,$CQ$205^A15,IF(A15='Données projet'!$A$140,'Données projet'!$B$140,CT14+CS15-DB14)))</f>
        <v>32.46</v>
      </c>
      <c r="CU15" s="18">
        <f>CT15*VLOOKUP('Données projet'!$B$13,Paramètres!$A$1:$I$89,3,0)*VLOOKUP('Données projet'!$B$13,Paramètres!$A$1:$I$89,5,0)</f>
        <v>23.799672000000001</v>
      </c>
      <c r="CV15" s="14">
        <f t="shared" si="41"/>
        <v>7.5838577005088039</v>
      </c>
      <c r="CW15" s="22">
        <f t="shared" si="13"/>
        <v>54.659647561719503</v>
      </c>
      <c r="CX15" s="60">
        <f t="shared" si="14"/>
        <v>251.68942501445238</v>
      </c>
      <c r="CY15" s="60">
        <f ca="1">AVERAGE(OFFSET($CX$3,0,0,'Données projet'!$E$13+1,1))-AVERAGE(OFFSET($H$3,0,0,'Données projet'!$E$13+1,1))</f>
        <v>368.35775920359396</v>
      </c>
      <c r="CZ15" s="60">
        <f t="shared" si="42"/>
        <v>395.5218438652638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2.6666666666666665</v>
      </c>
      <c r="DO15" s="13">
        <f>IF('Données projet'!$A$166&gt;35,DO14+DN15-DW14,IF(A15&lt;'Données projet'!$A$166,$DL$205^A15,IF(A15='Données projet'!$A$166,'Données projet'!$B$166,DO14+DN15-DW14)))</f>
        <v>19.127049995800721</v>
      </c>
      <c r="DP15" s="18">
        <f>DO15*VLOOKUP('Données projet'!$B$14,Paramètres!$A$1:$I$89,3,0)*VLOOKUP('Données projet'!$B$14,Paramètres!$A$1:$I$89,5,0)</f>
        <v>14.919098996724562</v>
      </c>
      <c r="DQ15" s="14">
        <f t="shared" si="43"/>
        <v>5.019622097301081</v>
      </c>
      <c r="DR15" s="22">
        <f t="shared" si="16"/>
        <v>34.726605905427995</v>
      </c>
      <c r="DS15" s="60">
        <f t="shared" si="17"/>
        <v>231.75638335816086</v>
      </c>
      <c r="DT15" s="60">
        <f ca="1">AVERAGE(OFFSET($DS$3,0,0,'Données projet'!$E$14+1,1))-AVERAGE(OFFSET($H$3,0,0,'Données projet'!$E$14+1,1))</f>
        <v>312.59632808777332</v>
      </c>
      <c r="DU15" s="60">
        <f t="shared" si="44"/>
        <v>302.59481222418219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2.8518518518518516</v>
      </c>
      <c r="EJ15" s="13">
        <f>IF('Données projet'!$A$192&gt;35,EJ14+EI15-ER14,IF(A15&lt;'Données projet'!$A$192,$EG$205^A15,IF(A15='Données projet'!$A$192,'Données projet'!$B$192,EJ14+EI15-ER14)))</f>
        <v>6.8935086090285438</v>
      </c>
      <c r="EK15" s="18">
        <f>EJ15*VLOOKUP('Données projet'!$B$15,Paramètres!$A$1:$I$89,3,0)*VLOOKUP('Données projet'!$B$15,Paramètres!$A$1:$I$89,5,0)</f>
        <v>5.9146303865464915</v>
      </c>
      <c r="EL15" s="14">
        <f t="shared" si="45"/>
        <v>2.216293645172418</v>
      </c>
      <c r="EM15" s="22">
        <f t="shared" si="19"/>
        <v>14.161359355243766</v>
      </c>
      <c r="EN15" s="60">
        <f t="shared" si="20"/>
        <v>211.19113680797665</v>
      </c>
      <c r="EO15" s="60">
        <f ca="1">AVERAGE(OFFSET($EN$3,0,0,'Données projet'!$E$15+1,1))-AVERAGE(OFFSET($H$3,0,0,'Données projet'!$E$15+1,1))</f>
        <v>478.11504516179713</v>
      </c>
      <c r="EP15" s="60">
        <f t="shared" si="46"/>
        <v>249.93713224442419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3.65</v>
      </c>
      <c r="FE15" s="13">
        <f>IF('Données projet'!$A$218&gt;35,FE14+FD15-FM14,IF(A15&lt;'Données projet'!$A$218,$FB$205^A15,IF(A15='Données projet'!$A$218,'Données projet'!$B$218,FE14+FD15-FM14)))</f>
        <v>13.121809125710287</v>
      </c>
      <c r="FF15" s="18">
        <f>FE15*VLOOKUP('Données projet'!$B$16,Paramètres!$A$1:$I$89,3,0)*VLOOKUP('Données projet'!$B$16,Paramètres!$A$1:$I$89,5,0)</f>
        <v>12.69141378638699</v>
      </c>
      <c r="FG15" s="14">
        <f t="shared" si="47"/>
        <v>4.3512446702837533</v>
      </c>
      <c r="FH15" s="22">
        <f t="shared" si="22"/>
        <v>29.682630145368211</v>
      </c>
      <c r="FI15" s="60">
        <f t="shared" si="23"/>
        <v>226.71240759810109</v>
      </c>
      <c r="FJ15" s="60">
        <f ca="1">AVERAGE(OFFSET($FI$3,0,0,'Données projet'!$E$16+1,1))-AVERAGE(OFFSET($H$3,0,0,'Données projet'!$E$16+1,1))</f>
        <v>603.52431522262032</v>
      </c>
      <c r="FK15" s="60">
        <f t="shared" si="48"/>
        <v>313.56299786481338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>
        <f>EXP(-LN(2)/35)*FQ14+(1-EXP(-LN(2)/35))/(LN(2)/35)*FM15*FN15*VLOOKUP('Données projet'!$B$16,Paramètres!$A$1:$I$89,3,0)*0.475*44/12</f>
        <v>0</v>
      </c>
      <c r="FR15" s="23">
        <f>EXP(-LN(2)/25)*FR14+(1-EXP(-LN(2)/25))/(LN(2)/25)*Calculateur!FM15*Calculateur!FO15*VLOOKUP('Données projet'!$B$16,Paramètres!$A$1:$I$89,3,0)*0.475*44/12</f>
        <v>0</v>
      </c>
      <c r="FS15" s="23">
        <f>EXP(-LN(2)/2)*FS14+(1-EXP(-LN(2)/2))/(LN(2)/2)*FM15*FP15*VLOOKUP('Données projet'!$B$16,Paramètres!$A$1:$I$89,3,0)*0.475*44/12</f>
        <v>0</v>
      </c>
      <c r="FT15" s="24">
        <f t="shared" si="24"/>
        <v>0</v>
      </c>
      <c r="FU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9.1025641025641022</v>
      </c>
      <c r="FZ15" s="13">
        <f>IF('Données projet'!$A$244&gt;35,FZ14+FY15-GH14,IF(A15&lt;'Données projet'!$A$244,$FW$205^A15,IF(A15='Données projet'!$A$244,'Données projet'!$B$244,FZ14+FY15-GH14)))</f>
        <v>50.897435897435898</v>
      </c>
      <c r="GA15" s="18">
        <f>FZ15*VLOOKUP('Données projet'!$B$17,Paramètres!$A$1:$I$89,3,0)*VLOOKUP('Données projet'!$B$17,Paramètres!$A$1:$I$89,5,0)</f>
        <v>34.142000000000003</v>
      </c>
      <c r="GB15" s="14">
        <f t="shared" si="49"/>
        <v>10.431966606093619</v>
      </c>
      <c r="GC15" s="22">
        <f t="shared" si="25"/>
        <v>77.632991838946381</v>
      </c>
      <c r="GD15" s="60">
        <f t="shared" si="26"/>
        <v>274.66276929167924</v>
      </c>
      <c r="GE15" s="60">
        <f ca="1">AVERAGE(OFFSET($GD$3,0,0,'Données projet'!$E$17+1,1))-AVERAGE(OFFSET($H$3,0,0,'Données projet'!$E$17+1,1))</f>
        <v>396.0878652679051</v>
      </c>
      <c r="GF15" s="60">
        <f t="shared" si="50"/>
        <v>327.26339199235406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>
        <f>EXP(-LN(2)/35)*GL14+(1-EXP(-LN(2)/35))/(LN(2)/35)*GH15*GI15*VLOOKUP('Données projet'!$B$17,Paramètres!$A$1:$I$89,3,0)*0.475*44/12</f>
        <v>0</v>
      </c>
      <c r="GM15" s="23">
        <f>EXP(-LN(2)/25)*GM14+(1-EXP(-LN(2)/25))/(LN(2)/25)*Calculateur!GH15*Calculateur!GJ15*VLOOKUP('Données projet'!$B$17,Paramètres!$A$1:$I$89,3,0)*0.475*44/12</f>
        <v>0</v>
      </c>
      <c r="GN15" s="23">
        <f>EXP(-LN(2)/2)*GN14+(1-EXP(-LN(2)/2))/(LN(2)/2)*GH15*GK15*VLOOKUP('Données projet'!$B$17,Paramètres!$A$1:$I$89,3,0)*0.475*44/12</f>
        <v>0</v>
      </c>
      <c r="GO15" s="23">
        <f t="shared" si="27"/>
        <v>0</v>
      </c>
      <c r="GP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8</v>
      </c>
      <c r="GU15" s="13">
        <f>IF('Données projet'!$A$270&gt;35,GU14+GT15-HC14,IF(A15&lt;'Données projet'!$A$270,$GR$205^A15,IF(A15='Données projet'!$A$270,'Données projet'!$B$270,GU14+GT15-HC14)))</f>
        <v>25</v>
      </c>
      <c r="GV15" s="18">
        <f>GU15*VLOOKUP('Données projet'!$B$18,Paramètres!$A$1:$I$89,3,0)*VLOOKUP('Données projet'!$B$18,Paramètres!$A$1:$I$89,5,0)</f>
        <v>20.28</v>
      </c>
      <c r="GW15" s="14">
        <f t="shared" si="51"/>
        <v>6.5838102554415308</v>
      </c>
      <c r="GX15" s="22">
        <f t="shared" si="28"/>
        <v>46.787802861560664</v>
      </c>
      <c r="GY15" s="60">
        <f t="shared" si="29"/>
        <v>243.81758031429354</v>
      </c>
      <c r="GZ15" s="60">
        <f ca="1">AVERAGE(OFFSET($GY$3,0,0,'Données projet'!$E$18+1,1))-AVERAGE(OFFSET($H$3,0,0,'Données projet'!$E$18+1,1))</f>
        <v>272.69564942740931</v>
      </c>
      <c r="HA15" s="60">
        <f t="shared" si="52"/>
        <v>316.57989180609252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>
        <f>EXP(-LN(2)/35)*HG14+(1-EXP(-LN(2)/35))/(LN(2)/35)*HC15*HD15*VLOOKUP('Données projet'!$B$18,Paramètres!$A$1:$I$89,3,0)*0.475*44/12</f>
        <v>0</v>
      </c>
      <c r="HH15" s="23">
        <f>EXP(-LN(2)/25)*HH14+(1-EXP(-LN(2)/25))/(LN(2)/25)*Calculateur!HC15*Calculateur!HE15*VLOOKUP('Données projet'!$B$18,Paramètres!$A$1:$I$89,3,0)*0.475*44/12</f>
        <v>0</v>
      </c>
      <c r="HI15" s="23">
        <f>EXP(-LN(2)/2)*HI14+(1-EXP(-LN(2)/2))/(LN(2)/2)*HC15*HF15*VLOOKUP('Données projet'!$B$18,Paramètres!$A$1:$I$89,3,0)*0.475*44/12</f>
        <v>0</v>
      </c>
      <c r="HJ15" s="24">
        <f t="shared" si="30"/>
        <v>0</v>
      </c>
    </row>
    <row r="16" spans="1:218" s="5" customFormat="1" x14ac:dyDescent="0.25">
      <c r="A16" s="11">
        <f t="shared" si="31"/>
        <v>13</v>
      </c>
      <c r="B16" s="75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8">
        <f t="shared" si="1"/>
        <v>183.33333333333334</v>
      </c>
      <c r="I16" s="7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3.65</v>
      </c>
      <c r="N16" s="14">
        <f>IF('Données projet'!$A$36&gt;35,N15+M16-V15,IF(A16&lt;'Données projet'!$A$36,$K$205^A16,IF(A16='Données projet'!$A$36,'Données projet'!$B$36,N15+M16-V15)))</f>
        <v>16.261472127148366</v>
      </c>
      <c r="O16" s="14">
        <f>N16*VLOOKUP('Données projet'!$B$9,Paramètres!$A$1:$I$89,3,0)*VLOOKUP('Données projet'!$B$9,Paramètres!$A$1:$I$89,5,0)</f>
        <v>14.713379980643843</v>
      </c>
      <c r="P16" s="14">
        <f t="shared" si="33"/>
        <v>4.9584140165447881</v>
      </c>
      <c r="Q16" s="22">
        <f t="shared" si="2"/>
        <v>34.261707878436859</v>
      </c>
      <c r="R16" s="60">
        <f t="shared" si="0"/>
        <v>233.80270813005566</v>
      </c>
      <c r="S16" s="60">
        <f ca="1">AVERAGE(OFFSET($R$3,0,0,'Données projet'!$E$9+1,1))-AVERAGE(OFFSET($H$3,0,0,'Données projet'!$E$9+1,1))</f>
        <v>570.08763950759544</v>
      </c>
      <c r="T16" s="60">
        <f t="shared" si="34"/>
        <v>297.32483725004136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10.68</v>
      </c>
      <c r="AI16" s="14">
        <f>IF('Données projet'!$A$62&gt;35,AI15+AH16-AQ15,IF(A16&lt;'Données projet'!$A$62,$AF$205^A16,IF(A16='Données projet'!$A$62,'Données projet'!$B$62,AI15+AH16-AQ15)))</f>
        <v>43.14</v>
      </c>
      <c r="AJ16" s="14">
        <f>AI16*VLOOKUP('Données projet'!$B$10,Paramètres!$A$1:$I$89,3,0)*VLOOKUP('Données projet'!$B$10,Paramètres!$A$1:$I$89,5,0)</f>
        <v>34.322184</v>
      </c>
      <c r="AK16" s="14">
        <f t="shared" si="35"/>
        <v>10.480597920580347</v>
      </c>
      <c r="AL16" s="22">
        <f t="shared" si="4"/>
        <v>78.031511845010769</v>
      </c>
      <c r="AM16" s="60">
        <f t="shared" si="5"/>
        <v>277.57251209662957</v>
      </c>
      <c r="AN16" s="60">
        <f ca="1">AVERAGE(OFFSET($AM$3,0,0,'Données projet'!$E$10+1,1))-AVERAGE(OFFSET($H$3,0,0,'Données projet'!$E$10+1,1))</f>
        <v>394.49874384716014</v>
      </c>
      <c r="AO16" s="60">
        <f t="shared" si="36"/>
        <v>423.72519584013378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2.4933333333333332</v>
      </c>
      <c r="BD16" s="13">
        <f>IF('Données projet'!$A$88&gt;35,BD15+BC16-BL15,IF(A16&lt;'Données projet'!$A$88,$BA$205^A16,IF(A16='Données projet'!$A$88,'Données projet'!$B$88,BD15+BC16-BL15)))</f>
        <v>23.075726799540639</v>
      </c>
      <c r="BE16" s="14">
        <f>BD16*VLOOKUP('Données projet'!$B$11,Paramètres!$A$1:$I$89,3,0)*VLOOKUP('Données projet'!$B$11,Paramètres!$A$1:$I$89,5,0)</f>
        <v>20.158954932078704</v>
      </c>
      <c r="BF16" s="14">
        <f t="shared" si="37"/>
        <v>6.5490755728028107</v>
      </c>
      <c r="BG16" s="22">
        <f t="shared" si="7"/>
        <v>46.516486462668638</v>
      </c>
      <c r="BH16" s="60">
        <f t="shared" si="8"/>
        <v>246.05748671428745</v>
      </c>
      <c r="BI16" s="60">
        <f ca="1">AVERAGE(OFFSET($BH$3,0,0,'Données projet'!$E$11+1,1))-AVERAGE(OFFSET($H$3,0,0,'Données projet'!$E$11+1,1))</f>
        <v>363.28611056308665</v>
      </c>
      <c r="BJ16" s="60">
        <f t="shared" si="38"/>
        <v>389.43647559455974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3.1623931623931623</v>
      </c>
      <c r="BY16" s="13">
        <f>IF('Données projet'!$A$114&gt;35,BY15+BX16-CG15,IF(A16&lt;'Données projet'!$A$114,$BV$205^A16,IF(A16='Données projet'!$A$114,'Données projet'!$B$114,BY15+BX16-CG15)))</f>
        <v>28.35477280791984</v>
      </c>
      <c r="BZ16" s="14">
        <f>BY16*VLOOKUP('Données projet'!$B$12,Paramètres!$A$1:$I$89,3,0)*VLOOKUP('Données projet'!$B$12,Paramètres!$A$1:$I$89,5,0)</f>
        <v>26.982401804016519</v>
      </c>
      <c r="CA16" s="14">
        <f t="shared" si="39"/>
        <v>8.4733449645277137</v>
      </c>
      <c r="CB16" s="22">
        <f t="shared" si="10"/>
        <v>61.752092288547864</v>
      </c>
      <c r="CC16" s="60">
        <f t="shared" si="11"/>
        <v>261.2930925401667</v>
      </c>
      <c r="CD16" s="60">
        <f ca="1">AVERAGE(OFFSET($CC$3,0,0,'Données projet'!$E$12+1,1))-AVERAGE(OFFSET($H$3,0,0,'Données projet'!$E$12+1,1))</f>
        <v>441.15969139782891</v>
      </c>
      <c r="CE16" s="60">
        <f t="shared" si="40"/>
        <v>315.06466790224783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10.68</v>
      </c>
      <c r="CT16" s="13">
        <f>IF('Données projet'!$A$140&gt;35,CT15+CS16-DB15,IF(A16&lt;'Données projet'!$A$140,$CQ$205^A16,IF(A16='Données projet'!$A$140,'Données projet'!$B$140,CT15+CS16-DB15)))</f>
        <v>43.14</v>
      </c>
      <c r="CU16" s="18">
        <f>CT16*VLOOKUP('Données projet'!$B$13,Paramètres!$A$1:$I$89,3,0)*VLOOKUP('Données projet'!$B$13,Paramètres!$A$1:$I$89,5,0)</f>
        <v>31.630248000000002</v>
      </c>
      <c r="CV16" s="14">
        <f t="shared" si="41"/>
        <v>9.7508554785621282</v>
      </c>
      <c r="CW16" s="22">
        <f t="shared" si="13"/>
        <v>72.072088558495707</v>
      </c>
      <c r="CX16" s="60">
        <f t="shared" si="14"/>
        <v>271.6130888101145</v>
      </c>
      <c r="CY16" s="60">
        <f ca="1">AVERAGE(OFFSET($CX$3,0,0,'Données projet'!$E$13+1,1))-AVERAGE(OFFSET($H$3,0,0,'Données projet'!$E$13+1,1))</f>
        <v>368.35775920359396</v>
      </c>
      <c r="CZ16" s="60">
        <f t="shared" si="42"/>
        <v>395.5218438652638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2.6666666666666665</v>
      </c>
      <c r="DO16" s="13">
        <f>IF('Données projet'!$A$166&gt;35,DO15+DN16-DW15,IF(A16&lt;'Données projet'!$A$166,$DL$205^A16,IF(A16='Données projet'!$A$166,'Données projet'!$B$166,DO15+DN16-DW15)))</f>
        <v>24.459748796430759</v>
      </c>
      <c r="DP16" s="18">
        <f>DO16*VLOOKUP('Données projet'!$B$14,Paramètres!$A$1:$I$89,3,0)*VLOOKUP('Données projet'!$B$14,Paramètres!$A$1:$I$89,5,0)</f>
        <v>19.078604061215994</v>
      </c>
      <c r="DQ16" s="14">
        <f t="shared" si="43"/>
        <v>6.2379664748280286</v>
      </c>
      <c r="DR16" s="22">
        <f t="shared" si="16"/>
        <v>44.093027016943331</v>
      </c>
      <c r="DS16" s="60">
        <f t="shared" si="17"/>
        <v>243.63402726856214</v>
      </c>
      <c r="DT16" s="60">
        <f ca="1">AVERAGE(OFFSET($DS$3,0,0,'Données projet'!$E$14+1,1))-AVERAGE(OFFSET($H$3,0,0,'Données projet'!$E$14+1,1))</f>
        <v>312.59632808777332</v>
      </c>
      <c r="DU16" s="60">
        <f t="shared" si="44"/>
        <v>302.59481222418219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2.8518518518518516</v>
      </c>
      <c r="EJ16" s="13">
        <f>IF('Données projet'!$A$192&gt;35,EJ15+EI16-ER15,IF(A16&lt;'Données projet'!$A$192,$EG$205^A16,IF(A16='Données projet'!$A$192,'Données projet'!$B$192,EJ15+EI16-ER15)))</f>
        <v>8.096742900667774</v>
      </c>
      <c r="EK16" s="18">
        <f>EJ16*VLOOKUP('Données projet'!$B$15,Paramètres!$A$1:$I$89,3,0)*VLOOKUP('Données projet'!$B$15,Paramètres!$A$1:$I$89,5,0)</f>
        <v>6.9470054087729514</v>
      </c>
      <c r="EL16" s="14">
        <f t="shared" si="45"/>
        <v>2.5548444110683914</v>
      </c>
      <c r="EM16" s="22">
        <f t="shared" si="19"/>
        <v>16.549055102890339</v>
      </c>
      <c r="EN16" s="60">
        <f t="shared" si="20"/>
        <v>216.09005535450916</v>
      </c>
      <c r="EO16" s="60">
        <f ca="1">AVERAGE(OFFSET($EN$3,0,0,'Données projet'!$E$15+1,1))-AVERAGE(OFFSET($H$3,0,0,'Données projet'!$E$15+1,1))</f>
        <v>478.11504516179713</v>
      </c>
      <c r="EP16" s="60">
        <f t="shared" si="46"/>
        <v>249.93713224442419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3.65</v>
      </c>
      <c r="FE16" s="13">
        <f>IF('Données projet'!$A$218&gt;35,FE15+FD16-FM15,IF(A16&lt;'Données projet'!$A$218,$FB$205^A16,IF(A16='Données projet'!$A$218,'Données projet'!$B$218,FE15+FD16-FM15)))</f>
        <v>16.261472127148366</v>
      </c>
      <c r="FF16" s="18">
        <f>FE16*VLOOKUP('Données projet'!$B$16,Paramètres!$A$1:$I$89,3,0)*VLOOKUP('Données projet'!$B$16,Paramètres!$A$1:$I$89,5,0)</f>
        <v>15.728095841377899</v>
      </c>
      <c r="FG16" s="14">
        <f t="shared" si="47"/>
        <v>5.2593867546400634</v>
      </c>
      <c r="FH16" s="22">
        <f t="shared" si="22"/>
        <v>36.553198854731285</v>
      </c>
      <c r="FI16" s="60">
        <f t="shared" si="23"/>
        <v>236.09419910635009</v>
      </c>
      <c r="FJ16" s="60">
        <f ca="1">AVERAGE(OFFSET($FI$3,0,0,'Données projet'!$E$16+1,1))-AVERAGE(OFFSET($H$3,0,0,'Données projet'!$E$16+1,1))</f>
        <v>603.52431522262032</v>
      </c>
      <c r="FK16" s="60">
        <f t="shared" si="48"/>
        <v>313.56299786481338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>
        <f>EXP(-LN(2)/35)*FQ15+(1-EXP(-LN(2)/35))/(LN(2)/35)*FM16*FN16*VLOOKUP('Données projet'!$B$16,Paramètres!$A$1:$I$89,3,0)*0.475*44/12</f>
        <v>0</v>
      </c>
      <c r="FR16" s="23">
        <f>EXP(-LN(2)/25)*FR15+(1-EXP(-LN(2)/25))/(LN(2)/25)*Calculateur!FM16*Calculateur!FO16*VLOOKUP('Données projet'!$B$16,Paramètres!$A$1:$I$89,3,0)*0.475*44/12</f>
        <v>0</v>
      </c>
      <c r="FS16" s="23">
        <f>EXP(-LN(2)/2)*FS15+(1-EXP(-LN(2)/2))/(LN(2)/2)*FM16*FP16*VLOOKUP('Données projet'!$B$16,Paramètres!$A$1:$I$89,3,0)*0.475*44/12</f>
        <v>0</v>
      </c>
      <c r="FT16" s="24">
        <f t="shared" si="24"/>
        <v>0</v>
      </c>
      <c r="FU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9.1025641025641022</v>
      </c>
      <c r="FZ16" s="13">
        <f>IF('Données projet'!$A$244&gt;35,FZ15+FY16-GH15,IF(A16&lt;'Données projet'!$A$244,$FW$205^A16,IF(A16='Données projet'!$A$244,'Données projet'!$B$244,FZ15+FY16-GH15)))</f>
        <v>60</v>
      </c>
      <c r="GA16" s="18">
        <f>FZ16*VLOOKUP('Données projet'!$B$17,Paramètres!$A$1:$I$89,3,0)*VLOOKUP('Données projet'!$B$17,Paramètres!$A$1:$I$89,5,0)</f>
        <v>40.248000000000005</v>
      </c>
      <c r="GB16" s="14">
        <f t="shared" si="49"/>
        <v>12.064355669675363</v>
      </c>
      <c r="GC16" s="22">
        <f t="shared" si="25"/>
        <v>91.110686124684605</v>
      </c>
      <c r="GD16" s="60">
        <f t="shared" si="26"/>
        <v>290.65168637630342</v>
      </c>
      <c r="GE16" s="60">
        <f ca="1">AVERAGE(OFFSET($GD$3,0,0,'Données projet'!$E$17+1,1))-AVERAGE(OFFSET($H$3,0,0,'Données projet'!$E$17+1,1))</f>
        <v>396.0878652679051</v>
      </c>
      <c r="GF16" s="60">
        <f t="shared" si="50"/>
        <v>327.26339199235406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>
        <f>EXP(-LN(2)/35)*GL15+(1-EXP(-LN(2)/35))/(LN(2)/35)*GH16*GI16*VLOOKUP('Données projet'!$B$17,Paramètres!$A$1:$I$89,3,0)*0.475*44/12</f>
        <v>0</v>
      </c>
      <c r="GM16" s="23">
        <f>EXP(-LN(2)/25)*GM15+(1-EXP(-LN(2)/25))/(LN(2)/25)*Calculateur!GH16*Calculateur!GJ16*VLOOKUP('Données projet'!$B$17,Paramètres!$A$1:$I$89,3,0)*0.475*44/12</f>
        <v>0</v>
      </c>
      <c r="GN16" s="23">
        <f>EXP(-LN(2)/2)*GN15+(1-EXP(-LN(2)/2))/(LN(2)/2)*GH16*GK16*VLOOKUP('Données projet'!$B$17,Paramètres!$A$1:$I$89,3,0)*0.475*44/12</f>
        <v>0</v>
      </c>
      <c r="GO16" s="23">
        <f t="shared" si="27"/>
        <v>0</v>
      </c>
      <c r="GP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8</v>
      </c>
      <c r="GU16" s="13">
        <f>IF('Données projet'!$A$270&gt;35,GU15+GT16-HC15,IF(A16&lt;'Données projet'!$A$270,$GR$205^A16,IF(A16='Données projet'!$A$270,'Données projet'!$B$270,GU15+GT16-HC15)))</f>
        <v>33</v>
      </c>
      <c r="GV16" s="18">
        <f>GU16*VLOOKUP('Données projet'!$B$18,Paramètres!$A$1:$I$89,3,0)*VLOOKUP('Données projet'!$B$18,Paramètres!$A$1:$I$89,5,0)</f>
        <v>26.769600000000001</v>
      </c>
      <c r="GW16" s="14">
        <f t="shared" si="51"/>
        <v>8.4142697673415618</v>
      </c>
      <c r="GX16" s="22">
        <f t="shared" si="28"/>
        <v>61.278573178119878</v>
      </c>
      <c r="GY16" s="60">
        <f t="shared" si="29"/>
        <v>260.81957342973868</v>
      </c>
      <c r="GZ16" s="60">
        <f ca="1">AVERAGE(OFFSET($GY$3,0,0,'Données projet'!$E$18+1,1))-AVERAGE(OFFSET($H$3,0,0,'Données projet'!$E$18+1,1))</f>
        <v>272.69564942740931</v>
      </c>
      <c r="HA16" s="60">
        <f t="shared" si="52"/>
        <v>316.57989180609252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>
        <f>EXP(-LN(2)/35)*HG15+(1-EXP(-LN(2)/35))/(LN(2)/35)*HC16*HD16*VLOOKUP('Données projet'!$B$18,Paramètres!$A$1:$I$89,3,0)*0.475*44/12</f>
        <v>0</v>
      </c>
      <c r="HH16" s="23">
        <f>EXP(-LN(2)/25)*HH15+(1-EXP(-LN(2)/25))/(LN(2)/25)*Calculateur!HC16*Calculateur!HE16*VLOOKUP('Données projet'!$B$18,Paramètres!$A$1:$I$89,3,0)*0.475*44/12</f>
        <v>0</v>
      </c>
      <c r="HI16" s="23">
        <f>EXP(-LN(2)/2)*HI15+(1-EXP(-LN(2)/2))/(LN(2)/2)*HC16*HF16*VLOOKUP('Données projet'!$B$18,Paramètres!$A$1:$I$89,3,0)*0.475*44/12</f>
        <v>0</v>
      </c>
      <c r="HJ16" s="24">
        <f t="shared" si="30"/>
        <v>0</v>
      </c>
    </row>
    <row r="17" spans="1:218" s="5" customFormat="1" x14ac:dyDescent="0.25">
      <c r="A17" s="11">
        <f t="shared" si="31"/>
        <v>14</v>
      </c>
      <c r="B17" s="75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8">
        <f t="shared" si="1"/>
        <v>183.33333333333334</v>
      </c>
      <c r="I17" s="7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3.65</v>
      </c>
      <c r="N17" s="14">
        <f>IF('Données projet'!$A$36&gt;35,N16+M17-V16,IF(A17&lt;'Données projet'!$A$36,$K$205^A17,IF(A17='Données projet'!$A$36,'Données projet'!$B$36,N16+M17-V16)))</f>
        <v>20.152364144963837</v>
      </c>
      <c r="O17" s="14">
        <f>N17*VLOOKUP('Données projet'!$B$9,Paramètres!$A$1:$I$89,3,0)*VLOOKUP('Données projet'!$B$9,Paramètres!$A$1:$I$89,5,0)</f>
        <v>18.233859078363277</v>
      </c>
      <c r="P17" s="14">
        <f t="shared" si="33"/>
        <v>5.9932775513027368</v>
      </c>
      <c r="Q17" s="22">
        <f t="shared" si="2"/>
        <v>42.195596296668306</v>
      </c>
      <c r="R17" s="60">
        <f t="shared" si="0"/>
        <v>244.22545806894149</v>
      </c>
      <c r="S17" s="60">
        <f ca="1">AVERAGE(OFFSET($R$3,0,0,'Données projet'!$E$9+1,1))-AVERAGE(OFFSET($H$3,0,0,'Données projet'!$E$9+1,1))</f>
        <v>570.08763950759544</v>
      </c>
      <c r="T17" s="60">
        <f t="shared" si="34"/>
        <v>297.32483725004136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10.68</v>
      </c>
      <c r="AI17" s="14">
        <f>IF('Données projet'!$A$62&gt;35,AI16+AH17-AQ16,IF(A17&lt;'Données projet'!$A$62,$AF$205^A17,IF(A17='Données projet'!$A$62,'Données projet'!$B$62,AI16+AH17-AQ16)))</f>
        <v>53.82</v>
      </c>
      <c r="AJ17" s="14">
        <f>AI17*VLOOKUP('Données projet'!$B$10,Paramètres!$A$1:$I$89,3,0)*VLOOKUP('Données projet'!$B$10,Paramètres!$A$1:$I$89,5,0)</f>
        <v>42.819192000000001</v>
      </c>
      <c r="AK17" s="14">
        <f t="shared" si="35"/>
        <v>12.742886505722554</v>
      </c>
      <c r="AL17" s="22">
        <f t="shared" si="4"/>
        <v>96.770620064133439</v>
      </c>
      <c r="AM17" s="60">
        <f t="shared" si="5"/>
        <v>298.80048183640662</v>
      </c>
      <c r="AN17" s="60">
        <f ca="1">AVERAGE(OFFSET($AM$3,0,0,'Données projet'!$E$10+1,1))-AVERAGE(OFFSET($H$3,0,0,'Données projet'!$E$10+1,1))</f>
        <v>394.49874384716014</v>
      </c>
      <c r="AO17" s="60">
        <f t="shared" si="36"/>
        <v>423.72519584013378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2.4933333333333332</v>
      </c>
      <c r="BD17" s="13">
        <f>IF('Données projet'!$A$88&gt;35,BD16+BC17-BL16,IF(A17&lt;'Données projet'!$A$88,$BA$205^A17,IF(A17='Données projet'!$A$88,'Données projet'!$B$88,BD16+BC17-BL16)))</f>
        <v>29.37740938719443</v>
      </c>
      <c r="BE17" s="14">
        <f>BD17*VLOOKUP('Données projet'!$B$11,Paramètres!$A$1:$I$89,3,0)*VLOOKUP('Données projet'!$B$11,Paramètres!$A$1:$I$89,5,0)</f>
        <v>25.664104840653053</v>
      </c>
      <c r="BF17" s="14">
        <f t="shared" si="37"/>
        <v>8.1064857789200797</v>
      </c>
      <c r="BG17" s="22">
        <f t="shared" si="7"/>
        <v>58.817111995756541</v>
      </c>
      <c r="BH17" s="60">
        <f t="shared" si="8"/>
        <v>260.84697376802973</v>
      </c>
      <c r="BI17" s="60">
        <f ca="1">AVERAGE(OFFSET($BH$3,0,0,'Données projet'!$E$11+1,1))-AVERAGE(OFFSET($H$3,0,0,'Données projet'!$E$11+1,1))</f>
        <v>363.28611056308665</v>
      </c>
      <c r="BJ17" s="60">
        <f t="shared" si="38"/>
        <v>389.43647559455974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3.1623931623931623</v>
      </c>
      <c r="BY17" s="13">
        <f>IF('Données projet'!$A$114&gt;35,BY16+BX17-CG16,IF(A17&lt;'Données projet'!$A$114,$BV$205^A17,IF(A17='Données projet'!$A$114,'Données projet'!$B$114,BY16+BX17-CG16)))</f>
        <v>36.674706471008875</v>
      </c>
      <c r="BZ17" s="14">
        <f>BY17*VLOOKUP('Données projet'!$B$12,Paramètres!$A$1:$I$89,3,0)*VLOOKUP('Données projet'!$B$12,Paramètres!$A$1:$I$89,5,0)</f>
        <v>34.899650677812041</v>
      </c>
      <c r="CA17" s="14">
        <f t="shared" si="39"/>
        <v>10.636255742571029</v>
      </c>
      <c r="CB17" s="22">
        <f t="shared" si="10"/>
        <v>79.308370348833833</v>
      </c>
      <c r="CC17" s="60">
        <f t="shared" si="11"/>
        <v>281.33823212110701</v>
      </c>
      <c r="CD17" s="60">
        <f ca="1">AVERAGE(OFFSET($CC$3,0,0,'Données projet'!$E$12+1,1))-AVERAGE(OFFSET($H$3,0,0,'Données projet'!$E$12+1,1))</f>
        <v>441.15969139782891</v>
      </c>
      <c r="CE17" s="60">
        <f t="shared" si="40"/>
        <v>315.06466790224783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10.68</v>
      </c>
      <c r="CT17" s="13">
        <f>IF('Données projet'!$A$140&gt;35,CT16+CS17-DB16,IF(A17&lt;'Données projet'!$A$140,$CQ$205^A17,IF(A17='Données projet'!$A$140,'Données projet'!$B$140,CT16+CS17-DB16)))</f>
        <v>53.82</v>
      </c>
      <c r="CU17" s="18">
        <f>CT17*VLOOKUP('Données projet'!$B$13,Paramètres!$A$1:$I$89,3,0)*VLOOKUP('Données projet'!$B$13,Paramètres!$A$1:$I$89,5,0)</f>
        <v>39.460823999999995</v>
      </c>
      <c r="CV17" s="14">
        <f t="shared" si="41"/>
        <v>11.85562557008577</v>
      </c>
      <c r="CW17" s="22">
        <f t="shared" si="13"/>
        <v>89.376149667899369</v>
      </c>
      <c r="CX17" s="60">
        <f t="shared" si="14"/>
        <v>291.40601144017256</v>
      </c>
      <c r="CY17" s="60">
        <f ca="1">AVERAGE(OFFSET($CX$3,0,0,'Données projet'!$E$13+1,1))-AVERAGE(OFFSET($H$3,0,0,'Données projet'!$E$13+1,1))</f>
        <v>368.35775920359396</v>
      </c>
      <c r="CZ17" s="60">
        <f t="shared" si="42"/>
        <v>395.5218438652638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2.6666666666666665</v>
      </c>
      <c r="DO17" s="13">
        <f>IF('Données projet'!$A$166&gt;35,DO16+DN17-DW16,IF(A17&lt;'Données projet'!$A$166,$DL$205^A17,IF(A17='Données projet'!$A$166,'Données projet'!$B$166,DO16+DN17-DW16)))</f>
        <v>31.279225563578599</v>
      </c>
      <c r="DP17" s="18">
        <f>DO17*VLOOKUP('Données projet'!$B$14,Paramètres!$A$1:$I$89,3,0)*VLOOKUP('Données projet'!$B$14,Paramètres!$A$1:$I$89,5,0)</f>
        <v>24.397795939591308</v>
      </c>
      <c r="DQ17" s="14">
        <f t="shared" si="43"/>
        <v>7.75202295846145</v>
      </c>
      <c r="DR17" s="22">
        <f t="shared" si="16"/>
        <v>55.994267914108548</v>
      </c>
      <c r="DS17" s="60">
        <f t="shared" si="17"/>
        <v>258.02412968638174</v>
      </c>
      <c r="DT17" s="60">
        <f ca="1">AVERAGE(OFFSET($DS$3,0,0,'Données projet'!$E$14+1,1))-AVERAGE(OFFSET($H$3,0,0,'Données projet'!$E$14+1,1))</f>
        <v>312.59632808777332</v>
      </c>
      <c r="DU17" s="60">
        <f t="shared" si="44"/>
        <v>302.59481222418219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2.8518518518518516</v>
      </c>
      <c r="EJ17" s="13">
        <f>IF('Données projet'!$A$192&gt;35,EJ16+EI17-ER16,IF(A17&lt;'Données projet'!$A$192,$EG$205^A17,IF(A17='Données projet'!$A$192,'Données projet'!$B$192,EJ16+EI17-ER16)))</f>
        <v>9.509996914147985</v>
      </c>
      <c r="EK17" s="18">
        <f>EJ17*VLOOKUP('Données projet'!$B$15,Paramètres!$A$1:$I$89,3,0)*VLOOKUP('Données projet'!$B$15,Paramètres!$A$1:$I$89,5,0)</f>
        <v>8.159577352338971</v>
      </c>
      <c r="EL17" s="14">
        <f t="shared" si="45"/>
        <v>2.945110626015266</v>
      </c>
      <c r="EM17" s="22">
        <f t="shared" si="19"/>
        <v>19.34066489563363</v>
      </c>
      <c r="EN17" s="60">
        <f t="shared" si="20"/>
        <v>221.37052666790683</v>
      </c>
      <c r="EO17" s="60">
        <f ca="1">AVERAGE(OFFSET($EN$3,0,0,'Données projet'!$E$15+1,1))-AVERAGE(OFFSET($H$3,0,0,'Données projet'!$E$15+1,1))</f>
        <v>478.11504516179713</v>
      </c>
      <c r="EP17" s="60">
        <f t="shared" si="46"/>
        <v>249.93713224442419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3.65</v>
      </c>
      <c r="FE17" s="13">
        <f>IF('Données projet'!$A$218&gt;35,FE16+FD17-FM16,IF(A17&lt;'Données projet'!$A$218,$FB$205^A17,IF(A17='Données projet'!$A$218,'Données projet'!$B$218,FE16+FD17-FM16)))</f>
        <v>20.152364144963837</v>
      </c>
      <c r="FF17" s="18">
        <f>FE17*VLOOKUP('Données projet'!$B$16,Paramètres!$A$1:$I$89,3,0)*VLOOKUP('Données projet'!$B$16,Paramètres!$A$1:$I$89,5,0)</f>
        <v>19.491366601009023</v>
      </c>
      <c r="FG17" s="14">
        <f t="shared" si="47"/>
        <v>6.3570658813537859</v>
      </c>
      <c r="FH17" s="22">
        <f t="shared" si="22"/>
        <v>45.01935324011523</v>
      </c>
      <c r="FI17" s="60">
        <f t="shared" si="23"/>
        <v>247.04921501238843</v>
      </c>
      <c r="FJ17" s="60">
        <f ca="1">AVERAGE(OFFSET($FI$3,0,0,'Données projet'!$E$16+1,1))-AVERAGE(OFFSET($H$3,0,0,'Données projet'!$E$16+1,1))</f>
        <v>603.52431522262032</v>
      </c>
      <c r="FK17" s="60">
        <f t="shared" si="48"/>
        <v>313.56299786481338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>
        <f>EXP(-LN(2)/35)*FQ16+(1-EXP(-LN(2)/35))/(LN(2)/35)*FM17*FN17*VLOOKUP('Données projet'!$B$16,Paramètres!$A$1:$I$89,3,0)*0.475*44/12</f>
        <v>0</v>
      </c>
      <c r="FR17" s="23">
        <f>EXP(-LN(2)/25)*FR16+(1-EXP(-LN(2)/25))/(LN(2)/25)*Calculateur!FM17*Calculateur!FO17*VLOOKUP('Données projet'!$B$16,Paramètres!$A$1:$I$89,3,0)*0.475*44/12</f>
        <v>0</v>
      </c>
      <c r="FS17" s="23">
        <f>EXP(-LN(2)/2)*FS16+(1-EXP(-LN(2)/2))/(LN(2)/2)*FM17*FP17*VLOOKUP('Données projet'!$B$16,Paramètres!$A$1:$I$89,3,0)*0.475*44/12</f>
        <v>0</v>
      </c>
      <c r="FT17" s="24">
        <f t="shared" si="24"/>
        <v>0</v>
      </c>
      <c r="FU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9.1025641025641022</v>
      </c>
      <c r="FZ17" s="13">
        <f>IF('Données projet'!$A$244&gt;35,FZ16+FY17-GH16,IF(A17&lt;'Données projet'!$A$244,$FW$205^A17,IF(A17='Données projet'!$A$244,'Données projet'!$B$244,FZ16+FY17-GH16)))</f>
        <v>69.102564102564102</v>
      </c>
      <c r="GA17" s="18">
        <f>FZ17*VLOOKUP('Données projet'!$B$17,Paramètres!$A$1:$I$89,3,0)*VLOOKUP('Données projet'!$B$17,Paramètres!$A$1:$I$89,5,0)</f>
        <v>46.353999999999999</v>
      </c>
      <c r="GB17" s="14">
        <f t="shared" si="49"/>
        <v>13.668055364575761</v>
      </c>
      <c r="GC17" s="22">
        <f t="shared" si="25"/>
        <v>104.53841309330278</v>
      </c>
      <c r="GD17" s="60">
        <f t="shared" si="26"/>
        <v>306.56827486557597</v>
      </c>
      <c r="GE17" s="60">
        <f ca="1">AVERAGE(OFFSET($GD$3,0,0,'Données projet'!$E$17+1,1))-AVERAGE(OFFSET($H$3,0,0,'Données projet'!$E$17+1,1))</f>
        <v>396.0878652679051</v>
      </c>
      <c r="GF17" s="60">
        <f t="shared" si="50"/>
        <v>327.26339199235406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>
        <f>EXP(-LN(2)/35)*GL16+(1-EXP(-LN(2)/35))/(LN(2)/35)*GH17*GI17*VLOOKUP('Données projet'!$B$17,Paramètres!$A$1:$I$89,3,0)*0.475*44/12</f>
        <v>0</v>
      </c>
      <c r="GM17" s="23">
        <f>EXP(-LN(2)/25)*GM16+(1-EXP(-LN(2)/25))/(LN(2)/25)*Calculateur!GH17*Calculateur!GJ17*VLOOKUP('Données projet'!$B$17,Paramètres!$A$1:$I$89,3,0)*0.475*44/12</f>
        <v>0</v>
      </c>
      <c r="GN17" s="23">
        <f>EXP(-LN(2)/2)*GN16+(1-EXP(-LN(2)/2))/(LN(2)/2)*GH17*GK17*VLOOKUP('Données projet'!$B$17,Paramètres!$A$1:$I$89,3,0)*0.475*44/12</f>
        <v>0</v>
      </c>
      <c r="GO17" s="23">
        <f t="shared" si="27"/>
        <v>0</v>
      </c>
      <c r="GP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8</v>
      </c>
      <c r="GU17" s="13">
        <f>IF('Données projet'!$A$270&gt;35,GU16+GT17-HC16,IF(A17&lt;'Données projet'!$A$270,$GR$205^A17,IF(A17='Données projet'!$A$270,'Données projet'!$B$270,GU16+GT17-HC16)))</f>
        <v>41</v>
      </c>
      <c r="GV17" s="18">
        <f>GU17*VLOOKUP('Données projet'!$B$18,Paramètres!$A$1:$I$89,3,0)*VLOOKUP('Données projet'!$B$18,Paramètres!$A$1:$I$89,5,0)</f>
        <v>33.2592</v>
      </c>
      <c r="GW17" s="14">
        <f t="shared" si="51"/>
        <v>10.193265358024187</v>
      </c>
      <c r="GX17" s="22">
        <f t="shared" si="28"/>
        <v>75.679710498558791</v>
      </c>
      <c r="GY17" s="60">
        <f t="shared" si="29"/>
        <v>277.70957227083198</v>
      </c>
      <c r="GZ17" s="60">
        <f ca="1">AVERAGE(OFFSET($GY$3,0,0,'Données projet'!$E$18+1,1))-AVERAGE(OFFSET($H$3,0,0,'Données projet'!$E$18+1,1))</f>
        <v>272.69564942740931</v>
      </c>
      <c r="HA17" s="60">
        <f t="shared" si="52"/>
        <v>316.57989180609252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>
        <f>EXP(-LN(2)/35)*HG16+(1-EXP(-LN(2)/35))/(LN(2)/35)*HC17*HD17*VLOOKUP('Données projet'!$B$18,Paramètres!$A$1:$I$89,3,0)*0.475*44/12</f>
        <v>0</v>
      </c>
      <c r="HH17" s="23">
        <f>EXP(-LN(2)/25)*HH16+(1-EXP(-LN(2)/25))/(LN(2)/25)*Calculateur!HC17*Calculateur!HE17*VLOOKUP('Données projet'!$B$18,Paramètres!$A$1:$I$89,3,0)*0.475*44/12</f>
        <v>0</v>
      </c>
      <c r="HI17" s="23">
        <f>EXP(-LN(2)/2)*HI16+(1-EXP(-LN(2)/2))/(LN(2)/2)*HC17*HF17*VLOOKUP('Données projet'!$B$18,Paramètres!$A$1:$I$89,3,0)*0.475*44/12</f>
        <v>0</v>
      </c>
      <c r="HJ17" s="24">
        <f t="shared" si="30"/>
        <v>0</v>
      </c>
    </row>
    <row r="18" spans="1:218" s="5" customFormat="1" x14ac:dyDescent="0.25">
      <c r="A18" s="11">
        <f t="shared" si="31"/>
        <v>15</v>
      </c>
      <c r="B18" s="75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8">
        <f t="shared" si="1"/>
        <v>183.33333333333334</v>
      </c>
      <c r="I18" s="7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3.65</v>
      </c>
      <c r="N18" s="14">
        <f>IF('Données projet'!$A$36&gt;35,N17+M18-V17,IF(A18&lt;'Données projet'!$A$36,$K$205^A18,IF(A18='Données projet'!$A$36,'Données projet'!$B$36,N17+M18-V17)))</f>
        <v>24.974232188561476</v>
      </c>
      <c r="O18" s="14">
        <f>N18*VLOOKUP('Données projet'!$B$9,Paramètres!$A$1:$I$89,3,0)*VLOOKUP('Données projet'!$B$9,Paramètres!$A$1:$I$89,5,0)</f>
        <v>22.596685284210423</v>
      </c>
      <c r="P18" s="14">
        <f t="shared" si="33"/>
        <v>7.2441259820371586</v>
      </c>
      <c r="Q18" s="22">
        <f t="shared" si="2"/>
        <v>51.972746288714539</v>
      </c>
      <c r="R18" s="60">
        <f t="shared" si="0"/>
        <v>256.46949622159559</v>
      </c>
      <c r="S18" s="60">
        <f ca="1">AVERAGE(OFFSET($R$3,0,0,'Données projet'!$E$9+1,1))-AVERAGE(OFFSET($H$3,0,0,'Données projet'!$E$9+1,1))</f>
        <v>570.08763950759544</v>
      </c>
      <c r="T18" s="60">
        <f t="shared" si="34"/>
        <v>297.32483725004136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64.5</v>
      </c>
      <c r="AG18" s="13">
        <f>VLOOKUP(A18,'Données projet'!$A$61:$I$81,9,0)</f>
        <v>10.68</v>
      </c>
      <c r="AH18" s="13">
        <f t="array" ref="AH18">INDEX(AG:AG,MIN(IF(ISNUMBER(AG18:AG214),ROW(AG18:AG214),"")))</f>
        <v>10.68</v>
      </c>
      <c r="AI18" s="14">
        <f>IF('Données projet'!$A$62&gt;35,AI17+AH18-AQ17,IF(A18&lt;'Données projet'!$A$62,$AF$205^A18,IF(A18='Données projet'!$A$62,'Données projet'!$B$62,AI17+AH18-AQ17)))</f>
        <v>64.5</v>
      </c>
      <c r="AJ18" s="14">
        <f>AI18*VLOOKUP('Données projet'!$B$10,Paramètres!$A$1:$I$89,3,0)*VLOOKUP('Données projet'!$B$10,Paramètres!$A$1:$I$89,5,0)</f>
        <v>51.316200000000009</v>
      </c>
      <c r="AK18" s="14">
        <f t="shared" si="35"/>
        <v>14.953158316506878</v>
      </c>
      <c r="AL18" s="22">
        <f t="shared" si="4"/>
        <v>115.41913240124948</v>
      </c>
      <c r="AM18" s="60">
        <f t="shared" si="5"/>
        <v>319.91588233413052</v>
      </c>
      <c r="AN18" s="60">
        <f ca="1">AVERAGE(OFFSET($AM$3,0,0,'Données projet'!$E$10+1,1))-AVERAGE(OFFSET($H$3,0,0,'Données projet'!$E$10+1,1))</f>
        <v>394.49874384716014</v>
      </c>
      <c r="AO18" s="60">
        <f t="shared" si="36"/>
        <v>423.72519584013378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>
        <f>VLOOKUP(A18,'Données projet'!$A$87:$I$107,2,0)</f>
        <v>37.4</v>
      </c>
      <c r="BB18" s="13">
        <f>VLOOKUP(A18,'Données projet'!$A$87:$I$107,9,0)</f>
        <v>2.4933333333333332</v>
      </c>
      <c r="BC18" s="13">
        <f t="array" ref="BC18">INDEX(BB:BB,MIN(IF(ISNUMBER(BB18:BB214),ROW(BB18:BB214),"")))</f>
        <v>2.4933333333333332</v>
      </c>
      <c r="BD18" s="13">
        <f>IF('Données projet'!$A$88&gt;35,BD17+BC18-BL17,IF(A18&lt;'Données projet'!$A$88,$BA$205^A18,IF(A18='Données projet'!$A$88,'Données projet'!$B$88,BD17+BC18-BL17)))</f>
        <v>37.4</v>
      </c>
      <c r="BE18" s="14">
        <f>BD18*VLOOKUP('Données projet'!$B$11,Paramètres!$A$1:$I$89,3,0)*VLOOKUP('Données projet'!$B$11,Paramètres!$A$1:$I$89,5,0)</f>
        <v>32.672640000000008</v>
      </c>
      <c r="BF18" s="14">
        <f t="shared" si="37"/>
        <v>10.03425765259713</v>
      </c>
      <c r="BG18" s="22">
        <f t="shared" si="7"/>
        <v>74.381180078273346</v>
      </c>
      <c r="BH18" s="60">
        <f t="shared" si="8"/>
        <v>278.87793001115438</v>
      </c>
      <c r="BI18" s="60">
        <f ca="1">AVERAGE(OFFSET($BH$3,0,0,'Données projet'!$E$11+1,1))-AVERAGE(OFFSET($H$3,0,0,'Données projet'!$E$11+1,1))</f>
        <v>363.28611056308665</v>
      </c>
      <c r="BJ18" s="60">
        <f t="shared" si="38"/>
        <v>389.43647559455974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>
        <f>VLOOKUP(A18,'Données projet'!$A$113:$I$133,2,0)</f>
        <v>47.435897435897431</v>
      </c>
      <c r="BW18" s="13">
        <f>VLOOKUP(A18,'Données projet'!$A$113:$I$133,9,0)</f>
        <v>3.1623931623931623</v>
      </c>
      <c r="BX18" s="13">
        <f t="array" ref="BX18">INDEX(BW:BW,MIN(IF(ISNUMBER(BW18:BW214),ROW(BW18:BW214),"")))</f>
        <v>3.1623931623931623</v>
      </c>
      <c r="BY18" s="13">
        <f>IF('Données projet'!$A$114&gt;35,BY17+BX18-CG17,IF(A18&lt;'Données projet'!$A$114,$BV$205^A18,IF(A18='Données projet'!$A$114,'Données projet'!$B$114,BY17+BX18-CG17)))</f>
        <v>47.435897435897431</v>
      </c>
      <c r="BZ18" s="14">
        <f>BY18*VLOOKUP('Données projet'!$B$12,Paramètres!$A$1:$I$89,3,0)*VLOOKUP('Données projet'!$B$12,Paramètres!$A$1:$I$89,5,0)</f>
        <v>45.139999999999993</v>
      </c>
      <c r="CA18" s="14">
        <f t="shared" si="39"/>
        <v>13.351272336364824</v>
      </c>
      <c r="CB18" s="22">
        <f t="shared" si="10"/>
        <v>101.87229931916873</v>
      </c>
      <c r="CC18" s="60">
        <f t="shared" si="11"/>
        <v>306.36904925204976</v>
      </c>
      <c r="CD18" s="60">
        <f ca="1">AVERAGE(OFFSET($CC$3,0,0,'Données projet'!$E$12+1,1))-AVERAGE(OFFSET($H$3,0,0,'Données projet'!$E$12+1,1))</f>
        <v>441.15969139782891</v>
      </c>
      <c r="CE18" s="60">
        <f t="shared" si="40"/>
        <v>315.06466790224783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>
        <f>VLOOKUP(A18,'Données projet'!$A$139:$I$159,2,0)</f>
        <v>64.5</v>
      </c>
      <c r="CR18" s="13">
        <f>VLOOKUP(A18,'Données projet'!$A$139:$I$159,9,0)</f>
        <v>10.68</v>
      </c>
      <c r="CS18" s="13">
        <f t="array" ref="CS18">INDEX(CR:CR,MIN(IF(ISNUMBER(CR18:CR214),ROW(CR18:CR214),"")))</f>
        <v>10.68</v>
      </c>
      <c r="CT18" s="13">
        <f>IF('Données projet'!$A$140&gt;35,CT17+CS18-DB17,IF(A18&lt;'Données projet'!$A$140,$CQ$205^A18,IF(A18='Données projet'!$A$140,'Données projet'!$B$140,CT17+CS18-DB17)))</f>
        <v>64.5</v>
      </c>
      <c r="CU18" s="18">
        <f>CT18*VLOOKUP('Données projet'!$B$13,Paramètres!$A$1:$I$89,3,0)*VLOOKUP('Données projet'!$B$13,Paramètres!$A$1:$I$89,5,0)</f>
        <v>47.291399999999996</v>
      </c>
      <c r="CV18" s="14">
        <f t="shared" si="41"/>
        <v>13.91200070808976</v>
      </c>
      <c r="CW18" s="22">
        <f t="shared" si="13"/>
        <v>106.595922899923</v>
      </c>
      <c r="CX18" s="60">
        <f t="shared" si="14"/>
        <v>311.09267283280406</v>
      </c>
      <c r="CY18" s="60">
        <f ca="1">AVERAGE(OFFSET($CX$3,0,0,'Données projet'!$E$13+1,1))-AVERAGE(OFFSET($H$3,0,0,'Données projet'!$E$13+1,1))</f>
        <v>368.35775920359396</v>
      </c>
      <c r="CZ18" s="60">
        <f t="shared" si="42"/>
        <v>395.5218438652638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>
        <f>VLOOKUP(A18,'Données projet'!$A$165:$I$185,2,0)</f>
        <v>40</v>
      </c>
      <c r="DM18" s="13">
        <f>VLOOKUP(A18,'Données projet'!$A$165:$I$185,9,0)</f>
        <v>2.6666666666666665</v>
      </c>
      <c r="DN18" s="13">
        <f t="array" ref="DN18">INDEX(DM:DM,MIN(IF(ISNUMBER(DM18:DM214),ROW(DM18:DM214),"")))</f>
        <v>2.6666666666666665</v>
      </c>
      <c r="DO18" s="13">
        <f>IF('Données projet'!$A$166&gt;35,DO17+DN18-DW17,IF(A18&lt;'Données projet'!$A$166,$DL$205^A18,IF(A18='Données projet'!$A$166,'Données projet'!$B$166,DO17+DN18-DW17)))</f>
        <v>40</v>
      </c>
      <c r="DP18" s="18">
        <f>DO18*VLOOKUP('Données projet'!$B$14,Paramètres!$A$1:$I$89,3,0)*VLOOKUP('Données projet'!$B$14,Paramètres!$A$1:$I$89,5,0)</f>
        <v>31.200000000000003</v>
      </c>
      <c r="DQ18" s="14">
        <f t="shared" si="43"/>
        <v>9.6335657126419925</v>
      </c>
      <c r="DR18" s="22">
        <f t="shared" si="16"/>
        <v>71.118460282851473</v>
      </c>
      <c r="DS18" s="60">
        <f t="shared" si="17"/>
        <v>275.61521021573253</v>
      </c>
      <c r="DT18" s="60">
        <f ca="1">AVERAGE(OFFSET($DS$3,0,0,'Données projet'!$E$14+1,1))-AVERAGE(OFFSET($H$3,0,0,'Données projet'!$E$14+1,1))</f>
        <v>312.59632808777332</v>
      </c>
      <c r="DU18" s="60">
        <f t="shared" si="44"/>
        <v>302.59481222418219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2.8518518518518516</v>
      </c>
      <c r="EJ18" s="13">
        <f>IF('Données projet'!$A$192&gt;35,EJ17+EI18-ER17,IF(A18&lt;'Données projet'!$A$192,$EG$205^A18,IF(A18='Données projet'!$A$192,'Données projet'!$B$192,EJ17+EI18-ER17)))</f>
        <v>11.169928749947735</v>
      </c>
      <c r="EK18" s="18">
        <f>EJ18*VLOOKUP('Données projet'!$B$15,Paramètres!$A$1:$I$89,3,0)*VLOOKUP('Données projet'!$B$15,Paramètres!$A$1:$I$89,5,0)</f>
        <v>9.5837988674551582</v>
      </c>
      <c r="EL18" s="14">
        <f t="shared" si="45"/>
        <v>3.3949921028031831</v>
      </c>
      <c r="EM18" s="22">
        <f t="shared" si="19"/>
        <v>22.604727606533277</v>
      </c>
      <c r="EN18" s="60">
        <f t="shared" si="20"/>
        <v>227.10147753941433</v>
      </c>
      <c r="EO18" s="60">
        <f ca="1">AVERAGE(OFFSET($EN$3,0,0,'Données projet'!$E$15+1,1))-AVERAGE(OFFSET($H$3,0,0,'Données projet'!$E$15+1,1))</f>
        <v>478.11504516179713</v>
      </c>
      <c r="EP18" s="60">
        <f t="shared" si="46"/>
        <v>249.93713224442419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0</v>
      </c>
      <c r="EZ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3.65</v>
      </c>
      <c r="FE18" s="13">
        <f>IF('Données projet'!$A$218&gt;35,FE17+FD18-FM17,IF(A18&lt;'Données projet'!$A$218,$FB$205^A18,IF(A18='Données projet'!$A$218,'Données projet'!$B$218,FE17+FD18-FM17)))</f>
        <v>24.974232188561476</v>
      </c>
      <c r="FF18" s="18">
        <f>FE18*VLOOKUP('Données projet'!$B$16,Paramètres!$A$1:$I$89,3,0)*VLOOKUP('Données projet'!$B$16,Paramètres!$A$1:$I$89,5,0)</f>
        <v>24.155077372776663</v>
      </c>
      <c r="FG18" s="14">
        <f t="shared" si="47"/>
        <v>7.6838400568695304</v>
      </c>
      <c r="FH18" s="22">
        <f t="shared" si="22"/>
        <v>55.452781189967119</v>
      </c>
      <c r="FI18" s="60">
        <f t="shared" si="23"/>
        <v>259.94953112284816</v>
      </c>
      <c r="FJ18" s="60">
        <f ca="1">AVERAGE(OFFSET($FI$3,0,0,'Données projet'!$E$16+1,1))-AVERAGE(OFFSET($H$3,0,0,'Données projet'!$E$16+1,1))</f>
        <v>603.52431522262032</v>
      </c>
      <c r="FK18" s="60">
        <f t="shared" si="48"/>
        <v>313.56299786481338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>
        <f>EXP(-LN(2)/35)*FQ17+(1-EXP(-LN(2)/35))/(LN(2)/35)*FM18*FN18*VLOOKUP('Données projet'!$B$16,Paramètres!$A$1:$I$89,3,0)*0.475*44/12</f>
        <v>0</v>
      </c>
      <c r="FR18" s="23">
        <f>EXP(-LN(2)/25)*FR17+(1-EXP(-LN(2)/25))/(LN(2)/25)*Calculateur!FM18*Calculateur!FO18*VLOOKUP('Données projet'!$B$16,Paramètres!$A$1:$I$89,3,0)*0.475*44/12</f>
        <v>0</v>
      </c>
      <c r="FS18" s="23">
        <f>EXP(-LN(2)/2)*FS17+(1-EXP(-LN(2)/2))/(LN(2)/2)*FM18*FP18*VLOOKUP('Données projet'!$B$16,Paramètres!$A$1:$I$89,3,0)*0.475*44/12</f>
        <v>0</v>
      </c>
      <c r="FT18" s="24">
        <f t="shared" si="24"/>
        <v>0</v>
      </c>
      <c r="FU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>
        <f>VLOOKUP(A18,'Données projet'!$A$243:$I$263,2,0)</f>
        <v>78.205128205128204</v>
      </c>
      <c r="FX18" s="13">
        <f>VLOOKUP(A18,'Données projet'!$A$243:$I$263,9,0)</f>
        <v>9.1025641025641022</v>
      </c>
      <c r="FY18" s="13">
        <f t="array" ref="FY18">INDEX(FX:FX,MIN(IF(ISNUMBER(FX18:FX214),ROW(FX18:FX214),"")))</f>
        <v>9.1025641025641022</v>
      </c>
      <c r="FZ18" s="13">
        <f>IF('Données projet'!$A$244&gt;35,FZ17+FY18-GH17,IF(A18&lt;'Données projet'!$A$244,$FW$205^A18,IF(A18='Données projet'!$A$244,'Données projet'!$B$244,FZ17+FY18-GH17)))</f>
        <v>78.205128205128204</v>
      </c>
      <c r="GA18" s="18">
        <f>FZ18*VLOOKUP('Données projet'!$B$17,Paramètres!$A$1:$I$89,3,0)*VLOOKUP('Données projet'!$B$17,Paramètres!$A$1:$I$89,5,0)</f>
        <v>52.459999999999994</v>
      </c>
      <c r="GB18" s="14">
        <f t="shared" si="49"/>
        <v>15.247278696731632</v>
      </c>
      <c r="GC18" s="22">
        <f t="shared" si="25"/>
        <v>117.92351039680756</v>
      </c>
      <c r="GD18" s="60">
        <f t="shared" si="26"/>
        <v>322.42026032968863</v>
      </c>
      <c r="GE18" s="60">
        <f ca="1">AVERAGE(OFFSET($GD$3,0,0,'Données projet'!$E$17+1,1))-AVERAGE(OFFSET($H$3,0,0,'Données projet'!$E$17+1,1))</f>
        <v>396.0878652679051</v>
      </c>
      <c r="GF18" s="60">
        <f t="shared" si="50"/>
        <v>327.26339199235406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>
        <f>EXP(-LN(2)/35)*GL17+(1-EXP(-LN(2)/35))/(LN(2)/35)*GH18*GI18*VLOOKUP('Données projet'!$B$17,Paramètres!$A$1:$I$89,3,0)*0.475*44/12</f>
        <v>0</v>
      </c>
      <c r="GM18" s="23">
        <f>EXP(-LN(2)/25)*GM17+(1-EXP(-LN(2)/25))/(LN(2)/25)*Calculateur!GH18*Calculateur!GJ18*VLOOKUP('Données projet'!$B$17,Paramètres!$A$1:$I$89,3,0)*0.475*44/12</f>
        <v>0</v>
      </c>
      <c r="GN18" s="23">
        <f>EXP(-LN(2)/2)*GN17+(1-EXP(-LN(2)/2))/(LN(2)/2)*GH18*GK18*VLOOKUP('Données projet'!$B$17,Paramètres!$A$1:$I$89,3,0)*0.475*44/12</f>
        <v>0</v>
      </c>
      <c r="GO18" s="23">
        <f t="shared" si="27"/>
        <v>0</v>
      </c>
      <c r="GP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>
        <f>VLOOKUP(A18,'Données projet'!$A$269:$I$289,2,0)</f>
        <v>49</v>
      </c>
      <c r="GS18" s="13">
        <f>VLOOKUP(A18,'Données projet'!$A$269:$I$289,9,0)</f>
        <v>8</v>
      </c>
      <c r="GT18" s="13">
        <f t="array" ref="GT18">INDEX(GS:GS,MIN(IF(ISNUMBER(GS18:GS214),ROW(GS18:GS214),"")))</f>
        <v>8</v>
      </c>
      <c r="GU18" s="13">
        <f>IF('Données projet'!$A$270&gt;35,GU17+GT18-HC17,IF(A18&lt;'Données projet'!$A$270,$GR$205^A18,IF(A18='Données projet'!$A$270,'Données projet'!$B$270,GU17+GT18-HC17)))</f>
        <v>49</v>
      </c>
      <c r="GV18" s="18">
        <f>GU18*VLOOKUP('Données projet'!$B$18,Paramètres!$A$1:$I$89,3,0)*VLOOKUP('Données projet'!$B$18,Paramètres!$A$1:$I$89,5,0)</f>
        <v>39.748800000000003</v>
      </c>
      <c r="GW18" s="14">
        <f t="shared" si="51"/>
        <v>11.932041927023215</v>
      </c>
      <c r="GX18" s="22">
        <f t="shared" si="28"/>
        <v>90.010799689565431</v>
      </c>
      <c r="GY18" s="60">
        <f t="shared" si="29"/>
        <v>294.5075496224465</v>
      </c>
      <c r="GZ18" s="60">
        <f ca="1">AVERAGE(OFFSET($GY$3,0,0,'Données projet'!$E$18+1,1))-AVERAGE(OFFSET($H$3,0,0,'Données projet'!$E$18+1,1))</f>
        <v>272.69564942740931</v>
      </c>
      <c r="HA18" s="60">
        <f t="shared" si="52"/>
        <v>316.57989180609252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>
        <f>EXP(-LN(2)/35)*HG17+(1-EXP(-LN(2)/35))/(LN(2)/35)*HC18*HD18*VLOOKUP('Données projet'!$B$18,Paramètres!$A$1:$I$89,3,0)*0.475*44/12</f>
        <v>0</v>
      </c>
      <c r="HH18" s="23">
        <f>EXP(-LN(2)/25)*HH17+(1-EXP(-LN(2)/25))/(LN(2)/25)*Calculateur!HC18*Calculateur!HE18*VLOOKUP('Données projet'!$B$18,Paramètres!$A$1:$I$89,3,0)*0.475*44/12</f>
        <v>0</v>
      </c>
      <c r="HI18" s="23">
        <f>EXP(-LN(2)/2)*HI17+(1-EXP(-LN(2)/2))/(LN(2)/2)*HC18*HF18*VLOOKUP('Données projet'!$B$18,Paramètres!$A$1:$I$89,3,0)*0.475*44/12</f>
        <v>0</v>
      </c>
      <c r="HJ18" s="24">
        <f t="shared" si="30"/>
        <v>0</v>
      </c>
    </row>
    <row r="19" spans="1:218" s="5" customFormat="1" x14ac:dyDescent="0.25">
      <c r="A19" s="11">
        <f t="shared" si="31"/>
        <v>16</v>
      </c>
      <c r="B19" s="75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8">
        <f t="shared" si="1"/>
        <v>183.33333333333334</v>
      </c>
      <c r="I19" s="7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3.65</v>
      </c>
      <c r="N19" s="14">
        <f>IF('Données projet'!$A$36&gt;35,N18+M19-V18,IF(A19&lt;'Données projet'!$A$36,$K$205^A19,IF(A19='Données projet'!$A$36,'Données projet'!$B$36,N18+M19-V18)))</f>
        <v>30.949831440200953</v>
      </c>
      <c r="O19" s="14">
        <f>N19*VLOOKUP('Données projet'!$B$9,Paramètres!$A$1:$I$89,3,0)*VLOOKUP('Données projet'!$B$9,Paramètres!$A$1:$I$89,5,0)</f>
        <v>28.003407487093821</v>
      </c>
      <c r="P19" s="14">
        <f t="shared" si="33"/>
        <v>8.7560372090925433</v>
      </c>
      <c r="Q19" s="22">
        <f t="shared" si="2"/>
        <v>64.022699512524582</v>
      </c>
      <c r="R19" s="60">
        <f t="shared" si="0"/>
        <v>270.96474543463864</v>
      </c>
      <c r="S19" s="60">
        <f ca="1">AVERAGE(OFFSET($R$3,0,0,'Données projet'!$E$9+1,1))-AVERAGE(OFFSET($H$3,0,0,'Données projet'!$E$9+1,1))</f>
        <v>570.08763950759544</v>
      </c>
      <c r="T19" s="60">
        <f t="shared" si="34"/>
        <v>297.32483725004136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13.760000000000002</v>
      </c>
      <c r="AI19" s="14">
        <f>IF('Données projet'!$A$62&gt;35,AI18+AH19-AQ18,IF(A19&lt;'Données projet'!$A$62,$AF$205^A19,IF(A19='Données projet'!$A$62,'Données projet'!$B$62,AI18+AH19-AQ18)))</f>
        <v>78.260000000000005</v>
      </c>
      <c r="AJ19" s="14">
        <f>AI19*VLOOKUP('Données projet'!$B$10,Paramètres!$A$1:$I$89,3,0)*VLOOKUP('Données projet'!$B$10,Paramètres!$A$1:$I$89,5,0)</f>
        <v>62.263656000000012</v>
      </c>
      <c r="AK19" s="14">
        <f t="shared" si="35"/>
        <v>17.739352894036266</v>
      </c>
      <c r="AL19" s="22">
        <f t="shared" si="4"/>
        <v>139.33857382377983</v>
      </c>
      <c r="AM19" s="60">
        <f t="shared" si="5"/>
        <v>346.28061974589389</v>
      </c>
      <c r="AN19" s="60">
        <f ca="1">AVERAGE(OFFSET($AM$3,0,0,'Données projet'!$E$10+1,1))-AVERAGE(OFFSET($H$3,0,0,'Données projet'!$E$10+1,1))</f>
        <v>394.49874384716014</v>
      </c>
      <c r="AO19" s="60">
        <f t="shared" si="36"/>
        <v>423.72519584013378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11.54</v>
      </c>
      <c r="BD19" s="13">
        <f>IF('Données projet'!$A$88&gt;35,BD18+BC19-BL18,IF(A19&lt;'Données projet'!$A$88,$BA$205^A19,IF(A19='Données projet'!$A$88,'Données projet'!$B$88,BD18+BC19-BL18)))</f>
        <v>48.94</v>
      </c>
      <c r="BE19" s="14">
        <f>BD19*VLOOKUP('Données projet'!$B$11,Paramètres!$A$1:$I$89,3,0)*VLOOKUP('Données projet'!$B$11,Paramètres!$A$1:$I$89,5,0)</f>
        <v>42.753984000000003</v>
      </c>
      <c r="BF19" s="14">
        <f t="shared" si="37"/>
        <v>12.72573807250034</v>
      </c>
      <c r="BG19" s="22">
        <f t="shared" si="7"/>
        <v>96.627182609604759</v>
      </c>
      <c r="BH19" s="60">
        <f t="shared" si="8"/>
        <v>303.56922853171881</v>
      </c>
      <c r="BI19" s="60">
        <f ca="1">AVERAGE(OFFSET($BH$3,0,0,'Données projet'!$E$11+1,1))-AVERAGE(OFFSET($H$3,0,0,'Données projet'!$E$11+1,1))</f>
        <v>363.28611056308665</v>
      </c>
      <c r="BJ19" s="60">
        <f t="shared" si="38"/>
        <v>389.43647559455974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7.4358974358974361</v>
      </c>
      <c r="BY19" s="13">
        <f>IF('Données projet'!$A$114&gt;35,BY18+BX19-CG18,IF(A19&lt;'Données projet'!$A$114,$BV$205^A19,IF(A19='Données projet'!$A$114,'Données projet'!$B$114,BY18+BX19-CG18)))</f>
        <v>54.871794871794869</v>
      </c>
      <c r="BZ19" s="14">
        <f>BY19*VLOOKUP('Données projet'!$B$12,Paramètres!$A$1:$I$89,3,0)*VLOOKUP('Données projet'!$B$12,Paramètres!$A$1:$I$89,5,0)</f>
        <v>52.216000000000001</v>
      </c>
      <c r="CA19" s="14">
        <f t="shared" si="39"/>
        <v>15.184598935068502</v>
      </c>
      <c r="CB19" s="22">
        <f t="shared" si="10"/>
        <v>117.38937647857762</v>
      </c>
      <c r="CC19" s="60">
        <f t="shared" si="11"/>
        <v>324.33142240069168</v>
      </c>
      <c r="CD19" s="60">
        <f ca="1">AVERAGE(OFFSET($CC$3,0,0,'Données projet'!$E$12+1,1))-AVERAGE(OFFSET($H$3,0,0,'Données projet'!$E$12+1,1))</f>
        <v>441.15969139782891</v>
      </c>
      <c r="CE19" s="60">
        <f t="shared" si="40"/>
        <v>315.06466790224783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13.760000000000002</v>
      </c>
      <c r="CT19" s="13">
        <f>IF('Données projet'!$A$140&gt;35,CT18+CS19-DB18,IF(A19&lt;'Données projet'!$A$140,$CQ$205^A19,IF(A19='Données projet'!$A$140,'Données projet'!$B$140,CT18+CS19-DB18)))</f>
        <v>78.260000000000005</v>
      </c>
      <c r="CU19" s="18">
        <f>CT19*VLOOKUP('Données projet'!$B$13,Paramètres!$A$1:$I$89,3,0)*VLOOKUP('Données projet'!$B$13,Paramètres!$A$1:$I$89,5,0)</f>
        <v>57.380232000000007</v>
      </c>
      <c r="CV19" s="14">
        <f t="shared" si="41"/>
        <v>16.504198297054995</v>
      </c>
      <c r="CW19" s="22">
        <f t="shared" si="13"/>
        <v>128.68204943403745</v>
      </c>
      <c r="CX19" s="60">
        <f t="shared" si="14"/>
        <v>335.62409535615154</v>
      </c>
      <c r="CY19" s="60">
        <f ca="1">AVERAGE(OFFSET($CX$3,0,0,'Données projet'!$E$13+1,1))-AVERAGE(OFFSET($H$3,0,0,'Données projet'!$E$13+1,1))</f>
        <v>368.35775920359396</v>
      </c>
      <c r="CZ19" s="60">
        <f t="shared" si="42"/>
        <v>395.5218438652638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9.6</v>
      </c>
      <c r="DO19" s="13">
        <f>IF('Données projet'!$A$166&gt;35,DO18+DN19-DW18,IF(A19&lt;'Données projet'!$A$166,$DL$205^A19,IF(A19='Données projet'!$A$166,'Données projet'!$B$166,DO18+DN19-DW18)))</f>
        <v>49.6</v>
      </c>
      <c r="DP19" s="18">
        <f>DO19*VLOOKUP('Données projet'!$B$14,Paramètres!$A$1:$I$89,3,0)*VLOOKUP('Données projet'!$B$14,Paramètres!$A$1:$I$89,5,0)</f>
        <v>38.688000000000002</v>
      </c>
      <c r="DQ19" s="14">
        <f t="shared" si="43"/>
        <v>11.650229083154354</v>
      </c>
      <c r="DR19" s="22">
        <f t="shared" si="16"/>
        <v>87.672415653160499</v>
      </c>
      <c r="DS19" s="60">
        <f t="shared" si="17"/>
        <v>294.61446157527456</v>
      </c>
      <c r="DT19" s="60">
        <f ca="1">AVERAGE(OFFSET($DS$3,0,0,'Données projet'!$E$14+1,1))-AVERAGE(OFFSET($H$3,0,0,'Données projet'!$E$14+1,1))</f>
        <v>312.59632808777332</v>
      </c>
      <c r="DU19" s="60">
        <f t="shared" si="44"/>
        <v>302.59481222418219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2.8518518518518516</v>
      </c>
      <c r="EJ19" s="13">
        <f>IF('Données projet'!$A$192&gt;35,EJ18+EI19-ER18,IF(A19&lt;'Données projet'!$A$192,$EG$205^A19,IF(A19='Données projet'!$A$192,'Données projet'!$B$192,EJ18+EI19-ER18)))</f>
        <v>13.119595033021842</v>
      </c>
      <c r="EK19" s="18">
        <f>EJ19*VLOOKUP('Données projet'!$B$15,Paramètres!$A$1:$I$89,3,0)*VLOOKUP('Données projet'!$B$15,Paramètres!$A$1:$I$89,5,0)</f>
        <v>11.256612538332742</v>
      </c>
      <c r="EL19" s="14">
        <f t="shared" si="45"/>
        <v>3.9135953930839631</v>
      </c>
      <c r="EM19" s="22">
        <f t="shared" si="19"/>
        <v>26.421445480550759</v>
      </c>
      <c r="EN19" s="60">
        <f t="shared" si="20"/>
        <v>233.36349140266481</v>
      </c>
      <c r="EO19" s="60">
        <f ca="1">AVERAGE(OFFSET($EN$3,0,0,'Données projet'!$E$15+1,1))-AVERAGE(OFFSET($H$3,0,0,'Données projet'!$E$15+1,1))</f>
        <v>478.11504516179713</v>
      </c>
      <c r="EP19" s="60">
        <f t="shared" si="46"/>
        <v>249.93713224442419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0</v>
      </c>
      <c r="EZ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3.65</v>
      </c>
      <c r="FE19" s="13">
        <f>IF('Données projet'!$A$218&gt;35,FE18+FD19-FM18,IF(A19&lt;'Données projet'!$A$218,$FB$205^A19,IF(A19='Données projet'!$A$218,'Données projet'!$B$218,FE18+FD19-FM18)))</f>
        <v>30.949831440200953</v>
      </c>
      <c r="FF19" s="18">
        <f>FE19*VLOOKUP('Données projet'!$B$16,Paramètres!$A$1:$I$89,3,0)*VLOOKUP('Données projet'!$B$16,Paramètres!$A$1:$I$89,5,0)</f>
        <v>29.934676968962361</v>
      </c>
      <c r="FG19" s="14">
        <f t="shared" si="47"/>
        <v>9.2875233828754098</v>
      </c>
      <c r="FH19" s="22">
        <f t="shared" si="22"/>
        <v>68.311998946117441</v>
      </c>
      <c r="FI19" s="60">
        <f t="shared" si="23"/>
        <v>275.25404486823152</v>
      </c>
      <c r="FJ19" s="60">
        <f ca="1">AVERAGE(OFFSET($FI$3,0,0,'Données projet'!$E$16+1,1))-AVERAGE(OFFSET($H$3,0,0,'Données projet'!$E$16+1,1))</f>
        <v>603.52431522262032</v>
      </c>
      <c r="FK19" s="60">
        <f t="shared" si="48"/>
        <v>313.56299786481338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>
        <f>EXP(-LN(2)/35)*FQ18+(1-EXP(-LN(2)/35))/(LN(2)/35)*FM19*FN19*VLOOKUP('Données projet'!$B$16,Paramètres!$A$1:$I$89,3,0)*0.475*44/12</f>
        <v>0</v>
      </c>
      <c r="FR19" s="23">
        <f>EXP(-LN(2)/25)*FR18+(1-EXP(-LN(2)/25))/(LN(2)/25)*Calculateur!FM19*Calculateur!FO19*VLOOKUP('Données projet'!$B$16,Paramètres!$A$1:$I$89,3,0)*0.475*44/12</f>
        <v>0</v>
      </c>
      <c r="FS19" s="23">
        <f>EXP(-LN(2)/2)*FS18+(1-EXP(-LN(2)/2))/(LN(2)/2)*FM19*FP19*VLOOKUP('Données projet'!$B$16,Paramètres!$A$1:$I$89,3,0)*0.475*44/12</f>
        <v>0</v>
      </c>
      <c r="FT19" s="24">
        <f t="shared" si="24"/>
        <v>0</v>
      </c>
      <c r="FU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10</v>
      </c>
      <c r="FZ19" s="13">
        <f>IF('Données projet'!$A$244&gt;35,FZ18+FY19-GH18,IF(A19&lt;'Données projet'!$A$244,$FW$205^A19,IF(A19='Données projet'!$A$244,'Données projet'!$B$244,FZ18+FY19-GH18)))</f>
        <v>88.205128205128204</v>
      </c>
      <c r="GA19" s="18">
        <f>FZ19*VLOOKUP('Données projet'!$B$17,Paramètres!$A$1:$I$89,3,0)*VLOOKUP('Données projet'!$B$17,Paramètres!$A$1:$I$89,5,0)</f>
        <v>59.167999999999999</v>
      </c>
      <c r="GB19" s="14">
        <f t="shared" si="49"/>
        <v>16.957742660522214</v>
      </c>
      <c r="GC19" s="22">
        <f t="shared" si="25"/>
        <v>132.58566846707615</v>
      </c>
      <c r="GD19" s="60">
        <f t="shared" si="26"/>
        <v>339.52771438919024</v>
      </c>
      <c r="GE19" s="60">
        <f ca="1">AVERAGE(OFFSET($GD$3,0,0,'Données projet'!$E$17+1,1))-AVERAGE(OFFSET($H$3,0,0,'Données projet'!$E$17+1,1))</f>
        <v>396.0878652679051</v>
      </c>
      <c r="GF19" s="60">
        <f t="shared" si="50"/>
        <v>327.26339199235406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>
        <f>EXP(-LN(2)/35)*GL18+(1-EXP(-LN(2)/35))/(LN(2)/35)*GH19*GI19*VLOOKUP('Données projet'!$B$17,Paramètres!$A$1:$I$89,3,0)*0.475*44/12</f>
        <v>0</v>
      </c>
      <c r="GM19" s="23">
        <f>EXP(-LN(2)/25)*GM18+(1-EXP(-LN(2)/25))/(LN(2)/25)*Calculateur!GH19*Calculateur!GJ19*VLOOKUP('Données projet'!$B$17,Paramètres!$A$1:$I$89,3,0)*0.475*44/12</f>
        <v>0</v>
      </c>
      <c r="GN19" s="23">
        <f>EXP(-LN(2)/2)*GN18+(1-EXP(-LN(2)/2))/(LN(2)/2)*GH19*GK19*VLOOKUP('Données projet'!$B$17,Paramètres!$A$1:$I$89,3,0)*0.475*44/12</f>
        <v>0</v>
      </c>
      <c r="GO19" s="23">
        <f t="shared" si="27"/>
        <v>0</v>
      </c>
      <c r="GP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10</v>
      </c>
      <c r="GU19" s="13">
        <f>IF('Données projet'!$A$270&gt;35,GU18+GT19-HC18,IF(A19&lt;'Données projet'!$A$270,$GR$205^A19,IF(A19='Données projet'!$A$270,'Données projet'!$B$270,GU18+GT19-HC18)))</f>
        <v>59</v>
      </c>
      <c r="GV19" s="18">
        <f>GU19*VLOOKUP('Données projet'!$B$18,Paramètres!$A$1:$I$89,3,0)*VLOOKUP('Données projet'!$B$18,Paramètres!$A$1:$I$89,5,0)</f>
        <v>47.860800000000005</v>
      </c>
      <c r="GW19" s="14">
        <f t="shared" si="51"/>
        <v>14.059903887836867</v>
      </c>
      <c r="GX19" s="22">
        <f t="shared" si="28"/>
        <v>107.84522593798255</v>
      </c>
      <c r="GY19" s="60">
        <f t="shared" si="29"/>
        <v>314.78727186009661</v>
      </c>
      <c r="GZ19" s="60">
        <f ca="1">AVERAGE(OFFSET($GY$3,0,0,'Données projet'!$E$18+1,1))-AVERAGE(OFFSET($H$3,0,0,'Données projet'!$E$18+1,1))</f>
        <v>272.69564942740931</v>
      </c>
      <c r="HA19" s="60">
        <f t="shared" si="52"/>
        <v>316.57989180609252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>
        <f>EXP(-LN(2)/35)*HG18+(1-EXP(-LN(2)/35))/(LN(2)/35)*HC19*HD19*VLOOKUP('Données projet'!$B$18,Paramètres!$A$1:$I$89,3,0)*0.475*44/12</f>
        <v>0</v>
      </c>
      <c r="HH19" s="23">
        <f>EXP(-LN(2)/25)*HH18+(1-EXP(-LN(2)/25))/(LN(2)/25)*Calculateur!HC19*Calculateur!HE19*VLOOKUP('Données projet'!$B$18,Paramètres!$A$1:$I$89,3,0)*0.475*44/12</f>
        <v>0</v>
      </c>
      <c r="HI19" s="23">
        <f>EXP(-LN(2)/2)*HI18+(1-EXP(-LN(2)/2))/(LN(2)/2)*HC19*HF19*VLOOKUP('Données projet'!$B$18,Paramètres!$A$1:$I$89,3,0)*0.475*44/12</f>
        <v>0</v>
      </c>
      <c r="HJ19" s="24">
        <f t="shared" si="30"/>
        <v>0</v>
      </c>
    </row>
    <row r="20" spans="1:218" s="5" customFormat="1" x14ac:dyDescent="0.25">
      <c r="A20" s="11">
        <f t="shared" si="31"/>
        <v>17</v>
      </c>
      <c r="B20" s="75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8">
        <f t="shared" si="1"/>
        <v>183.33333333333334</v>
      </c>
      <c r="I20" s="7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3.65</v>
      </c>
      <c r="N20" s="14">
        <f>IF('Données projet'!$A$36&gt;35,N19+M20-V19,IF(A20&lt;'Données projet'!$A$36,$K$205^A20,IF(A20='Données projet'!$A$36,'Données projet'!$B$36,N19+M20-V19)))</f>
        <v>38.355215845858055</v>
      </c>
      <c r="O20" s="14">
        <f>N20*VLOOKUP('Données projet'!$B$9,Paramètres!$A$1:$I$89,3,0)*VLOOKUP('Données projet'!$B$9,Paramètres!$A$1:$I$89,5,0)</f>
        <v>34.703799297332367</v>
      </c>
      <c r="P20" s="14">
        <f t="shared" si="33"/>
        <v>10.583497277259243</v>
      </c>
      <c r="Q20" s="22">
        <f t="shared" si="2"/>
        <v>78.875374867413711</v>
      </c>
      <c r="R20" s="60">
        <f t="shared" si="0"/>
        <v>288.24149918328646</v>
      </c>
      <c r="S20" s="60">
        <f ca="1">AVERAGE(OFFSET($R$3,0,0,'Données projet'!$E$9+1,1))-AVERAGE(OFFSET($H$3,0,0,'Données projet'!$E$9+1,1))</f>
        <v>570.08763950759544</v>
      </c>
      <c r="T20" s="60">
        <f t="shared" si="34"/>
        <v>297.32483725004136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13.760000000000002</v>
      </c>
      <c r="AI20" s="14">
        <f>IF('Données projet'!$A$62&gt;35,AI19+AH20-AQ19,IF(A20&lt;'Données projet'!$A$62,$AF$205^A20,IF(A20='Données projet'!$A$62,'Données projet'!$B$62,AI19+AH20-AQ19)))</f>
        <v>92.02000000000001</v>
      </c>
      <c r="AJ20" s="14">
        <f>AI20*VLOOKUP('Données projet'!$B$10,Paramètres!$A$1:$I$89,3,0)*VLOOKUP('Données projet'!$B$10,Paramètres!$A$1:$I$89,5,0)</f>
        <v>73.211112000000014</v>
      </c>
      <c r="AK20" s="14">
        <f t="shared" si="35"/>
        <v>20.468796348022103</v>
      </c>
      <c r="AL20" s="22">
        <f t="shared" si="4"/>
        <v>163.15917370613849</v>
      </c>
      <c r="AM20" s="60">
        <f t="shared" si="5"/>
        <v>372.52529802201121</v>
      </c>
      <c r="AN20" s="60">
        <f ca="1">AVERAGE(OFFSET($AM$3,0,0,'Données projet'!$E$10+1,1))-AVERAGE(OFFSET($H$3,0,0,'Données projet'!$E$10+1,1))</f>
        <v>394.49874384716014</v>
      </c>
      <c r="AO20" s="60">
        <f t="shared" si="36"/>
        <v>423.72519584013378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11.54</v>
      </c>
      <c r="BD20" s="13">
        <f>IF('Données projet'!$A$88&gt;35,BD19+BC20-BL19,IF(A20&lt;'Données projet'!$A$88,$BA$205^A20,IF(A20='Données projet'!$A$88,'Données projet'!$B$88,BD19+BC20-BL19)))</f>
        <v>60.48</v>
      </c>
      <c r="BE20" s="14">
        <f>BD20*VLOOKUP('Données projet'!$B$11,Paramètres!$A$1:$I$89,3,0)*VLOOKUP('Données projet'!$B$11,Paramètres!$A$1:$I$89,5,0)</f>
        <v>52.835328000000004</v>
      </c>
      <c r="BF20" s="14">
        <f t="shared" si="37"/>
        <v>15.343628388186952</v>
      </c>
      <c r="BG20" s="22">
        <f t="shared" si="7"/>
        <v>118.74501570942562</v>
      </c>
      <c r="BH20" s="60">
        <f t="shared" si="8"/>
        <v>328.11114002529837</v>
      </c>
      <c r="BI20" s="60">
        <f ca="1">AVERAGE(OFFSET($BH$3,0,0,'Données projet'!$E$11+1,1))-AVERAGE(OFFSET($H$3,0,0,'Données projet'!$E$11+1,1))</f>
        <v>363.28611056308665</v>
      </c>
      <c r="BJ20" s="60">
        <f t="shared" si="38"/>
        <v>389.43647559455974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7.4358974358974361</v>
      </c>
      <c r="BY20" s="13">
        <f>IF('Données projet'!$A$114&gt;35,BY19+BX20-CG19,IF(A20&lt;'Données projet'!$A$114,$BV$205^A20,IF(A20='Données projet'!$A$114,'Données projet'!$B$114,BY19+BX20-CG19)))</f>
        <v>62.307692307692307</v>
      </c>
      <c r="BZ20" s="14">
        <f>BY20*VLOOKUP('Données projet'!$B$12,Paramètres!$A$1:$I$89,3,0)*VLOOKUP('Données projet'!$B$12,Paramètres!$A$1:$I$89,5,0)</f>
        <v>59.292000000000002</v>
      </c>
      <c r="CA20" s="14">
        <f t="shared" si="39"/>
        <v>16.98914092257921</v>
      </c>
      <c r="CB20" s="22">
        <f t="shared" si="10"/>
        <v>132.85632044015878</v>
      </c>
      <c r="CC20" s="60">
        <f t="shared" si="11"/>
        <v>342.22244475603151</v>
      </c>
      <c r="CD20" s="60">
        <f ca="1">AVERAGE(OFFSET($CC$3,0,0,'Données projet'!$E$12+1,1))-AVERAGE(OFFSET($H$3,0,0,'Données projet'!$E$12+1,1))</f>
        <v>441.15969139782891</v>
      </c>
      <c r="CE20" s="60">
        <f t="shared" si="40"/>
        <v>315.06466790224783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13.760000000000002</v>
      </c>
      <c r="CT20" s="13">
        <f>IF('Données projet'!$A$140&gt;35,CT19+CS20-DB19,IF(A20&lt;'Données projet'!$A$140,$CQ$205^A20,IF(A20='Données projet'!$A$140,'Données projet'!$B$140,CT19+CS20-DB19)))</f>
        <v>92.02000000000001</v>
      </c>
      <c r="CU20" s="18">
        <f>CT20*VLOOKUP('Données projet'!$B$13,Paramètres!$A$1:$I$89,3,0)*VLOOKUP('Données projet'!$B$13,Paramètres!$A$1:$I$89,5,0)</f>
        <v>67.469064000000003</v>
      </c>
      <c r="CV20" s="14">
        <f t="shared" si="41"/>
        <v>19.043596226295445</v>
      </c>
      <c r="CW20" s="22">
        <f t="shared" si="13"/>
        <v>150.67621656079791</v>
      </c>
      <c r="CX20" s="60">
        <f t="shared" si="14"/>
        <v>360.04234087667066</v>
      </c>
      <c r="CY20" s="60">
        <f ca="1">AVERAGE(OFFSET($CX$3,0,0,'Données projet'!$E$13+1,1))-AVERAGE(OFFSET($H$3,0,0,'Données projet'!$E$13+1,1))</f>
        <v>368.35775920359396</v>
      </c>
      <c r="CZ20" s="60">
        <f t="shared" si="42"/>
        <v>395.5218438652638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9.6</v>
      </c>
      <c r="DO20" s="13">
        <f>IF('Données projet'!$A$166&gt;35,DO19+DN20-DW19,IF(A20&lt;'Données projet'!$A$166,$DL$205^A20,IF(A20='Données projet'!$A$166,'Données projet'!$B$166,DO19+DN20-DW19)))</f>
        <v>59.2</v>
      </c>
      <c r="DP20" s="18">
        <f>DO20*VLOOKUP('Données projet'!$B$14,Paramètres!$A$1:$I$89,3,0)*VLOOKUP('Données projet'!$B$14,Paramètres!$A$1:$I$89,5,0)</f>
        <v>46.176000000000002</v>
      </c>
      <c r="DQ20" s="14">
        <f t="shared" si="43"/>
        <v>13.621668778540489</v>
      </c>
      <c r="DR20" s="22">
        <f t="shared" si="16"/>
        <v>104.14760645595801</v>
      </c>
      <c r="DS20" s="60">
        <f t="shared" si="17"/>
        <v>313.51373077183075</v>
      </c>
      <c r="DT20" s="60">
        <f ca="1">AVERAGE(OFFSET($DS$3,0,0,'Données projet'!$E$14+1,1))-AVERAGE(OFFSET($H$3,0,0,'Données projet'!$E$14+1,1))</f>
        <v>312.59632808777332</v>
      </c>
      <c r="DU20" s="60">
        <f t="shared" si="44"/>
        <v>302.59481222418219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2.8518518518518516</v>
      </c>
      <c r="EJ20" s="13">
        <f>IF('Données projet'!$A$192&gt;35,EJ19+EI20-ER19,IF(A20&lt;'Données projet'!$A$192,$EG$205^A20,IF(A20='Données projet'!$A$192,'Données projet'!$B$192,EJ19+EI20-ER19)))</f>
        <v>15.40956774959704</v>
      </c>
      <c r="EK20" s="18">
        <f>EJ20*VLOOKUP('Données projet'!$B$15,Paramètres!$A$1:$I$89,3,0)*VLOOKUP('Données projet'!$B$15,Paramètres!$A$1:$I$89,5,0)</f>
        <v>13.221409129154262</v>
      </c>
      <c r="EL20" s="14">
        <f t="shared" si="45"/>
        <v>4.5114181232179265</v>
      </c>
      <c r="EM20" s="22">
        <f t="shared" si="19"/>
        <v>30.884674131214894</v>
      </c>
      <c r="EN20" s="60">
        <f t="shared" si="20"/>
        <v>240.25079844708762</v>
      </c>
      <c r="EO20" s="60">
        <f ca="1">AVERAGE(OFFSET($EN$3,0,0,'Données projet'!$E$15+1,1))-AVERAGE(OFFSET($H$3,0,0,'Données projet'!$E$15+1,1))</f>
        <v>478.11504516179713</v>
      </c>
      <c r="EP20" s="60">
        <f t="shared" si="46"/>
        <v>249.93713224442419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0</v>
      </c>
      <c r="EZ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3.65</v>
      </c>
      <c r="FE20" s="13">
        <f>IF('Données projet'!$A$218&gt;35,FE19+FD20-FM19,IF(A20&lt;'Données projet'!$A$218,$FB$205^A20,IF(A20='Données projet'!$A$218,'Données projet'!$B$218,FE19+FD20-FM19)))</f>
        <v>38.355215845858055</v>
      </c>
      <c r="FF20" s="18">
        <f>FE20*VLOOKUP('Données projet'!$B$16,Paramètres!$A$1:$I$89,3,0)*VLOOKUP('Données projet'!$B$16,Paramètres!$A$1:$I$89,5,0)</f>
        <v>37.097164766113913</v>
      </c>
      <c r="FG20" s="14">
        <f t="shared" si="47"/>
        <v>11.225909174194843</v>
      </c>
      <c r="FH20" s="22">
        <f t="shared" si="22"/>
        <v>84.162687112704418</v>
      </c>
      <c r="FI20" s="60">
        <f t="shared" si="23"/>
        <v>293.52881142857711</v>
      </c>
      <c r="FJ20" s="60">
        <f ca="1">AVERAGE(OFFSET($FI$3,0,0,'Données projet'!$E$16+1,1))-AVERAGE(OFFSET($H$3,0,0,'Données projet'!$E$16+1,1))</f>
        <v>603.52431522262032</v>
      </c>
      <c r="FK20" s="60">
        <f t="shared" si="48"/>
        <v>313.56299786481338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>
        <f>EXP(-LN(2)/35)*FQ19+(1-EXP(-LN(2)/35))/(LN(2)/35)*FM20*FN20*VLOOKUP('Données projet'!$B$16,Paramètres!$A$1:$I$89,3,0)*0.475*44/12</f>
        <v>0</v>
      </c>
      <c r="FR20" s="23">
        <f>EXP(-LN(2)/25)*FR19+(1-EXP(-LN(2)/25))/(LN(2)/25)*Calculateur!FM20*Calculateur!FO20*VLOOKUP('Données projet'!$B$16,Paramètres!$A$1:$I$89,3,0)*0.475*44/12</f>
        <v>0</v>
      </c>
      <c r="FS20" s="23">
        <f>EXP(-LN(2)/2)*FS19+(1-EXP(-LN(2)/2))/(LN(2)/2)*FM20*FP20*VLOOKUP('Données projet'!$B$16,Paramètres!$A$1:$I$89,3,0)*0.475*44/12</f>
        <v>0</v>
      </c>
      <c r="FT20" s="24">
        <f t="shared" si="24"/>
        <v>0</v>
      </c>
      <c r="FU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10</v>
      </c>
      <c r="FZ20" s="13">
        <f>IF('Données projet'!$A$244&gt;35,FZ19+FY20-GH19,IF(A20&lt;'Données projet'!$A$244,$FW$205^A20,IF(A20='Données projet'!$A$244,'Données projet'!$B$244,FZ19+FY20-GH19)))</f>
        <v>98.205128205128204</v>
      </c>
      <c r="GA20" s="18">
        <f>FZ20*VLOOKUP('Données projet'!$B$17,Paramètres!$A$1:$I$89,3,0)*VLOOKUP('Données projet'!$B$17,Paramètres!$A$1:$I$89,5,0)</f>
        <v>65.876000000000005</v>
      </c>
      <c r="GB20" s="14">
        <f t="shared" si="49"/>
        <v>18.64573198002007</v>
      </c>
      <c r="GC20" s="22">
        <f t="shared" si="25"/>
        <v>147.20868319853497</v>
      </c>
      <c r="GD20" s="60">
        <f t="shared" si="26"/>
        <v>356.57480751440767</v>
      </c>
      <c r="GE20" s="60">
        <f ca="1">AVERAGE(OFFSET($GD$3,0,0,'Données projet'!$E$17+1,1))-AVERAGE(OFFSET($H$3,0,0,'Données projet'!$E$17+1,1))</f>
        <v>396.0878652679051</v>
      </c>
      <c r="GF20" s="60">
        <f t="shared" si="50"/>
        <v>327.26339199235406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>
        <f>EXP(-LN(2)/35)*GL19+(1-EXP(-LN(2)/35))/(LN(2)/35)*GH20*GI20*VLOOKUP('Données projet'!$B$17,Paramètres!$A$1:$I$89,3,0)*0.475*44/12</f>
        <v>0</v>
      </c>
      <c r="GM20" s="23">
        <f>EXP(-LN(2)/25)*GM19+(1-EXP(-LN(2)/25))/(LN(2)/25)*Calculateur!GH20*Calculateur!GJ20*VLOOKUP('Données projet'!$B$17,Paramètres!$A$1:$I$89,3,0)*0.475*44/12</f>
        <v>0</v>
      </c>
      <c r="GN20" s="23">
        <f>EXP(-LN(2)/2)*GN19+(1-EXP(-LN(2)/2))/(LN(2)/2)*GH20*GK20*VLOOKUP('Données projet'!$B$17,Paramètres!$A$1:$I$89,3,0)*0.475*44/12</f>
        <v>0</v>
      </c>
      <c r="GO20" s="23">
        <f t="shared" si="27"/>
        <v>0</v>
      </c>
      <c r="GP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10</v>
      </c>
      <c r="GU20" s="13">
        <f>IF('Données projet'!$A$270&gt;35,GU19+GT20-HC19,IF(A20&lt;'Données projet'!$A$270,$GR$205^A20,IF(A20='Données projet'!$A$270,'Données projet'!$B$270,GU19+GT20-HC19)))</f>
        <v>69</v>
      </c>
      <c r="GV20" s="18">
        <f>GU20*VLOOKUP('Données projet'!$B$18,Paramètres!$A$1:$I$89,3,0)*VLOOKUP('Données projet'!$B$18,Paramètres!$A$1:$I$89,5,0)</f>
        <v>55.972800000000007</v>
      </c>
      <c r="GW20" s="14">
        <f t="shared" si="51"/>
        <v>16.145985978099571</v>
      </c>
      <c r="GX20" s="22">
        <f t="shared" si="28"/>
        <v>125.60688557852342</v>
      </c>
      <c r="GY20" s="60">
        <f t="shared" si="29"/>
        <v>334.97300989439611</v>
      </c>
      <c r="GZ20" s="60">
        <f ca="1">AVERAGE(OFFSET($GY$3,0,0,'Données projet'!$E$18+1,1))-AVERAGE(OFFSET($H$3,0,0,'Données projet'!$E$18+1,1))</f>
        <v>272.69564942740931</v>
      </c>
      <c r="HA20" s="60">
        <f t="shared" si="52"/>
        <v>316.57989180609252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>
        <f>EXP(-LN(2)/35)*HG19+(1-EXP(-LN(2)/35))/(LN(2)/35)*HC20*HD20*VLOOKUP('Données projet'!$B$18,Paramètres!$A$1:$I$89,3,0)*0.475*44/12</f>
        <v>0</v>
      </c>
      <c r="HH20" s="23">
        <f>EXP(-LN(2)/25)*HH19+(1-EXP(-LN(2)/25))/(LN(2)/25)*Calculateur!HC20*Calculateur!HE20*VLOOKUP('Données projet'!$B$18,Paramètres!$A$1:$I$89,3,0)*0.475*44/12</f>
        <v>0</v>
      </c>
      <c r="HI20" s="23">
        <f>EXP(-LN(2)/2)*HI19+(1-EXP(-LN(2)/2))/(LN(2)/2)*HC20*HF20*VLOOKUP('Données projet'!$B$18,Paramètres!$A$1:$I$89,3,0)*0.475*44/12</f>
        <v>0</v>
      </c>
      <c r="HJ20" s="24">
        <f t="shared" si="30"/>
        <v>0</v>
      </c>
    </row>
    <row r="21" spans="1:218" s="5" customFormat="1" x14ac:dyDescent="0.25">
      <c r="A21" s="11">
        <f t="shared" si="31"/>
        <v>18</v>
      </c>
      <c r="B21" s="75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8">
        <f t="shared" si="1"/>
        <v>183.33333333333334</v>
      </c>
      <c r="I21" s="7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3.65</v>
      </c>
      <c r="N21" s="14">
        <f>IF('Données projet'!$A$36&gt;35,N20+M21-V20,IF(A21&lt;'Données projet'!$A$36,$K$205^A21,IF(A21='Données projet'!$A$36,'Données projet'!$B$36,N20+M21-V20)))</f>
        <v>47.532490941824946</v>
      </c>
      <c r="O21" s="14">
        <f>N21*VLOOKUP('Données projet'!$B$9,Paramètres!$A$1:$I$89,3,0)*VLOOKUP('Données projet'!$B$9,Paramètres!$A$1:$I$89,5,0)</f>
        <v>43.007397804163212</v>
      </c>
      <c r="P21" s="14">
        <f t="shared" si="33"/>
        <v>12.792363936215189</v>
      </c>
      <c r="Q21" s="22">
        <f t="shared" si="2"/>
        <v>97.184585031159045</v>
      </c>
      <c r="R21" s="60">
        <f t="shared" si="0"/>
        <v>308.95393822316214</v>
      </c>
      <c r="S21" s="60">
        <f ca="1">AVERAGE(OFFSET($R$3,0,0,'Données projet'!$E$9+1,1))-AVERAGE(OFFSET($H$3,0,0,'Données projet'!$E$9+1,1))</f>
        <v>570.08763950759544</v>
      </c>
      <c r="T21" s="60">
        <f t="shared" si="34"/>
        <v>297.32483725004136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13.760000000000002</v>
      </c>
      <c r="AI21" s="14">
        <f>IF('Données projet'!$A$62&gt;35,AI20+AH21-AQ20,IF(A21&lt;'Données projet'!$A$62,$AF$205^A21,IF(A21='Données projet'!$A$62,'Données projet'!$B$62,AI20+AH21-AQ20)))</f>
        <v>105.78000000000002</v>
      </c>
      <c r="AJ21" s="14">
        <f>AI21*VLOOKUP('Données projet'!$B$10,Paramètres!$A$1:$I$89,3,0)*VLOOKUP('Données projet'!$B$10,Paramètres!$A$1:$I$89,5,0)</f>
        <v>84.158568000000017</v>
      </c>
      <c r="AK21" s="14">
        <f t="shared" si="35"/>
        <v>23.15095738591862</v>
      </c>
      <c r="AL21" s="22">
        <f t="shared" si="4"/>
        <v>186.89742338047495</v>
      </c>
      <c r="AM21" s="60">
        <f t="shared" si="5"/>
        <v>398.66677657247806</v>
      </c>
      <c r="AN21" s="60">
        <f ca="1">AVERAGE(OFFSET($AM$3,0,0,'Données projet'!$E$10+1,1))-AVERAGE(OFFSET($H$3,0,0,'Données projet'!$E$10+1,1))</f>
        <v>394.49874384716014</v>
      </c>
      <c r="AO21" s="60">
        <f t="shared" si="36"/>
        <v>423.72519584013378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11.54</v>
      </c>
      <c r="BD21" s="13">
        <f>IF('Données projet'!$A$88&gt;35,BD20+BC21-BL20,IF(A21&lt;'Données projet'!$A$88,$BA$205^A21,IF(A21='Données projet'!$A$88,'Données projet'!$B$88,BD20+BC21-BL20)))</f>
        <v>72.02</v>
      </c>
      <c r="BE21" s="14">
        <f>BD21*VLOOKUP('Données projet'!$B$11,Paramètres!$A$1:$I$89,3,0)*VLOOKUP('Données projet'!$B$11,Paramètres!$A$1:$I$89,5,0)</f>
        <v>62.916672000000005</v>
      </c>
      <c r="BF21" s="14">
        <f t="shared" si="37"/>
        <v>17.90364569794426</v>
      </c>
      <c r="BG21" s="22">
        <f t="shared" si="7"/>
        <v>140.76205332391956</v>
      </c>
      <c r="BH21" s="60">
        <f t="shared" si="8"/>
        <v>352.53140651592264</v>
      </c>
      <c r="BI21" s="60">
        <f ca="1">AVERAGE(OFFSET($BH$3,0,0,'Données projet'!$E$11+1,1))-AVERAGE(OFFSET($H$3,0,0,'Données projet'!$E$11+1,1))</f>
        <v>363.28611056308665</v>
      </c>
      <c r="BJ21" s="60">
        <f t="shared" si="38"/>
        <v>389.43647559455974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7.4358974358974361</v>
      </c>
      <c r="BY21" s="13">
        <f>IF('Données projet'!$A$114&gt;35,BY20+BX21-CG20,IF(A21&lt;'Données projet'!$A$114,$BV$205^A21,IF(A21='Données projet'!$A$114,'Données projet'!$B$114,BY20+BX21-CG20)))</f>
        <v>69.743589743589737</v>
      </c>
      <c r="BZ21" s="14">
        <f>BY21*VLOOKUP('Données projet'!$B$12,Paramètres!$A$1:$I$89,3,0)*VLOOKUP('Données projet'!$B$12,Paramètres!$A$1:$I$89,5,0)</f>
        <v>66.367999999999995</v>
      </c>
      <c r="CA21" s="14">
        <f t="shared" si="39"/>
        <v>18.768726208561709</v>
      </c>
      <c r="CB21" s="22">
        <f t="shared" si="10"/>
        <v>148.27979814657829</v>
      </c>
      <c r="CC21" s="60">
        <f t="shared" si="11"/>
        <v>360.0491513385814</v>
      </c>
      <c r="CD21" s="60">
        <f ca="1">AVERAGE(OFFSET($CC$3,0,0,'Données projet'!$E$12+1,1))-AVERAGE(OFFSET($H$3,0,0,'Données projet'!$E$12+1,1))</f>
        <v>441.15969139782891</v>
      </c>
      <c r="CE21" s="60">
        <f t="shared" si="40"/>
        <v>315.06466790224783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13.760000000000002</v>
      </c>
      <c r="CT21" s="13">
        <f>IF('Données projet'!$A$140&gt;35,CT20+CS21-DB20,IF(A21&lt;'Données projet'!$A$140,$CQ$205^A21,IF(A21='Données projet'!$A$140,'Données projet'!$B$140,CT20+CS21-DB20)))</f>
        <v>105.78000000000002</v>
      </c>
      <c r="CU21" s="18">
        <f>CT21*VLOOKUP('Données projet'!$B$13,Paramètres!$A$1:$I$89,3,0)*VLOOKUP('Données projet'!$B$13,Paramètres!$A$1:$I$89,5,0)</f>
        <v>77.557896000000014</v>
      </c>
      <c r="CV21" s="14">
        <f t="shared" si="41"/>
        <v>21.539003916671845</v>
      </c>
      <c r="CW21" s="22">
        <f t="shared" si="13"/>
        <v>172.59376735487015</v>
      </c>
      <c r="CX21" s="60">
        <f t="shared" si="14"/>
        <v>384.36312054687323</v>
      </c>
      <c r="CY21" s="60">
        <f ca="1">AVERAGE(OFFSET($CX$3,0,0,'Données projet'!$E$13+1,1))-AVERAGE(OFFSET($H$3,0,0,'Données projet'!$E$13+1,1))</f>
        <v>368.35775920359396</v>
      </c>
      <c r="CZ21" s="60">
        <f t="shared" si="42"/>
        <v>395.5218438652638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9.6</v>
      </c>
      <c r="DO21" s="13">
        <f>IF('Données projet'!$A$166&gt;35,DO20+DN21-DW20,IF(A21&lt;'Données projet'!$A$166,$DL$205^A21,IF(A21='Données projet'!$A$166,'Données projet'!$B$166,DO20+DN21-DW20)))</f>
        <v>68.8</v>
      </c>
      <c r="DP21" s="18">
        <f>DO21*VLOOKUP('Données projet'!$B$14,Paramètres!$A$1:$I$89,3,0)*VLOOKUP('Données projet'!$B$14,Paramètres!$A$1:$I$89,5,0)</f>
        <v>53.664000000000001</v>
      </c>
      <c r="DQ21" s="14">
        <f t="shared" si="43"/>
        <v>15.556073979202782</v>
      </c>
      <c r="DR21" s="22">
        <f t="shared" si="16"/>
        <v>120.55829551377816</v>
      </c>
      <c r="DS21" s="60">
        <f t="shared" si="17"/>
        <v>332.32764870578126</v>
      </c>
      <c r="DT21" s="60">
        <f ca="1">AVERAGE(OFFSET($DS$3,0,0,'Données projet'!$E$14+1,1))-AVERAGE(OFFSET($H$3,0,0,'Données projet'!$E$14+1,1))</f>
        <v>312.59632808777332</v>
      </c>
      <c r="DU21" s="60">
        <f t="shared" si="44"/>
        <v>302.59481222418219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2.8518518518518516</v>
      </c>
      <c r="EJ21" s="13">
        <f>IF('Données projet'!$A$192&gt;35,EJ20+EI21-ER20,IF(A21&lt;'Données projet'!$A$192,$EG$205^A21,IF(A21='Données projet'!$A$192,'Données projet'!$B$192,EJ20+EI21-ER20)))</f>
        <v>18.099246023352912</v>
      </c>
      <c r="EK21" s="18">
        <f>EJ21*VLOOKUP('Données projet'!$B$15,Paramètres!$A$1:$I$89,3,0)*VLOOKUP('Données projet'!$B$15,Paramètres!$A$1:$I$89,5,0)</f>
        <v>15.5291530880368</v>
      </c>
      <c r="EL21" s="14">
        <f t="shared" si="45"/>
        <v>5.2005614884120197</v>
      </c>
      <c r="EM21" s="22">
        <f t="shared" si="19"/>
        <v>36.104252887315027</v>
      </c>
      <c r="EN21" s="60">
        <f t="shared" si="20"/>
        <v>247.87360607931814</v>
      </c>
      <c r="EO21" s="60">
        <f ca="1">AVERAGE(OFFSET($EN$3,0,0,'Données projet'!$E$15+1,1))-AVERAGE(OFFSET($H$3,0,0,'Données projet'!$E$15+1,1))</f>
        <v>478.11504516179713</v>
      </c>
      <c r="EP21" s="60">
        <f t="shared" si="46"/>
        <v>249.93713224442419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0</v>
      </c>
      <c r="EZ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3.65</v>
      </c>
      <c r="FE21" s="13">
        <f>IF('Données projet'!$A$218&gt;35,FE20+FD21-FM20,IF(A21&lt;'Données projet'!$A$218,$FB$205^A21,IF(A21='Données projet'!$A$218,'Données projet'!$B$218,FE20+FD21-FM20)))</f>
        <v>47.532490941824946</v>
      </c>
      <c r="FF21" s="18">
        <f>FE21*VLOOKUP('Données projet'!$B$16,Paramètres!$A$1:$I$89,3,0)*VLOOKUP('Données projet'!$B$16,Paramètres!$A$1:$I$89,5,0)</f>
        <v>45.973425238933089</v>
      </c>
      <c r="FG21" s="14">
        <f t="shared" si="47"/>
        <v>13.56885270616201</v>
      </c>
      <c r="FH21" s="22">
        <f t="shared" si="22"/>
        <v>103.70280075437397</v>
      </c>
      <c r="FI21" s="60">
        <f t="shared" si="23"/>
        <v>315.47215394637709</v>
      </c>
      <c r="FJ21" s="60">
        <f ca="1">AVERAGE(OFFSET($FI$3,0,0,'Données projet'!$E$16+1,1))-AVERAGE(OFFSET($H$3,0,0,'Données projet'!$E$16+1,1))</f>
        <v>603.52431522262032</v>
      </c>
      <c r="FK21" s="60">
        <f t="shared" si="48"/>
        <v>313.56299786481338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>
        <f>EXP(-LN(2)/35)*FQ20+(1-EXP(-LN(2)/35))/(LN(2)/35)*FM21*FN21*VLOOKUP('Données projet'!$B$16,Paramètres!$A$1:$I$89,3,0)*0.475*44/12</f>
        <v>0</v>
      </c>
      <c r="FR21" s="23">
        <f>EXP(-LN(2)/25)*FR20+(1-EXP(-LN(2)/25))/(LN(2)/25)*Calculateur!FM21*Calculateur!FO21*VLOOKUP('Données projet'!$B$16,Paramètres!$A$1:$I$89,3,0)*0.475*44/12</f>
        <v>0</v>
      </c>
      <c r="FS21" s="23">
        <f>EXP(-LN(2)/2)*FS20+(1-EXP(-LN(2)/2))/(LN(2)/2)*FM21*FP21*VLOOKUP('Données projet'!$B$16,Paramètres!$A$1:$I$89,3,0)*0.475*44/12</f>
        <v>0</v>
      </c>
      <c r="FT21" s="24">
        <f t="shared" si="24"/>
        <v>0</v>
      </c>
      <c r="FU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10</v>
      </c>
      <c r="FZ21" s="13">
        <f>IF('Données projet'!$A$244&gt;35,FZ20+FY21-GH20,IF(A21&lt;'Données projet'!$A$244,$FW$205^A21,IF(A21='Données projet'!$A$244,'Données projet'!$B$244,FZ20+FY21-GH20)))</f>
        <v>108.2051282051282</v>
      </c>
      <c r="GA21" s="18">
        <f>FZ21*VLOOKUP('Données projet'!$B$17,Paramètres!$A$1:$I$89,3,0)*VLOOKUP('Données projet'!$B$17,Paramètres!$A$1:$I$89,5,0)</f>
        <v>72.584000000000003</v>
      </c>
      <c r="GB21" s="14">
        <f t="shared" si="49"/>
        <v>20.313795787810648</v>
      </c>
      <c r="GC21" s="22">
        <f t="shared" si="25"/>
        <v>161.79699433043689</v>
      </c>
      <c r="GD21" s="60">
        <f t="shared" si="26"/>
        <v>373.56634752243997</v>
      </c>
      <c r="GE21" s="60">
        <f ca="1">AVERAGE(OFFSET($GD$3,0,0,'Données projet'!$E$17+1,1))-AVERAGE(OFFSET($H$3,0,0,'Données projet'!$E$17+1,1))</f>
        <v>396.0878652679051</v>
      </c>
      <c r="GF21" s="60">
        <f t="shared" si="50"/>
        <v>327.26339199235406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>
        <f>EXP(-LN(2)/35)*GL20+(1-EXP(-LN(2)/35))/(LN(2)/35)*GH21*GI21*VLOOKUP('Données projet'!$B$17,Paramètres!$A$1:$I$89,3,0)*0.475*44/12</f>
        <v>0</v>
      </c>
      <c r="GM21" s="23">
        <f>EXP(-LN(2)/25)*GM20+(1-EXP(-LN(2)/25))/(LN(2)/25)*Calculateur!GH21*Calculateur!GJ21*VLOOKUP('Données projet'!$B$17,Paramètres!$A$1:$I$89,3,0)*0.475*44/12</f>
        <v>0</v>
      </c>
      <c r="GN21" s="23">
        <f>EXP(-LN(2)/2)*GN20+(1-EXP(-LN(2)/2))/(LN(2)/2)*GH21*GK21*VLOOKUP('Données projet'!$B$17,Paramètres!$A$1:$I$89,3,0)*0.475*44/12</f>
        <v>0</v>
      </c>
      <c r="GO21" s="23">
        <f t="shared" si="27"/>
        <v>0</v>
      </c>
      <c r="GP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10</v>
      </c>
      <c r="GU21" s="13">
        <f>IF('Données projet'!$A$270&gt;35,GU20+GT21-HC20,IF(A21&lt;'Données projet'!$A$270,$GR$205^A21,IF(A21='Données projet'!$A$270,'Données projet'!$B$270,GU20+GT21-HC20)))</f>
        <v>79</v>
      </c>
      <c r="GV21" s="18">
        <f>GU21*VLOOKUP('Données projet'!$B$18,Paramètres!$A$1:$I$89,3,0)*VLOOKUP('Données projet'!$B$18,Paramètres!$A$1:$I$89,5,0)</f>
        <v>64.084800000000001</v>
      </c>
      <c r="GW21" s="14">
        <f t="shared" si="51"/>
        <v>18.197042620605469</v>
      </c>
      <c r="GX21" s="22">
        <f t="shared" si="28"/>
        <v>143.30754256422119</v>
      </c>
      <c r="GY21" s="60">
        <f t="shared" si="29"/>
        <v>355.0768957562243</v>
      </c>
      <c r="GZ21" s="60">
        <f ca="1">AVERAGE(OFFSET($GY$3,0,0,'Données projet'!$E$18+1,1))-AVERAGE(OFFSET($H$3,0,0,'Données projet'!$E$18+1,1))</f>
        <v>272.69564942740931</v>
      </c>
      <c r="HA21" s="60">
        <f t="shared" si="52"/>
        <v>316.57989180609252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>
        <f>EXP(-LN(2)/35)*HG20+(1-EXP(-LN(2)/35))/(LN(2)/35)*HC21*HD21*VLOOKUP('Données projet'!$B$18,Paramètres!$A$1:$I$89,3,0)*0.475*44/12</f>
        <v>0</v>
      </c>
      <c r="HH21" s="23">
        <f>EXP(-LN(2)/25)*HH20+(1-EXP(-LN(2)/25))/(LN(2)/25)*Calculateur!HC21*Calculateur!HE21*VLOOKUP('Données projet'!$B$18,Paramètres!$A$1:$I$89,3,0)*0.475*44/12</f>
        <v>0</v>
      </c>
      <c r="HI21" s="23">
        <f>EXP(-LN(2)/2)*HI20+(1-EXP(-LN(2)/2))/(LN(2)/2)*HC21*HF21*VLOOKUP('Données projet'!$B$18,Paramètres!$A$1:$I$89,3,0)*0.475*44/12</f>
        <v>0</v>
      </c>
      <c r="HJ21" s="24">
        <f t="shared" si="30"/>
        <v>0</v>
      </c>
    </row>
    <row r="22" spans="1:218" s="5" customFormat="1" x14ac:dyDescent="0.25">
      <c r="A22" s="11">
        <f t="shared" si="31"/>
        <v>19</v>
      </c>
      <c r="B22" s="75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8">
        <f t="shared" si="1"/>
        <v>183.33333333333334</v>
      </c>
      <c r="I22" s="7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3.65</v>
      </c>
      <c r="N22" s="14">
        <f>IF('Données projet'!$A$36&gt;35,N21+M22-V21,IF(A22&lt;'Données projet'!$A$36,$K$205^A22,IF(A22='Données projet'!$A$36,'Données projet'!$B$36,N21+M22-V21)))</f>
        <v>58.90561805764559</v>
      </c>
      <c r="O22" s="14">
        <f>N22*VLOOKUP('Données projet'!$B$9,Paramètres!$A$1:$I$89,3,0)*VLOOKUP('Données projet'!$B$9,Paramètres!$A$1:$I$89,5,0)</f>
        <v>53.297803218557732</v>
      </c>
      <c r="P22" s="14">
        <f t="shared" si="33"/>
        <v>15.462240012873817</v>
      </c>
      <c r="Q22" s="22">
        <f t="shared" si="2"/>
        <v>119.75707529474329</v>
      </c>
      <c r="R22" s="60">
        <f t="shared" si="0"/>
        <v>333.90916953776684</v>
      </c>
      <c r="S22" s="60">
        <f ca="1">AVERAGE(OFFSET($R$3,0,0,'Données projet'!$E$9+1,1))-AVERAGE(OFFSET($H$3,0,0,'Données projet'!$E$9+1,1))</f>
        <v>570.08763950759544</v>
      </c>
      <c r="T22" s="60">
        <f t="shared" si="34"/>
        <v>297.32483725004136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13.760000000000002</v>
      </c>
      <c r="AI22" s="14">
        <f>IF('Données projet'!$A$62&gt;35,AI21+AH22-AQ21,IF(A22&lt;'Données projet'!$A$62,$AF$205^A22,IF(A22='Données projet'!$A$62,'Données projet'!$B$62,AI21+AH22-AQ21)))</f>
        <v>119.54000000000002</v>
      </c>
      <c r="AJ22" s="14">
        <f>AI22*VLOOKUP('Données projet'!$B$10,Paramètres!$A$1:$I$89,3,0)*VLOOKUP('Données projet'!$B$10,Paramètres!$A$1:$I$89,5,0)</f>
        <v>95.106024000000019</v>
      </c>
      <c r="AK22" s="14">
        <f t="shared" si="35"/>
        <v>25.792692267172022</v>
      </c>
      <c r="AL22" s="22">
        <f t="shared" si="4"/>
        <v>210.56526416532461</v>
      </c>
      <c r="AM22" s="60">
        <f t="shared" si="5"/>
        <v>424.7173584083481</v>
      </c>
      <c r="AN22" s="60">
        <f ca="1">AVERAGE(OFFSET($AM$3,0,0,'Données projet'!$E$10+1,1))-AVERAGE(OFFSET($H$3,0,0,'Données projet'!$E$10+1,1))</f>
        <v>394.49874384716014</v>
      </c>
      <c r="AO22" s="60">
        <f t="shared" si="36"/>
        <v>423.72519584013378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11.54</v>
      </c>
      <c r="BD22" s="13">
        <f>IF('Données projet'!$A$88&gt;35,BD21+BC22-BL21,IF(A22&lt;'Données projet'!$A$88,$BA$205^A22,IF(A22='Données projet'!$A$88,'Données projet'!$B$88,BD21+BC22-BL21)))</f>
        <v>83.56</v>
      </c>
      <c r="BE22" s="14">
        <f>BD22*VLOOKUP('Données projet'!$B$11,Paramètres!$A$1:$I$89,3,0)*VLOOKUP('Données projet'!$B$11,Paramètres!$A$1:$I$89,5,0)</f>
        <v>72.998016000000007</v>
      </c>
      <c r="BF22" s="14">
        <f t="shared" si="37"/>
        <v>20.416143732342558</v>
      </c>
      <c r="BG22" s="22">
        <f t="shared" si="7"/>
        <v>162.69632820049665</v>
      </c>
      <c r="BH22" s="60">
        <f t="shared" si="8"/>
        <v>376.84842244352018</v>
      </c>
      <c r="BI22" s="60">
        <f ca="1">AVERAGE(OFFSET($BH$3,0,0,'Données projet'!$E$11+1,1))-AVERAGE(OFFSET($H$3,0,0,'Données projet'!$E$11+1,1))</f>
        <v>363.28611056308665</v>
      </c>
      <c r="BJ22" s="60">
        <f t="shared" si="38"/>
        <v>389.43647559455974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7.4358974358974361</v>
      </c>
      <c r="BY22" s="13">
        <f>IF('Données projet'!$A$114&gt;35,BY21+BX22-CG21,IF(A22&lt;'Données projet'!$A$114,$BV$205^A22,IF(A22='Données projet'!$A$114,'Données projet'!$B$114,BY21+BX22-CG21)))</f>
        <v>77.179487179487168</v>
      </c>
      <c r="BZ22" s="14">
        <f>BY22*VLOOKUP('Données projet'!$B$12,Paramètres!$A$1:$I$89,3,0)*VLOOKUP('Données projet'!$B$12,Paramètres!$A$1:$I$89,5,0)</f>
        <v>73.443999999999988</v>
      </c>
      <c r="CA22" s="14">
        <f t="shared" si="39"/>
        <v>20.526318854777685</v>
      </c>
      <c r="CB22" s="22">
        <f t="shared" si="10"/>
        <v>163.66497200540442</v>
      </c>
      <c r="CC22" s="60">
        <f t="shared" si="11"/>
        <v>377.81706624842798</v>
      </c>
      <c r="CD22" s="60">
        <f ca="1">AVERAGE(OFFSET($CC$3,0,0,'Données projet'!$E$12+1,1))-AVERAGE(OFFSET($H$3,0,0,'Données projet'!$E$12+1,1))</f>
        <v>441.15969139782891</v>
      </c>
      <c r="CE22" s="60">
        <f t="shared" si="40"/>
        <v>315.06466790224783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13.760000000000002</v>
      </c>
      <c r="CT22" s="13">
        <f>IF('Données projet'!$A$140&gt;35,CT21+CS22-DB21,IF(A22&lt;'Données projet'!$A$140,$CQ$205^A22,IF(A22='Données projet'!$A$140,'Données projet'!$B$140,CT21+CS22-DB21)))</f>
        <v>119.54000000000002</v>
      </c>
      <c r="CU22" s="18">
        <f>CT22*VLOOKUP('Données projet'!$B$13,Paramètres!$A$1:$I$89,3,0)*VLOOKUP('Données projet'!$B$13,Paramètres!$A$1:$I$89,5,0)</f>
        <v>87.64672800000001</v>
      </c>
      <c r="CV22" s="14">
        <f t="shared" si="41"/>
        <v>23.996800240409819</v>
      </c>
      <c r="CW22" s="22">
        <f t="shared" si="13"/>
        <v>194.44581168538045</v>
      </c>
      <c r="CX22" s="60">
        <f t="shared" si="14"/>
        <v>408.59790592840397</v>
      </c>
      <c r="CY22" s="60">
        <f ca="1">AVERAGE(OFFSET($CX$3,0,0,'Données projet'!$E$13+1,1))-AVERAGE(OFFSET($H$3,0,0,'Données projet'!$E$13+1,1))</f>
        <v>368.35775920359396</v>
      </c>
      <c r="CZ22" s="60">
        <f t="shared" si="42"/>
        <v>395.5218438652638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9.6</v>
      </c>
      <c r="DO22" s="13">
        <f>IF('Données projet'!$A$166&gt;35,DO21+DN22-DW21,IF(A22&lt;'Données projet'!$A$166,$DL$205^A22,IF(A22='Données projet'!$A$166,'Données projet'!$B$166,DO21+DN22-DW21)))</f>
        <v>78.399999999999991</v>
      </c>
      <c r="DP22" s="18">
        <f>DO22*VLOOKUP('Données projet'!$B$14,Paramètres!$A$1:$I$89,3,0)*VLOOKUP('Données projet'!$B$14,Paramètres!$A$1:$I$89,5,0)</f>
        <v>61.151999999999994</v>
      </c>
      <c r="DQ22" s="14">
        <f t="shared" si="43"/>
        <v>17.459207591071255</v>
      </c>
      <c r="DR22" s="22">
        <f t="shared" si="16"/>
        <v>136.9145198877824</v>
      </c>
      <c r="DS22" s="60">
        <f t="shared" si="17"/>
        <v>351.06661413080593</v>
      </c>
      <c r="DT22" s="60">
        <f ca="1">AVERAGE(OFFSET($DS$3,0,0,'Données projet'!$E$14+1,1))-AVERAGE(OFFSET($H$3,0,0,'Données projet'!$E$14+1,1))</f>
        <v>312.59632808777332</v>
      </c>
      <c r="DU22" s="60">
        <f t="shared" si="44"/>
        <v>302.59481222418219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2.8518518518518516</v>
      </c>
      <c r="EJ22" s="13">
        <f>IF('Données projet'!$A$192&gt;35,EJ21+EI22-ER21,IF(A22&lt;'Données projet'!$A$192,$EG$205^A22,IF(A22='Données projet'!$A$192,'Données projet'!$B$192,EJ21+EI22-ER21)))</f>
        <v>21.25839685687631</v>
      </c>
      <c r="EK22" s="18">
        <f>EJ22*VLOOKUP('Données projet'!$B$15,Paramètres!$A$1:$I$89,3,0)*VLOOKUP('Données projet'!$B$15,Paramètres!$A$1:$I$89,5,0)</f>
        <v>18.239704503199878</v>
      </c>
      <c r="EL22" s="14">
        <f t="shared" si="45"/>
        <v>5.9949752064796131</v>
      </c>
      <c r="EM22" s="22">
        <f t="shared" si="19"/>
        <v>42.208733827691781</v>
      </c>
      <c r="EN22" s="60">
        <f t="shared" si="20"/>
        <v>256.36082807071529</v>
      </c>
      <c r="EO22" s="60">
        <f ca="1">AVERAGE(OFFSET($EN$3,0,0,'Données projet'!$E$15+1,1))-AVERAGE(OFFSET($H$3,0,0,'Données projet'!$E$15+1,1))</f>
        <v>478.11504516179713</v>
      </c>
      <c r="EP22" s="60">
        <f t="shared" si="46"/>
        <v>249.93713224442419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0</v>
      </c>
      <c r="EY22" s="24">
        <f t="shared" si="21"/>
        <v>0</v>
      </c>
      <c r="EZ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3.65</v>
      </c>
      <c r="FE22" s="13">
        <f>IF('Données projet'!$A$218&gt;35,FE21+FD22-FM21,IF(A22&lt;'Données projet'!$A$218,$FB$205^A22,IF(A22='Données projet'!$A$218,'Données projet'!$B$218,FE21+FD22-FM21)))</f>
        <v>58.90561805764559</v>
      </c>
      <c r="FF22" s="18">
        <f>FE22*VLOOKUP('Données projet'!$B$16,Paramètres!$A$1:$I$89,3,0)*VLOOKUP('Données projet'!$B$16,Paramètres!$A$1:$I$89,5,0)</f>
        <v>56.973513785354818</v>
      </c>
      <c r="FG22" s="14">
        <f t="shared" si="47"/>
        <v>16.400788649238766</v>
      </c>
      <c r="FH22" s="22">
        <f t="shared" si="22"/>
        <v>127.7935767402505</v>
      </c>
      <c r="FI22" s="60">
        <f t="shared" si="23"/>
        <v>341.945670983274</v>
      </c>
      <c r="FJ22" s="60">
        <f ca="1">AVERAGE(OFFSET($FI$3,0,0,'Données projet'!$E$16+1,1))-AVERAGE(OFFSET($H$3,0,0,'Données projet'!$E$16+1,1))</f>
        <v>603.52431522262032</v>
      </c>
      <c r="FK22" s="60">
        <f t="shared" si="48"/>
        <v>313.56299786481338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>
        <f>EXP(-LN(2)/35)*FQ21+(1-EXP(-LN(2)/35))/(LN(2)/35)*FM22*FN22*VLOOKUP('Données projet'!$B$16,Paramètres!$A$1:$I$89,3,0)*0.475*44/12</f>
        <v>0</v>
      </c>
      <c r="FR22" s="23">
        <f>EXP(-LN(2)/25)*FR21+(1-EXP(-LN(2)/25))/(LN(2)/25)*Calculateur!FM22*Calculateur!FO22*VLOOKUP('Données projet'!$B$16,Paramètres!$A$1:$I$89,3,0)*0.475*44/12</f>
        <v>0</v>
      </c>
      <c r="FS22" s="23">
        <f>EXP(-LN(2)/2)*FS21+(1-EXP(-LN(2)/2))/(LN(2)/2)*FM22*FP22*VLOOKUP('Données projet'!$B$16,Paramètres!$A$1:$I$89,3,0)*0.475*44/12</f>
        <v>0</v>
      </c>
      <c r="FT22" s="24">
        <f t="shared" si="24"/>
        <v>0</v>
      </c>
      <c r="FU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10</v>
      </c>
      <c r="FZ22" s="13">
        <f>IF('Données projet'!$A$244&gt;35,FZ21+FY22-GH21,IF(A22&lt;'Données projet'!$A$244,$FW$205^A22,IF(A22='Données projet'!$A$244,'Données projet'!$B$244,FZ21+FY22-GH21)))</f>
        <v>118.2051282051282</v>
      </c>
      <c r="GA22" s="18">
        <f>FZ22*VLOOKUP('Données projet'!$B$17,Paramètres!$A$1:$I$89,3,0)*VLOOKUP('Données projet'!$B$17,Paramètres!$A$1:$I$89,5,0)</f>
        <v>79.292000000000002</v>
      </c>
      <c r="GB22" s="14">
        <f t="shared" si="49"/>
        <v>21.96398498934548</v>
      </c>
      <c r="GC22" s="22">
        <f t="shared" si="25"/>
        <v>176.35417385644337</v>
      </c>
      <c r="GD22" s="60">
        <f t="shared" si="26"/>
        <v>390.50626809946687</v>
      </c>
      <c r="GE22" s="60">
        <f ca="1">AVERAGE(OFFSET($GD$3,0,0,'Données projet'!$E$17+1,1))-AVERAGE(OFFSET($H$3,0,0,'Données projet'!$E$17+1,1))</f>
        <v>396.0878652679051</v>
      </c>
      <c r="GF22" s="60">
        <f t="shared" si="50"/>
        <v>327.26339199235406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>
        <f>EXP(-LN(2)/35)*GL21+(1-EXP(-LN(2)/35))/(LN(2)/35)*GH22*GI22*VLOOKUP('Données projet'!$B$17,Paramètres!$A$1:$I$89,3,0)*0.475*44/12</f>
        <v>0</v>
      </c>
      <c r="GM22" s="23">
        <f>EXP(-LN(2)/25)*GM21+(1-EXP(-LN(2)/25))/(LN(2)/25)*Calculateur!GH22*Calculateur!GJ22*VLOOKUP('Données projet'!$B$17,Paramètres!$A$1:$I$89,3,0)*0.475*44/12</f>
        <v>0</v>
      </c>
      <c r="GN22" s="23">
        <f>EXP(-LN(2)/2)*GN21+(1-EXP(-LN(2)/2))/(LN(2)/2)*GH22*GK22*VLOOKUP('Données projet'!$B$17,Paramètres!$A$1:$I$89,3,0)*0.475*44/12</f>
        <v>0</v>
      </c>
      <c r="GO22" s="23">
        <f t="shared" si="27"/>
        <v>0</v>
      </c>
      <c r="GP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10</v>
      </c>
      <c r="GU22" s="13">
        <f>IF('Données projet'!$A$270&gt;35,GU21+GT22-HC21,IF(A22&lt;'Données projet'!$A$270,$GR$205^A22,IF(A22='Données projet'!$A$270,'Données projet'!$B$270,GU21+GT22-HC21)))</f>
        <v>89</v>
      </c>
      <c r="GV22" s="18">
        <f>GU22*VLOOKUP('Données projet'!$B$18,Paramètres!$A$1:$I$89,3,0)*VLOOKUP('Données projet'!$B$18,Paramètres!$A$1:$I$89,5,0)</f>
        <v>72.19680000000001</v>
      </c>
      <c r="GW22" s="14">
        <f t="shared" si="51"/>
        <v>20.218015459285922</v>
      </c>
      <c r="GX22" s="22">
        <f t="shared" si="28"/>
        <v>160.95580359158967</v>
      </c>
      <c r="GY22" s="60">
        <f t="shared" si="29"/>
        <v>375.1078978346132</v>
      </c>
      <c r="GZ22" s="60">
        <f ca="1">AVERAGE(OFFSET($GY$3,0,0,'Données projet'!$E$18+1,1))-AVERAGE(OFFSET($H$3,0,0,'Données projet'!$E$18+1,1))</f>
        <v>272.69564942740931</v>
      </c>
      <c r="HA22" s="60">
        <f t="shared" si="52"/>
        <v>316.57989180609252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>
        <f>EXP(-LN(2)/35)*HG21+(1-EXP(-LN(2)/35))/(LN(2)/35)*HC22*HD22*VLOOKUP('Données projet'!$B$18,Paramètres!$A$1:$I$89,3,0)*0.475*44/12</f>
        <v>0</v>
      </c>
      <c r="HH22" s="23">
        <f>EXP(-LN(2)/25)*HH21+(1-EXP(-LN(2)/25))/(LN(2)/25)*Calculateur!HC22*Calculateur!HE22*VLOOKUP('Données projet'!$B$18,Paramètres!$A$1:$I$89,3,0)*0.475*44/12</f>
        <v>0</v>
      </c>
      <c r="HI22" s="23">
        <f>EXP(-LN(2)/2)*HI21+(1-EXP(-LN(2)/2))/(LN(2)/2)*HC22*HF22*VLOOKUP('Données projet'!$B$18,Paramètres!$A$1:$I$89,3,0)*0.475*44/12</f>
        <v>0</v>
      </c>
      <c r="HJ22" s="24">
        <f t="shared" si="30"/>
        <v>0</v>
      </c>
    </row>
    <row r="23" spans="1:218" s="5" customFormat="1" x14ac:dyDescent="0.25">
      <c r="A23" s="11">
        <f t="shared" si="31"/>
        <v>20</v>
      </c>
      <c r="B23" s="75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8">
        <f t="shared" si="1"/>
        <v>183.33333333333334</v>
      </c>
      <c r="I23" s="7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73</v>
      </c>
      <c r="L23" s="13">
        <f>VLOOKUP(A23,'Données projet'!$A$35:$I$55,9,0)</f>
        <v>3.65</v>
      </c>
      <c r="M23" s="13">
        <f t="array" ref="M23">INDEX(L:L,MIN(IF(ISNUMBER(L23:L219),ROW(L23:L219),"")))</f>
        <v>3.65</v>
      </c>
      <c r="N23" s="14">
        <f>IF('Données projet'!$A$36&gt;35,N22+M23-V22,IF(A23&lt;'Données projet'!$A$36,$K$205^A23,IF(A23='Données projet'!$A$36,'Données projet'!$B$36,N22+M23-V22)))</f>
        <v>73</v>
      </c>
      <c r="O23" s="14">
        <f>N23*VLOOKUP('Données projet'!$B$9,Paramètres!$A$1:$I$89,3,0)*VLOOKUP('Données projet'!$B$9,Paramètres!$A$1:$I$89,5,0)</f>
        <v>66.050399999999996</v>
      </c>
      <c r="P23" s="14">
        <f t="shared" si="33"/>
        <v>18.689342126897891</v>
      </c>
      <c r="Q23" s="22">
        <f t="shared" si="2"/>
        <v>147.58838420434714</v>
      </c>
      <c r="R23" s="60">
        <f t="shared" si="0"/>
        <v>364.10308709124286</v>
      </c>
      <c r="S23" s="60">
        <f ca="1">AVERAGE(OFFSET($R$3,0,0,'Données projet'!$E$9+1,1))-AVERAGE(OFFSET($H$3,0,0,'Données projet'!$E$9+1,1))</f>
        <v>570.08763950759544</v>
      </c>
      <c r="T23" s="60">
        <f t="shared" si="34"/>
        <v>297.32483725004136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6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133.30000000000001</v>
      </c>
      <c r="AG23" s="13">
        <f>VLOOKUP(A23,'Données projet'!$A$61:$I$81,9,0)</f>
        <v>13.760000000000002</v>
      </c>
      <c r="AH23" s="13">
        <f t="array" ref="AH23">INDEX(AG:AG,MIN(IF(ISNUMBER(AG23:AG219),ROW(AG23:AG219),"")))</f>
        <v>13.760000000000002</v>
      </c>
      <c r="AI23" s="14">
        <f>IF('Données projet'!$A$62&gt;35,AI22+AH23-AQ22,IF(A23&lt;'Données projet'!$A$62,$AF$205^A23,IF(A23='Données projet'!$A$62,'Données projet'!$B$62,AI22+AH23-AQ22)))</f>
        <v>133.30000000000001</v>
      </c>
      <c r="AJ23" s="14">
        <f>AI23*VLOOKUP('Données projet'!$B$10,Paramètres!$A$1:$I$89,3,0)*VLOOKUP('Données projet'!$B$10,Paramètres!$A$1:$I$89,5,0)</f>
        <v>106.05348000000001</v>
      </c>
      <c r="AK23" s="14">
        <f t="shared" si="35"/>
        <v>28.39918570347135</v>
      </c>
      <c r="AL23" s="22">
        <f t="shared" si="4"/>
        <v>234.1717261002126</v>
      </c>
      <c r="AM23" s="60">
        <f t="shared" si="5"/>
        <v>450.68642898710834</v>
      </c>
      <c r="AN23" s="60">
        <f ca="1">AVERAGE(OFFSET($AM$3,0,0,'Données projet'!$E$10+1,1))-AVERAGE(OFFSET($H$3,0,0,'Données projet'!$E$10+1,1))</f>
        <v>394.49874384716014</v>
      </c>
      <c r="AO23" s="60">
        <f t="shared" si="36"/>
        <v>423.72519584013378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66.5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95.1</v>
      </c>
      <c r="BB23" s="13">
        <f>VLOOKUP(A23,'Données projet'!$A$87:$I$107,9,0)</f>
        <v>11.54</v>
      </c>
      <c r="BC23" s="13">
        <f t="array" ref="BC23">INDEX(BB:BB,MIN(IF(ISNUMBER(BB23:BB219),ROW(BB23:BB219),"")))</f>
        <v>11.54</v>
      </c>
      <c r="BD23" s="13">
        <f>IF('Données projet'!$A$88&gt;35,BD22+BC23-BL22,IF(A23&lt;'Données projet'!$A$88,$BA$205^A23,IF(A23='Données projet'!$A$88,'Données projet'!$B$88,BD22+BC23-BL22)))</f>
        <v>95.1</v>
      </c>
      <c r="BE23" s="14">
        <f>BD23*VLOOKUP('Données projet'!$B$11,Paramètres!$A$1:$I$89,3,0)*VLOOKUP('Données projet'!$B$11,Paramètres!$A$1:$I$89,5,0)</f>
        <v>83.079360000000008</v>
      </c>
      <c r="BF23" s="14">
        <f t="shared" si="37"/>
        <v>22.888440621332276</v>
      </c>
      <c r="BG23" s="22">
        <f t="shared" si="7"/>
        <v>184.56058608215372</v>
      </c>
      <c r="BH23" s="60">
        <f t="shared" si="8"/>
        <v>401.07528896904944</v>
      </c>
      <c r="BI23" s="60">
        <f ca="1">AVERAGE(OFFSET($BH$3,0,0,'Données projet'!$E$11+1,1))-AVERAGE(OFFSET($H$3,0,0,'Données projet'!$E$11+1,1))</f>
        <v>363.28611056308665</v>
      </c>
      <c r="BJ23" s="60">
        <f t="shared" si="38"/>
        <v>389.43647559455974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43.1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84.615384615384613</v>
      </c>
      <c r="BW23" s="13">
        <f>VLOOKUP(A23,'Données projet'!$A$113:$I$133,9,0)</f>
        <v>7.4358974358974361</v>
      </c>
      <c r="BX23" s="13">
        <f t="array" ref="BX23">INDEX(BW:BW,MIN(IF(ISNUMBER(BW23:BW219),ROW(BW23:BW219),"")))</f>
        <v>7.4358974358974361</v>
      </c>
      <c r="BY23" s="13">
        <f>IF('Données projet'!$A$114&gt;35,BY22+BX23-CG22,IF(A23&lt;'Données projet'!$A$114,$BV$205^A23,IF(A23='Données projet'!$A$114,'Données projet'!$B$114,BY22+BX23-CG22)))</f>
        <v>84.615384615384599</v>
      </c>
      <c r="BZ23" s="14">
        <f>BY23*VLOOKUP('Données projet'!$B$12,Paramètres!$A$1:$I$89,3,0)*VLOOKUP('Données projet'!$B$12,Paramètres!$A$1:$I$89,5,0)</f>
        <v>80.519999999999982</v>
      </c>
      <c r="CA23" s="14">
        <f t="shared" si="39"/>
        <v>22.264278849845564</v>
      </c>
      <c r="CB23" s="22">
        <f t="shared" si="10"/>
        <v>179.01595233014768</v>
      </c>
      <c r="CC23" s="60">
        <f t="shared" si="11"/>
        <v>395.53065521704343</v>
      </c>
      <c r="CD23" s="60">
        <f ca="1">AVERAGE(OFFSET($CC$3,0,0,'Données projet'!$E$12+1,1))-AVERAGE(OFFSET($H$3,0,0,'Données projet'!$E$12+1,1))</f>
        <v>441.15969139782891</v>
      </c>
      <c r="CE23" s="60">
        <f t="shared" si="40"/>
        <v>315.06466790224783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133.30000000000001</v>
      </c>
      <c r="CR23" s="13">
        <f>VLOOKUP(A23,'Données projet'!$A$139:$I$159,9,0)</f>
        <v>13.760000000000002</v>
      </c>
      <c r="CS23" s="13">
        <f t="array" ref="CS23">INDEX(CR:CR,MIN(IF(ISNUMBER(CR23:CR219),ROW(CR23:CR219),"")))</f>
        <v>13.760000000000002</v>
      </c>
      <c r="CT23" s="13">
        <f>IF('Données projet'!$A$140&gt;35,CT22+CS23-DB22,IF(A23&lt;'Données projet'!$A$140,$CQ$205^A23,IF(A23='Données projet'!$A$140,'Données projet'!$B$140,CT22+CS23-DB22)))</f>
        <v>133.30000000000001</v>
      </c>
      <c r="CU23" s="18">
        <f>CT23*VLOOKUP('Données projet'!$B$13,Paramètres!$A$1:$I$89,3,0)*VLOOKUP('Données projet'!$B$13,Paramètres!$A$1:$I$89,5,0)</f>
        <v>97.735560000000007</v>
      </c>
      <c r="CV23" s="14">
        <f t="shared" si="41"/>
        <v>26.421808908404628</v>
      </c>
      <c r="CW23" s="22">
        <f t="shared" si="13"/>
        <v>216.24075084880474</v>
      </c>
      <c r="CX23" s="60">
        <f t="shared" si="14"/>
        <v>432.75545373570048</v>
      </c>
      <c r="CY23" s="60">
        <f ca="1">AVERAGE(OFFSET($CX$3,0,0,'Données projet'!$E$13+1,1))-AVERAGE(OFFSET($H$3,0,0,'Données projet'!$E$13+1,1))</f>
        <v>368.35775920359396</v>
      </c>
      <c r="CZ23" s="60">
        <f t="shared" si="42"/>
        <v>395.5218438652638</v>
      </c>
      <c r="DA23" s="16">
        <f>IF(ISNA(VLOOKUP(A23,'Données projet'!$A$139:$I$159,3,0)),0,VLOOKUP(A23,'Données projet'!$A$139:$I$159,3,0))</f>
        <v>1</v>
      </c>
      <c r="DB23" s="16">
        <f>IF(ISNA(VLOOKUP(A23,'Données projet'!$A$139:$I$159,4,0)),0,VLOOKUP(A23,'Données projet'!$A$139:$I$159,4,0))</f>
        <v>66.5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>
        <f>VLOOKUP(A23,'Données projet'!$A$165:$I$185,2,0)</f>
        <v>88</v>
      </c>
      <c r="DM23" s="13">
        <f>VLOOKUP(A23,'Données projet'!$A$165:$I$185,9,0)</f>
        <v>9.6</v>
      </c>
      <c r="DN23" s="13">
        <f t="array" ref="DN23">INDEX(DM:DM,MIN(IF(ISNUMBER(DM23:DM219),ROW(DM23:DM219),"")))</f>
        <v>9.6</v>
      </c>
      <c r="DO23" s="13">
        <f>IF('Données projet'!$A$166&gt;35,DO22+DN23-DW22,IF(A23&lt;'Données projet'!$A$166,$DL$205^A23,IF(A23='Données projet'!$A$166,'Données projet'!$B$166,DO22+DN23-DW22)))</f>
        <v>87.999999999999986</v>
      </c>
      <c r="DP23" s="18">
        <f>DO23*VLOOKUP('Données projet'!$B$14,Paramètres!$A$1:$I$89,3,0)*VLOOKUP('Données projet'!$B$14,Paramètres!$A$1:$I$89,5,0)</f>
        <v>68.639999999999986</v>
      </c>
      <c r="DQ23" s="14">
        <f t="shared" si="43"/>
        <v>19.335336956640202</v>
      </c>
      <c r="DR23" s="22">
        <f t="shared" si="16"/>
        <v>153.22371186614834</v>
      </c>
      <c r="DS23" s="60">
        <f t="shared" si="17"/>
        <v>369.73841475304403</v>
      </c>
      <c r="DT23" s="60">
        <f ca="1">AVERAGE(OFFSET($DS$3,0,0,'Données projet'!$E$14+1,1))-AVERAGE(OFFSET($H$3,0,0,'Données projet'!$E$14+1,1))</f>
        <v>312.59632808777332</v>
      </c>
      <c r="DU23" s="60">
        <f t="shared" si="44"/>
        <v>302.59481222418219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2.8518518518518516</v>
      </c>
      <c r="EJ23" s="13">
        <f>IF('Données projet'!$A$192&gt;35,EJ22+EI23-ER22,IF(A23&lt;'Données projet'!$A$192,$EG$205^A23,IF(A23='Données projet'!$A$192,'Données projet'!$B$192,EJ22+EI23-ER22)))</f>
        <v>24.968964803359786</v>
      </c>
      <c r="EK23" s="18">
        <f>EJ23*VLOOKUP('Données projet'!$B$15,Paramètres!$A$1:$I$89,3,0)*VLOOKUP('Données projet'!$B$15,Paramètres!$A$1:$I$89,5,0)</f>
        <v>21.423371801282698</v>
      </c>
      <c r="EL23" s="14">
        <f t="shared" si="45"/>
        <v>6.9107398896036081</v>
      </c>
      <c r="EM23" s="22">
        <f t="shared" si="19"/>
        <v>49.348577861626978</v>
      </c>
      <c r="EN23" s="60">
        <f t="shared" si="20"/>
        <v>265.8632807485227</v>
      </c>
      <c r="EO23" s="60">
        <f ca="1">AVERAGE(OFFSET($EN$3,0,0,'Données projet'!$E$15+1,1))-AVERAGE(OFFSET($H$3,0,0,'Données projet'!$E$15+1,1))</f>
        <v>478.11504516179713</v>
      </c>
      <c r="EP23" s="60">
        <f t="shared" si="46"/>
        <v>249.93713224442419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0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0</v>
      </c>
      <c r="EY23" s="24">
        <f t="shared" si="21"/>
        <v>0</v>
      </c>
      <c r="EZ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>
        <f>VLOOKUP(A23,'Données projet'!$A$217:$I$237,2,0)</f>
        <v>73</v>
      </c>
      <c r="FC23" s="13">
        <f>VLOOKUP(A23,'Données projet'!$A$217:$I$237,9,0)</f>
        <v>3.65</v>
      </c>
      <c r="FD23" s="13">
        <f t="array" ref="FD23">INDEX(FC:FC,MIN(IF(ISNUMBER(FC23:FC219),ROW(FC23:FC219),"")))</f>
        <v>3.65</v>
      </c>
      <c r="FE23" s="13">
        <f>IF('Données projet'!$A$218&gt;35,FE22+FD23-FM22,IF(A23&lt;'Données projet'!$A$218,$FB$205^A23,IF(A23='Données projet'!$A$218,'Données projet'!$B$218,FE22+FD23-FM22)))</f>
        <v>73</v>
      </c>
      <c r="FF23" s="18">
        <f>FE23*VLOOKUP('Données projet'!$B$16,Paramètres!$A$1:$I$89,3,0)*VLOOKUP('Données projet'!$B$16,Paramètres!$A$1:$I$89,5,0)</f>
        <v>70.605599999999995</v>
      </c>
      <c r="FG23" s="14">
        <f t="shared" si="47"/>
        <v>19.823773913828742</v>
      </c>
      <c r="FH23" s="22">
        <f t="shared" si="22"/>
        <v>157.49782623325171</v>
      </c>
      <c r="FI23" s="60">
        <f t="shared" si="23"/>
        <v>374.01252912014741</v>
      </c>
      <c r="FJ23" s="60">
        <f ca="1">AVERAGE(OFFSET($FI$3,0,0,'Données projet'!$E$16+1,1))-AVERAGE(OFFSET($H$3,0,0,'Données projet'!$E$16+1,1))</f>
        <v>603.52431522262032</v>
      </c>
      <c r="FK23" s="60">
        <f t="shared" si="48"/>
        <v>313.56299786481338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>
        <f>EXP(-LN(2)/35)*FQ22+(1-EXP(-LN(2)/35))/(LN(2)/35)*FM23*FN23*VLOOKUP('Données projet'!$B$16,Paramètres!$A$1:$I$89,3,0)*0.475*44/12</f>
        <v>0</v>
      </c>
      <c r="FR23" s="23">
        <f>EXP(-LN(2)/25)*FR22+(1-EXP(-LN(2)/25))/(LN(2)/25)*Calculateur!FM23*Calculateur!FO23*VLOOKUP('Données projet'!$B$16,Paramètres!$A$1:$I$89,3,0)*0.475*44/12</f>
        <v>0</v>
      </c>
      <c r="FS23" s="23">
        <f>EXP(-LN(2)/2)*FS22+(1-EXP(-LN(2)/2))/(LN(2)/2)*FM23*FP23*VLOOKUP('Données projet'!$B$16,Paramètres!$A$1:$I$89,3,0)*0.475*44/12</f>
        <v>0</v>
      </c>
      <c r="FT23" s="24">
        <f t="shared" si="24"/>
        <v>0</v>
      </c>
      <c r="FU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>
        <f>VLOOKUP(A23,'Données projet'!$A$243:$I$263,2,0)</f>
        <v>128.2051282051282</v>
      </c>
      <c r="FX23" s="13">
        <f>VLOOKUP(A23,'Données projet'!$A$243:$I$263,9,0)</f>
        <v>10</v>
      </c>
      <c r="FY23" s="13">
        <f t="array" ref="FY23">INDEX(FX:FX,MIN(IF(ISNUMBER(FX23:FX219),ROW(FX23:FX219),"")))</f>
        <v>10</v>
      </c>
      <c r="FZ23" s="13">
        <f>IF('Données projet'!$A$244&gt;35,FZ22+FY23-GH22,IF(A23&lt;'Données projet'!$A$244,$FW$205^A23,IF(A23='Données projet'!$A$244,'Données projet'!$B$244,FZ22+FY23-GH22)))</f>
        <v>128.2051282051282</v>
      </c>
      <c r="GA23" s="18">
        <f>FZ23*VLOOKUP('Données projet'!$B$17,Paramètres!$A$1:$I$89,3,0)*VLOOKUP('Données projet'!$B$17,Paramètres!$A$1:$I$89,5,0)</f>
        <v>86</v>
      </c>
      <c r="GB23" s="14">
        <f t="shared" si="49"/>
        <v>23.597983677077231</v>
      </c>
      <c r="GC23" s="22">
        <f t="shared" si="25"/>
        <v>190.88315490424284</v>
      </c>
      <c r="GD23" s="60">
        <f t="shared" si="26"/>
        <v>407.39785779113856</v>
      </c>
      <c r="GE23" s="60">
        <f ca="1">AVERAGE(OFFSET($GD$3,0,0,'Données projet'!$E$17+1,1))-AVERAGE(OFFSET($H$3,0,0,'Données projet'!$E$17+1,1))</f>
        <v>396.0878652679051</v>
      </c>
      <c r="GF23" s="60">
        <f t="shared" si="50"/>
        <v>327.26339199235406</v>
      </c>
      <c r="GG23" s="16">
        <f>IF(ISNA(VLOOKUP(A23,'Données projet'!$A$243:$I$263,3,0)),0,VLOOKUP(A23,'Données projet'!$A$243:$I$263,3,0))</f>
        <v>1</v>
      </c>
      <c r="GH23" s="16">
        <f>IF(ISNA(VLOOKUP(A23,'Données projet'!$A$243:$I$263,4,0)),0,VLOOKUP(A23,'Données projet'!$A$243:$I$263,4,0))</f>
        <v>39.102564102564102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>
        <f>EXP(-LN(2)/35)*GL22+(1-EXP(-LN(2)/35))/(LN(2)/35)*GH23*GI23*VLOOKUP('Données projet'!$B$17,Paramètres!$A$1:$I$89,3,0)*0.475*44/12</f>
        <v>0</v>
      </c>
      <c r="GM23" s="23">
        <f>EXP(-LN(2)/25)*GM22+(1-EXP(-LN(2)/25))/(LN(2)/25)*Calculateur!GH23*Calculateur!GJ23*VLOOKUP('Données projet'!$B$17,Paramètres!$A$1:$I$89,3,0)*0.475*44/12</f>
        <v>0</v>
      </c>
      <c r="GN23" s="23">
        <f>EXP(-LN(2)/2)*GN22+(1-EXP(-LN(2)/2))/(LN(2)/2)*GH23*GK23*VLOOKUP('Données projet'!$B$17,Paramètres!$A$1:$I$89,3,0)*0.475*44/12</f>
        <v>0</v>
      </c>
      <c r="GO23" s="23">
        <f t="shared" si="27"/>
        <v>0</v>
      </c>
      <c r="GP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>
        <f>VLOOKUP(A23,'Données projet'!$A$269:$I$289,2,0)</f>
        <v>99</v>
      </c>
      <c r="GS23" s="13">
        <f>VLOOKUP(A23,'Données projet'!$A$269:$I$289,9,0)</f>
        <v>10</v>
      </c>
      <c r="GT23" s="13">
        <f t="array" ref="GT23">INDEX(GS:GS,MIN(IF(ISNUMBER(GS23:GS219),ROW(GS23:GS219),"")))</f>
        <v>10</v>
      </c>
      <c r="GU23" s="13">
        <f>IF('Données projet'!$A$270&gt;35,GU22+GT23-HC22,IF(A23&lt;'Données projet'!$A$270,$GR$205^A23,IF(A23='Données projet'!$A$270,'Données projet'!$B$270,GU22+GT23-HC22)))</f>
        <v>99</v>
      </c>
      <c r="GV23" s="18">
        <f>GU23*VLOOKUP('Données projet'!$B$18,Paramètres!$A$1:$I$89,3,0)*VLOOKUP('Données projet'!$B$18,Paramètres!$A$1:$I$89,5,0)</f>
        <v>80.308800000000005</v>
      </c>
      <c r="GW23" s="14">
        <f t="shared" si="51"/>
        <v>22.212670396389218</v>
      </c>
      <c r="GX23" s="22">
        <f t="shared" si="28"/>
        <v>178.55822760704453</v>
      </c>
      <c r="GY23" s="60">
        <f t="shared" si="29"/>
        <v>395.07293049394025</v>
      </c>
      <c r="GZ23" s="60">
        <f ca="1">AVERAGE(OFFSET($GY$3,0,0,'Données projet'!$E$18+1,1))-AVERAGE(OFFSET($H$3,0,0,'Données projet'!$E$18+1,1))</f>
        <v>272.69564942740931</v>
      </c>
      <c r="HA23" s="60">
        <f t="shared" si="52"/>
        <v>316.57989180609252</v>
      </c>
      <c r="HB23" s="16">
        <f>IF(ISNA(VLOOKUP(A23,'Données projet'!$A$269:$I$289,3,0)),0,VLOOKUP(A23,'Données projet'!$A$269:$I$289,3,0))</f>
        <v>1</v>
      </c>
      <c r="HC23" s="16">
        <f>IF(ISNA(VLOOKUP(A23,'Données projet'!$A$269:$I$289,4,0)),0,VLOOKUP(A23,'Données projet'!$A$269:$I$289,4,0))</f>
        <v>40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>
        <f>EXP(-LN(2)/35)*HG22+(1-EXP(-LN(2)/35))/(LN(2)/35)*HC23*HD23*VLOOKUP('Données projet'!$B$18,Paramètres!$A$1:$I$89,3,0)*0.475*44/12</f>
        <v>0</v>
      </c>
      <c r="HH23" s="23">
        <f>EXP(-LN(2)/25)*HH22+(1-EXP(-LN(2)/25))/(LN(2)/25)*Calculateur!HC23*Calculateur!HE23*VLOOKUP('Données projet'!$B$18,Paramètres!$A$1:$I$89,3,0)*0.475*44/12</f>
        <v>0</v>
      </c>
      <c r="HI23" s="23">
        <f>EXP(-LN(2)/2)*HI22+(1-EXP(-LN(2)/2))/(LN(2)/2)*HC23*HF23*VLOOKUP('Données projet'!$B$18,Paramètres!$A$1:$I$89,3,0)*0.475*44/12</f>
        <v>0</v>
      </c>
      <c r="HJ23" s="24">
        <f t="shared" si="30"/>
        <v>0</v>
      </c>
    </row>
    <row r="24" spans="1:218" s="5" customFormat="1" x14ac:dyDescent="0.25">
      <c r="A24" s="11">
        <f t="shared" si="31"/>
        <v>21</v>
      </c>
      <c r="B24" s="75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8">
        <f t="shared" si="1"/>
        <v>183.33333333333334</v>
      </c>
      <c r="I24" s="7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7.2</v>
      </c>
      <c r="N24" s="14">
        <f>IF('Données projet'!$A$36&gt;35,N23+M24-V23,IF(A24&lt;'Données projet'!$A$36,$K$205^A24,IF(A24='Données projet'!$A$36,'Données projet'!$B$36,N23+M24-V23)))</f>
        <v>80.2</v>
      </c>
      <c r="O24" s="14">
        <f>N24*VLOOKUP('Données projet'!$B$9,Paramètres!$A$1:$I$89,3,0)*VLOOKUP('Données projet'!$B$9,Paramètres!$A$1:$I$89,5,0)</f>
        <v>72.564959999999999</v>
      </c>
      <c r="P24" s="14">
        <f t="shared" si="33"/>
        <v>20.30908732150932</v>
      </c>
      <c r="Q24" s="22">
        <f t="shared" si="2"/>
        <v>161.75563241829539</v>
      </c>
      <c r="R24" s="60">
        <f t="shared" si="0"/>
        <v>380.61316079416974</v>
      </c>
      <c r="S24" s="60">
        <f ca="1">AVERAGE(OFFSET($R$3,0,0,'Données projet'!$E$9+1,1))-AVERAGE(OFFSET($H$3,0,0,'Données projet'!$E$9+1,1))</f>
        <v>570.08763950759544</v>
      </c>
      <c r="T24" s="60">
        <f t="shared" si="34"/>
        <v>297.32483725004136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14.739999999999998</v>
      </c>
      <c r="AI24" s="14">
        <f>IF('Données projet'!$A$62&gt;35,AI23+AH24-AQ23,IF(A24&lt;'Données projet'!$A$62,$AF$205^A24,IF(A24='Données projet'!$A$62,'Données projet'!$B$62,AI23+AH24-AQ23)))</f>
        <v>81.54000000000002</v>
      </c>
      <c r="AJ24" s="14">
        <f>AI24*VLOOKUP('Données projet'!$B$10,Paramètres!$A$1:$I$89,3,0)*VLOOKUP('Données projet'!$B$10,Paramètres!$A$1:$I$89,5,0)</f>
        <v>64.873224000000022</v>
      </c>
      <c r="AK24" s="14">
        <f t="shared" si="35"/>
        <v>18.39471758117234</v>
      </c>
      <c r="AL24" s="22">
        <f t="shared" si="4"/>
        <v>145.0249982538752</v>
      </c>
      <c r="AM24" s="60">
        <f t="shared" si="5"/>
        <v>363.88252662974958</v>
      </c>
      <c r="AN24" s="60">
        <f ca="1">AVERAGE(OFFSET($AM$3,0,0,'Données projet'!$E$10+1,1))-AVERAGE(OFFSET($H$3,0,0,'Données projet'!$E$10+1,1))</f>
        <v>394.49874384716014</v>
      </c>
      <c r="AO24" s="60">
        <f t="shared" si="36"/>
        <v>423.72519584013378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12.500000000000002</v>
      </c>
      <c r="BD24" s="13">
        <f>IF('Données projet'!$A$88&gt;35,BD23+BC24-BL23,IF(A24&lt;'Données projet'!$A$88,$BA$205^A24,IF(A24='Données projet'!$A$88,'Données projet'!$B$88,BD23+BC24-BL23)))</f>
        <v>64.5</v>
      </c>
      <c r="BE24" s="14">
        <f>BD24*VLOOKUP('Données projet'!$B$11,Paramètres!$A$1:$I$89,3,0)*VLOOKUP('Données projet'!$B$11,Paramètres!$A$1:$I$89,5,0)</f>
        <v>56.347200000000008</v>
      </c>
      <c r="BF24" s="14">
        <f t="shared" si="37"/>
        <v>16.241377637196607</v>
      </c>
      <c r="BG24" s="22">
        <f t="shared" si="7"/>
        <v>126.42510605145075</v>
      </c>
      <c r="BH24" s="60">
        <f t="shared" si="8"/>
        <v>345.28263442732515</v>
      </c>
      <c r="BI24" s="60">
        <f ca="1">AVERAGE(OFFSET($BH$3,0,0,'Données projet'!$E$11+1,1))-AVERAGE(OFFSET($H$3,0,0,'Données projet'!$E$11+1,1))</f>
        <v>363.28611056308665</v>
      </c>
      <c r="BJ24" s="60">
        <f t="shared" si="38"/>
        <v>389.43647559455974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7.5641025641025639</v>
      </c>
      <c r="BY24" s="13">
        <f>IF('Données projet'!$A$114&gt;35,BY23+BX24-CG23,IF(A24&lt;'Données projet'!$A$114,$BV$205^A24,IF(A24='Données projet'!$A$114,'Données projet'!$B$114,BY23+BX24-CG23)))</f>
        <v>92.179487179487168</v>
      </c>
      <c r="BZ24" s="14">
        <f>BY24*VLOOKUP('Données projet'!$B$12,Paramètres!$A$1:$I$89,3,0)*VLOOKUP('Données projet'!$B$12,Paramètres!$A$1:$I$89,5,0)</f>
        <v>87.717999999999989</v>
      </c>
      <c r="CA24" s="14">
        <f t="shared" si="39"/>
        <v>24.014041608889237</v>
      </c>
      <c r="CB24" s="22">
        <f t="shared" si="10"/>
        <v>194.59997246881539</v>
      </c>
      <c r="CC24" s="60">
        <f t="shared" si="11"/>
        <v>413.45750084468978</v>
      </c>
      <c r="CD24" s="60">
        <f ca="1">AVERAGE(OFFSET($CC$3,0,0,'Données projet'!$E$12+1,1))-AVERAGE(OFFSET($H$3,0,0,'Données projet'!$E$12+1,1))</f>
        <v>441.15969139782891</v>
      </c>
      <c r="CE24" s="60">
        <f t="shared" si="40"/>
        <v>315.06466790224783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14.739999999999998</v>
      </c>
      <c r="CT24" s="13">
        <f>IF('Données projet'!$A$140&gt;35,CT23+CS24-DB23,IF(A24&lt;'Données projet'!$A$140,$CQ$205^A24,IF(A24='Données projet'!$A$140,'Données projet'!$B$140,CT23+CS24-DB23)))</f>
        <v>81.54000000000002</v>
      </c>
      <c r="CU24" s="18">
        <f>CT24*VLOOKUP('Données projet'!$B$13,Paramètres!$A$1:$I$89,3,0)*VLOOKUP('Données projet'!$B$13,Paramètres!$A$1:$I$89,5,0)</f>
        <v>59.785128000000007</v>
      </c>
      <c r="CV24" s="14">
        <f t="shared" si="41"/>
        <v>17.113931291149598</v>
      </c>
      <c r="CW24" s="22">
        <f t="shared" si="13"/>
        <v>133.93252826541888</v>
      </c>
      <c r="CX24" s="60">
        <f t="shared" si="14"/>
        <v>352.79005664129329</v>
      </c>
      <c r="CY24" s="60">
        <f ca="1">AVERAGE(OFFSET($CX$3,0,0,'Données projet'!$E$13+1,1))-AVERAGE(OFFSET($H$3,0,0,'Données projet'!$E$13+1,1))</f>
        <v>368.35775920359396</v>
      </c>
      <c r="CZ24" s="60">
        <f t="shared" si="42"/>
        <v>395.5218438652638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10.6</v>
      </c>
      <c r="DO24" s="13">
        <f>IF('Données projet'!$A$166&gt;35,DO23+DN24-DW23,IF(A24&lt;'Données projet'!$A$166,$DL$205^A24,IF(A24='Données projet'!$A$166,'Données projet'!$B$166,DO23+DN24-DW23)))</f>
        <v>98.59999999999998</v>
      </c>
      <c r="DP24" s="18">
        <f>DO24*VLOOKUP('Données projet'!$B$14,Paramètres!$A$1:$I$89,3,0)*VLOOKUP('Données projet'!$B$14,Paramètres!$A$1:$I$89,5,0)</f>
        <v>76.907999999999987</v>
      </c>
      <c r="DQ24" s="14">
        <f t="shared" si="43"/>
        <v>21.379448490435635</v>
      </c>
      <c r="DR24" s="22">
        <f t="shared" si="16"/>
        <v>171.18397278750868</v>
      </c>
      <c r="DS24" s="60">
        <f t="shared" si="17"/>
        <v>390.04150116338303</v>
      </c>
      <c r="DT24" s="60">
        <f ca="1">AVERAGE(OFFSET($DS$3,0,0,'Données projet'!$E$14+1,1))-AVERAGE(OFFSET($H$3,0,0,'Données projet'!$E$14+1,1))</f>
        <v>312.59632808777332</v>
      </c>
      <c r="DU24" s="60">
        <f t="shared" si="44"/>
        <v>302.59481222418219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2.8518518518518516</v>
      </c>
      <c r="EJ24" s="13">
        <f>IF('Données projet'!$A$192&gt;35,EJ23+EI24-ER23,IF(A24&lt;'Données projet'!$A$192,$EG$205^A24,IF(A24='Données projet'!$A$192,'Données projet'!$B$192,EJ23+EI24-ER23)))</f>
        <v>29.327197509240069</v>
      </c>
      <c r="EK24" s="18">
        <f>EJ24*VLOOKUP('Données projet'!$B$15,Paramètres!$A$1:$I$89,3,0)*VLOOKUP('Données projet'!$B$15,Paramètres!$A$1:$I$89,5,0)</f>
        <v>25.162735462927984</v>
      </c>
      <c r="EL24" s="14">
        <f t="shared" si="45"/>
        <v>7.9663925499040165</v>
      </c>
      <c r="EM24" s="22">
        <f t="shared" si="19"/>
        <v>57.699897955682388</v>
      </c>
      <c r="EN24" s="60">
        <f t="shared" si="20"/>
        <v>276.55742633155677</v>
      </c>
      <c r="EO24" s="60">
        <f ca="1">AVERAGE(OFFSET($EN$3,0,0,'Données projet'!$E$15+1,1))-AVERAGE(OFFSET($H$3,0,0,'Données projet'!$E$15+1,1))</f>
        <v>478.11504516179713</v>
      </c>
      <c r="EP24" s="60">
        <f t="shared" si="46"/>
        <v>249.93713224442419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0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0</v>
      </c>
      <c r="EY24" s="24">
        <f t="shared" si="21"/>
        <v>0</v>
      </c>
      <c r="EZ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7.2</v>
      </c>
      <c r="FE24" s="13">
        <f>IF('Données projet'!$A$218&gt;35,FE23+FD24-FM23,IF(A24&lt;'Données projet'!$A$218,$FB$205^A24,IF(A24='Données projet'!$A$218,'Données projet'!$B$218,FE23+FD24-FM23)))</f>
        <v>80.2</v>
      </c>
      <c r="FF24" s="18">
        <f>FE24*VLOOKUP('Données projet'!$B$16,Paramètres!$A$1:$I$89,3,0)*VLOOKUP('Données projet'!$B$16,Paramètres!$A$1:$I$89,5,0)</f>
        <v>77.569440000000014</v>
      </c>
      <c r="FG24" s="14">
        <f t="shared" si="47"/>
        <v>21.541836664136856</v>
      </c>
      <c r="FH24" s="22">
        <f t="shared" si="22"/>
        <v>172.61880685670505</v>
      </c>
      <c r="FI24" s="60">
        <f t="shared" si="23"/>
        <v>391.47633523257946</v>
      </c>
      <c r="FJ24" s="60">
        <f ca="1">AVERAGE(OFFSET($FI$3,0,0,'Données projet'!$E$16+1,1))-AVERAGE(OFFSET($H$3,0,0,'Données projet'!$E$16+1,1))</f>
        <v>603.52431522262032</v>
      </c>
      <c r="FK24" s="60">
        <f t="shared" si="48"/>
        <v>313.56299786481338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>
        <f>EXP(-LN(2)/35)*FQ23+(1-EXP(-LN(2)/35))/(LN(2)/35)*FM24*FN24*VLOOKUP('Données projet'!$B$16,Paramètres!$A$1:$I$89,3,0)*0.475*44/12</f>
        <v>0</v>
      </c>
      <c r="FR24" s="23">
        <f>EXP(-LN(2)/25)*FR23+(1-EXP(-LN(2)/25))/(LN(2)/25)*Calculateur!FM24*Calculateur!FO24*VLOOKUP('Données projet'!$B$16,Paramètres!$A$1:$I$89,3,0)*0.475*44/12</f>
        <v>0</v>
      </c>
      <c r="FS24" s="23">
        <f>EXP(-LN(2)/2)*FS23+(1-EXP(-LN(2)/2))/(LN(2)/2)*FM24*FP24*VLOOKUP('Données projet'!$B$16,Paramètres!$A$1:$I$89,3,0)*0.475*44/12</f>
        <v>0</v>
      </c>
      <c r="FT24" s="24">
        <f t="shared" si="24"/>
        <v>0</v>
      </c>
      <c r="FU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9.7435897435897427</v>
      </c>
      <c r="FZ24" s="13">
        <f>IF('Données projet'!$A$244&gt;35,FZ23+FY24-GH23,IF(A24&lt;'Données projet'!$A$244,$FW$205^A24,IF(A24='Données projet'!$A$244,'Données projet'!$B$244,FZ23+FY24-GH23)))</f>
        <v>98.846153846153854</v>
      </c>
      <c r="GA24" s="18">
        <f>FZ24*VLOOKUP('Données projet'!$B$17,Paramètres!$A$1:$I$89,3,0)*VLOOKUP('Données projet'!$B$17,Paramètres!$A$1:$I$89,5,0)</f>
        <v>66.305999999999997</v>
      </c>
      <c r="GB24" s="14">
        <f t="shared" si="49"/>
        <v>18.753232796006525</v>
      </c>
      <c r="GC24" s="22">
        <f t="shared" si="25"/>
        <v>148.1448304530447</v>
      </c>
      <c r="GD24" s="60">
        <f t="shared" si="26"/>
        <v>367.00235882891911</v>
      </c>
      <c r="GE24" s="60">
        <f ca="1">AVERAGE(OFFSET($GD$3,0,0,'Données projet'!$E$17+1,1))-AVERAGE(OFFSET($H$3,0,0,'Données projet'!$E$17+1,1))</f>
        <v>396.0878652679051</v>
      </c>
      <c r="GF24" s="60">
        <f t="shared" si="50"/>
        <v>327.26339199235406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>
        <f>EXP(-LN(2)/35)*GL23+(1-EXP(-LN(2)/35))/(LN(2)/35)*GH24*GI24*VLOOKUP('Données projet'!$B$17,Paramètres!$A$1:$I$89,3,0)*0.475*44/12</f>
        <v>0</v>
      </c>
      <c r="GM24" s="23">
        <f>EXP(-LN(2)/25)*GM23+(1-EXP(-LN(2)/25))/(LN(2)/25)*Calculateur!GH24*Calculateur!GJ24*VLOOKUP('Données projet'!$B$17,Paramètres!$A$1:$I$89,3,0)*0.475*44/12</f>
        <v>0</v>
      </c>
      <c r="GN24" s="23">
        <f>EXP(-LN(2)/2)*GN23+(1-EXP(-LN(2)/2))/(LN(2)/2)*GH24*GK24*VLOOKUP('Données projet'!$B$17,Paramètres!$A$1:$I$89,3,0)*0.475*44/12</f>
        <v>0</v>
      </c>
      <c r="GO24" s="23">
        <f t="shared" si="27"/>
        <v>0</v>
      </c>
      <c r="GP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8.6</v>
      </c>
      <c r="GU24" s="13">
        <f>IF('Données projet'!$A$270&gt;35,GU23+GT24-HC23,IF(A24&lt;'Données projet'!$A$270,$GR$205^A24,IF(A24='Données projet'!$A$270,'Données projet'!$B$270,GU23+GT24-HC23)))</f>
        <v>67.599999999999994</v>
      </c>
      <c r="GV24" s="18">
        <f>GU24*VLOOKUP('Données projet'!$B$18,Paramètres!$A$1:$I$89,3,0)*VLOOKUP('Données projet'!$B$18,Paramètres!$A$1:$I$89,5,0)</f>
        <v>54.837120000000006</v>
      </c>
      <c r="GW24" s="14">
        <f t="shared" si="51"/>
        <v>15.856174437579886</v>
      </c>
      <c r="GX24" s="22">
        <f t="shared" si="28"/>
        <v>123.12415447878497</v>
      </c>
      <c r="GY24" s="60">
        <f t="shared" si="29"/>
        <v>341.98168285465937</v>
      </c>
      <c r="GZ24" s="60">
        <f ca="1">AVERAGE(OFFSET($GY$3,0,0,'Données projet'!$E$18+1,1))-AVERAGE(OFFSET($H$3,0,0,'Données projet'!$E$18+1,1))</f>
        <v>272.69564942740931</v>
      </c>
      <c r="HA24" s="60">
        <f t="shared" si="52"/>
        <v>316.57989180609252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>
        <f>EXP(-LN(2)/35)*HG23+(1-EXP(-LN(2)/35))/(LN(2)/35)*HC24*HD24*VLOOKUP('Données projet'!$B$18,Paramètres!$A$1:$I$89,3,0)*0.475*44/12</f>
        <v>0</v>
      </c>
      <c r="HH24" s="23">
        <f>EXP(-LN(2)/25)*HH23+(1-EXP(-LN(2)/25))/(LN(2)/25)*Calculateur!HC24*Calculateur!HE24*VLOOKUP('Données projet'!$B$18,Paramètres!$A$1:$I$89,3,0)*0.475*44/12</f>
        <v>0</v>
      </c>
      <c r="HI24" s="23">
        <f>EXP(-LN(2)/2)*HI23+(1-EXP(-LN(2)/2))/(LN(2)/2)*HC24*HF24*VLOOKUP('Données projet'!$B$18,Paramètres!$A$1:$I$89,3,0)*0.475*44/12</f>
        <v>0</v>
      </c>
      <c r="HJ24" s="24">
        <f t="shared" si="30"/>
        <v>0</v>
      </c>
    </row>
    <row r="25" spans="1:218" s="5" customFormat="1" x14ac:dyDescent="0.25">
      <c r="A25" s="11">
        <f t="shared" si="31"/>
        <v>22</v>
      </c>
      <c r="B25" s="75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8">
        <f t="shared" si="1"/>
        <v>183.33333333333334</v>
      </c>
      <c r="I25" s="7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7.2</v>
      </c>
      <c r="N25" s="14">
        <f>IF('Données projet'!$A$36&gt;35,N24+M25-V24,IF(A25&lt;'Données projet'!$A$36,$K$205^A25,IF(A25='Données projet'!$A$36,'Données projet'!$B$36,N24+M25-V24)))</f>
        <v>87.4</v>
      </c>
      <c r="O25" s="14">
        <f>N25*VLOOKUP('Données projet'!$B$9,Paramètres!$A$1:$I$89,3,0)*VLOOKUP('Données projet'!$B$9,Paramètres!$A$1:$I$89,5,0)</f>
        <v>79.079520000000002</v>
      </c>
      <c r="P25" s="14">
        <f t="shared" si="33"/>
        <v>21.911970621402002</v>
      </c>
      <c r="Q25" s="22">
        <f t="shared" si="2"/>
        <v>175.89351283227515</v>
      </c>
      <c r="R25" s="60">
        <f t="shared" si="0"/>
        <v>397.07442673574354</v>
      </c>
      <c r="S25" s="60">
        <f ca="1">AVERAGE(OFFSET($R$3,0,0,'Données projet'!$E$9+1,1))-AVERAGE(OFFSET($H$3,0,0,'Données projet'!$E$9+1,1))</f>
        <v>570.08763950759544</v>
      </c>
      <c r="T25" s="60">
        <f t="shared" si="34"/>
        <v>297.32483725004136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14.739999999999998</v>
      </c>
      <c r="AI25" s="14">
        <f>IF('Données projet'!$A$62&gt;35,AI24+AH25-AQ24,IF(A25&lt;'Données projet'!$A$62,$AF$205^A25,IF(A25='Données projet'!$A$62,'Données projet'!$B$62,AI24+AH25-AQ24)))</f>
        <v>96.280000000000015</v>
      </c>
      <c r="AJ25" s="14">
        <f>AI25*VLOOKUP('Données projet'!$B$10,Paramètres!$A$1:$I$89,3,0)*VLOOKUP('Données projet'!$B$10,Paramètres!$A$1:$I$89,5,0)</f>
        <v>76.600368000000017</v>
      </c>
      <c r="AK25" s="14">
        <f t="shared" si="35"/>
        <v>21.30386735026233</v>
      </c>
      <c r="AL25" s="22">
        <f t="shared" si="4"/>
        <v>170.51654323504027</v>
      </c>
      <c r="AM25" s="60">
        <f t="shared" si="5"/>
        <v>391.69745713850864</v>
      </c>
      <c r="AN25" s="60">
        <f ca="1">AVERAGE(OFFSET($AM$3,0,0,'Données projet'!$E$10+1,1))-AVERAGE(OFFSET($H$3,0,0,'Données projet'!$E$10+1,1))</f>
        <v>394.49874384716014</v>
      </c>
      <c r="AO25" s="60">
        <f t="shared" si="36"/>
        <v>423.72519584013378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12.500000000000002</v>
      </c>
      <c r="BD25" s="13">
        <f>IF('Données projet'!$A$88&gt;35,BD24+BC25-BL24,IF(A25&lt;'Données projet'!$A$88,$BA$205^A25,IF(A25='Données projet'!$A$88,'Données projet'!$B$88,BD24+BC25-BL24)))</f>
        <v>77</v>
      </c>
      <c r="BE25" s="14">
        <f>BD25*VLOOKUP('Données projet'!$B$11,Paramètres!$A$1:$I$89,3,0)*VLOOKUP('Données projet'!$B$11,Paramètres!$A$1:$I$89,5,0)</f>
        <v>67.267200000000003</v>
      </c>
      <c r="BF25" s="14">
        <f t="shared" si="37"/>
        <v>18.993242158132926</v>
      </c>
      <c r="BG25" s="22">
        <f t="shared" si="7"/>
        <v>150.23693675874819</v>
      </c>
      <c r="BH25" s="60">
        <f t="shared" si="8"/>
        <v>371.41785066221655</v>
      </c>
      <c r="BI25" s="60">
        <f ca="1">AVERAGE(OFFSET($BH$3,0,0,'Données projet'!$E$11+1,1))-AVERAGE(OFFSET($H$3,0,0,'Données projet'!$E$11+1,1))</f>
        <v>363.28611056308665</v>
      </c>
      <c r="BJ25" s="60">
        <f t="shared" si="38"/>
        <v>389.43647559455974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7.5641025641025639</v>
      </c>
      <c r="BY25" s="13">
        <f>IF('Données projet'!$A$114&gt;35,BY24+BX25-CG24,IF(A25&lt;'Données projet'!$A$114,$BV$205^A25,IF(A25='Données projet'!$A$114,'Données projet'!$B$114,BY24+BX25-CG24)))</f>
        <v>99.743589743589737</v>
      </c>
      <c r="BZ25" s="14">
        <f>BY25*VLOOKUP('Données projet'!$B$12,Paramètres!$A$1:$I$89,3,0)*VLOOKUP('Données projet'!$B$12,Paramètres!$A$1:$I$89,5,0)</f>
        <v>94.915999999999997</v>
      </c>
      <c r="CA25" s="14">
        <f t="shared" si="39"/>
        <v>25.747151184602235</v>
      </c>
      <c r="CB25" s="22">
        <f t="shared" si="10"/>
        <v>210.1549883131822</v>
      </c>
      <c r="CC25" s="60">
        <f t="shared" si="11"/>
        <v>431.3359022166506</v>
      </c>
      <c r="CD25" s="60">
        <f ca="1">AVERAGE(OFFSET($CC$3,0,0,'Données projet'!$E$12+1,1))-AVERAGE(OFFSET($H$3,0,0,'Données projet'!$E$12+1,1))</f>
        <v>441.15969139782891</v>
      </c>
      <c r="CE25" s="60">
        <f t="shared" si="40"/>
        <v>315.06466790224783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14.739999999999998</v>
      </c>
      <c r="CT25" s="13">
        <f>IF('Données projet'!$A$140&gt;35,CT24+CS25-DB24,IF(A25&lt;'Données projet'!$A$140,$CQ$205^A25,IF(A25='Données projet'!$A$140,'Données projet'!$B$140,CT24+CS25-DB24)))</f>
        <v>96.280000000000015</v>
      </c>
      <c r="CU25" s="18">
        <f>CT25*VLOOKUP('Données projet'!$B$13,Paramètres!$A$1:$I$89,3,0)*VLOOKUP('Données projet'!$B$13,Paramètres!$A$1:$I$89,5,0)</f>
        <v>70.592496000000011</v>
      </c>
      <c r="CV25" s="14">
        <f t="shared" si="41"/>
        <v>19.82052295498838</v>
      </c>
      <c r="CW25" s="22">
        <f t="shared" si="13"/>
        <v>157.46934134660478</v>
      </c>
      <c r="CX25" s="60">
        <f t="shared" si="14"/>
        <v>378.6502552500732</v>
      </c>
      <c r="CY25" s="60">
        <f ca="1">AVERAGE(OFFSET($CX$3,0,0,'Données projet'!$E$13+1,1))-AVERAGE(OFFSET($H$3,0,0,'Données projet'!$E$13+1,1))</f>
        <v>368.35775920359396</v>
      </c>
      <c r="CZ25" s="60">
        <f t="shared" si="42"/>
        <v>395.5218438652638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10.6</v>
      </c>
      <c r="DO25" s="13">
        <f>IF('Données projet'!$A$166&gt;35,DO24+DN25-DW24,IF(A25&lt;'Données projet'!$A$166,$DL$205^A25,IF(A25='Données projet'!$A$166,'Données projet'!$B$166,DO24+DN25-DW24)))</f>
        <v>109.19999999999997</v>
      </c>
      <c r="DP25" s="18">
        <f>DO25*VLOOKUP('Données projet'!$B$14,Paramètres!$A$1:$I$89,3,0)*VLOOKUP('Données projet'!$B$14,Paramètres!$A$1:$I$89,5,0)</f>
        <v>85.175999999999988</v>
      </c>
      <c r="DQ25" s="14">
        <f t="shared" si="43"/>
        <v>23.398088487656434</v>
      </c>
      <c r="DR25" s="22">
        <f t="shared" si="16"/>
        <v>189.09987078266826</v>
      </c>
      <c r="DS25" s="60">
        <f t="shared" si="17"/>
        <v>410.28078468613666</v>
      </c>
      <c r="DT25" s="60">
        <f ca="1">AVERAGE(OFFSET($DS$3,0,0,'Données projet'!$E$14+1,1))-AVERAGE(OFFSET($H$3,0,0,'Données projet'!$E$14+1,1))</f>
        <v>312.59632808777332</v>
      </c>
      <c r="DU25" s="60">
        <f t="shared" si="44"/>
        <v>302.59481222418219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2.8518518518518516</v>
      </c>
      <c r="EJ25" s="13">
        <f>IF('Données projet'!$A$192&gt;35,EJ24+EI25-ER24,IF(A25&lt;'Données projet'!$A$192,$EG$205^A25,IF(A25='Données projet'!$A$192,'Données projet'!$B$192,EJ24+EI25-ER24)))</f>
        <v>34.446142261782732</v>
      </c>
      <c r="EK25" s="18">
        <f>EJ25*VLOOKUP('Données projet'!$B$15,Paramètres!$A$1:$I$89,3,0)*VLOOKUP('Données projet'!$B$15,Paramètres!$A$1:$I$89,5,0)</f>
        <v>29.554790060609587</v>
      </c>
      <c r="EL25" s="14">
        <f t="shared" si="45"/>
        <v>9.1833018277304088</v>
      </c>
      <c r="EM25" s="22">
        <f t="shared" si="19"/>
        <v>67.468843372192154</v>
      </c>
      <c r="EN25" s="60">
        <f t="shared" si="20"/>
        <v>288.64975727566053</v>
      </c>
      <c r="EO25" s="60">
        <f ca="1">AVERAGE(OFFSET($EN$3,0,0,'Données projet'!$E$15+1,1))-AVERAGE(OFFSET($H$3,0,0,'Données projet'!$E$15+1,1))</f>
        <v>478.11504516179713</v>
      </c>
      <c r="EP25" s="60">
        <f t="shared" si="46"/>
        <v>249.93713224442419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0</v>
      </c>
      <c r="EW25" s="23">
        <f>EXP(-LN(2)/25)*EW24+(1-EXP(-LN(2)/25))/(LN(2)/25)*Calculateur!ER25*Calculateur!ET25*VLOOKUP('Données projet'!$B$15,Paramètres!$A$1:$I$89,3,0)*0.475*44/12</f>
        <v>0</v>
      </c>
      <c r="EX25" s="23">
        <f>EXP(-LN(2)/2)*EX24+(1-EXP(-LN(2)/2))/(LN(2)/2)*ER25*EU25*VLOOKUP('Données projet'!$B$15,Paramètres!$A$1:$I$89,3,0)*0.475*44/12</f>
        <v>0</v>
      </c>
      <c r="EY25" s="24">
        <f t="shared" si="21"/>
        <v>0</v>
      </c>
      <c r="EZ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7.2</v>
      </c>
      <c r="FE25" s="13">
        <f>IF('Données projet'!$A$218&gt;35,FE24+FD25-FM24,IF(A25&lt;'Données projet'!$A$218,$FB$205^A25,IF(A25='Données projet'!$A$218,'Données projet'!$B$218,FE24+FD25-FM24)))</f>
        <v>87.4</v>
      </c>
      <c r="FF25" s="18">
        <f>FE25*VLOOKUP('Données projet'!$B$16,Paramètres!$A$1:$I$89,3,0)*VLOOKUP('Données projet'!$B$16,Paramètres!$A$1:$I$89,5,0)</f>
        <v>84.533280000000005</v>
      </c>
      <c r="FG25" s="14">
        <f t="shared" si="47"/>
        <v>23.242014012893971</v>
      </c>
      <c r="FH25" s="22">
        <f t="shared" si="22"/>
        <v>187.70863707245701</v>
      </c>
      <c r="FI25" s="60">
        <f t="shared" si="23"/>
        <v>408.88955097592543</v>
      </c>
      <c r="FJ25" s="60">
        <f ca="1">AVERAGE(OFFSET($FI$3,0,0,'Données projet'!$E$16+1,1))-AVERAGE(OFFSET($H$3,0,0,'Données projet'!$E$16+1,1))</f>
        <v>603.52431522262032</v>
      </c>
      <c r="FK25" s="60">
        <f t="shared" si="48"/>
        <v>313.56299786481338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>
        <f>EXP(-LN(2)/35)*FQ24+(1-EXP(-LN(2)/35))/(LN(2)/35)*FM25*FN25*VLOOKUP('Données projet'!$B$16,Paramètres!$A$1:$I$89,3,0)*0.475*44/12</f>
        <v>0</v>
      </c>
      <c r="FR25" s="23">
        <f>EXP(-LN(2)/25)*FR24+(1-EXP(-LN(2)/25))/(LN(2)/25)*Calculateur!FM25*Calculateur!FO25*VLOOKUP('Données projet'!$B$16,Paramètres!$A$1:$I$89,3,0)*0.475*44/12</f>
        <v>0</v>
      </c>
      <c r="FS25" s="23">
        <f>EXP(-LN(2)/2)*FS24+(1-EXP(-LN(2)/2))/(LN(2)/2)*FM25*FP25*VLOOKUP('Données projet'!$B$16,Paramètres!$A$1:$I$89,3,0)*0.475*44/12</f>
        <v>0</v>
      </c>
      <c r="FT25" s="24">
        <f t="shared" si="24"/>
        <v>0</v>
      </c>
      <c r="FU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9.7435897435897427</v>
      </c>
      <c r="FZ25" s="13">
        <f>IF('Données projet'!$A$244&gt;35,FZ24+FY25-GH24,IF(A25&lt;'Données projet'!$A$244,$FW$205^A25,IF(A25='Données projet'!$A$244,'Données projet'!$B$244,FZ24+FY25-GH24)))</f>
        <v>108.58974358974359</v>
      </c>
      <c r="GA25" s="18">
        <f>FZ25*VLOOKUP('Données projet'!$B$17,Paramètres!$A$1:$I$89,3,0)*VLOOKUP('Données projet'!$B$17,Paramètres!$A$1:$I$89,5,0)</f>
        <v>72.841999999999999</v>
      </c>
      <c r="GB25" s="14">
        <f t="shared" si="49"/>
        <v>20.377583329250708</v>
      </c>
      <c r="GC25" s="22">
        <f t="shared" si="25"/>
        <v>162.35744096511164</v>
      </c>
      <c r="GD25" s="60">
        <f t="shared" si="26"/>
        <v>383.53835486858003</v>
      </c>
      <c r="GE25" s="60">
        <f ca="1">AVERAGE(OFFSET($GD$3,0,0,'Données projet'!$E$17+1,1))-AVERAGE(OFFSET($H$3,0,0,'Données projet'!$E$17+1,1))</f>
        <v>396.0878652679051</v>
      </c>
      <c r="GF25" s="60">
        <f t="shared" si="50"/>
        <v>327.26339199235406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>
        <f>EXP(-LN(2)/35)*GL24+(1-EXP(-LN(2)/35))/(LN(2)/35)*GH25*GI25*VLOOKUP('Données projet'!$B$17,Paramètres!$A$1:$I$89,3,0)*0.475*44/12</f>
        <v>0</v>
      </c>
      <c r="GM25" s="23">
        <f>EXP(-LN(2)/25)*GM24+(1-EXP(-LN(2)/25))/(LN(2)/25)*Calculateur!GH25*Calculateur!GJ25*VLOOKUP('Données projet'!$B$17,Paramètres!$A$1:$I$89,3,0)*0.475*44/12</f>
        <v>0</v>
      </c>
      <c r="GN25" s="23">
        <f>EXP(-LN(2)/2)*GN24+(1-EXP(-LN(2)/2))/(LN(2)/2)*GH25*GK25*VLOOKUP('Données projet'!$B$17,Paramètres!$A$1:$I$89,3,0)*0.475*44/12</f>
        <v>0</v>
      </c>
      <c r="GO25" s="23">
        <f t="shared" si="27"/>
        <v>0</v>
      </c>
      <c r="GP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8.6</v>
      </c>
      <c r="GU25" s="13">
        <f>IF('Données projet'!$A$270&gt;35,GU24+GT25-HC24,IF(A25&lt;'Données projet'!$A$270,$GR$205^A25,IF(A25='Données projet'!$A$270,'Données projet'!$B$270,GU24+GT25-HC24)))</f>
        <v>76.199999999999989</v>
      </c>
      <c r="GV25" s="18">
        <f>GU25*VLOOKUP('Données projet'!$B$18,Paramètres!$A$1:$I$89,3,0)*VLOOKUP('Données projet'!$B$18,Paramètres!$A$1:$I$89,5,0)</f>
        <v>61.813439999999993</v>
      </c>
      <c r="GW25" s="14">
        <f t="shared" si="51"/>
        <v>17.625965961121132</v>
      </c>
      <c r="GX25" s="22">
        <f t="shared" si="28"/>
        <v>138.35696538228595</v>
      </c>
      <c r="GY25" s="60">
        <f t="shared" si="29"/>
        <v>359.53787928575434</v>
      </c>
      <c r="GZ25" s="60">
        <f ca="1">AVERAGE(OFFSET($GY$3,0,0,'Données projet'!$E$18+1,1))-AVERAGE(OFFSET($H$3,0,0,'Données projet'!$E$18+1,1))</f>
        <v>272.69564942740931</v>
      </c>
      <c r="HA25" s="60">
        <f t="shared" si="52"/>
        <v>316.57989180609252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>
        <f>EXP(-LN(2)/35)*HG24+(1-EXP(-LN(2)/35))/(LN(2)/35)*HC25*HD25*VLOOKUP('Données projet'!$B$18,Paramètres!$A$1:$I$89,3,0)*0.475*44/12</f>
        <v>0</v>
      </c>
      <c r="HH25" s="23">
        <f>EXP(-LN(2)/25)*HH24+(1-EXP(-LN(2)/25))/(LN(2)/25)*Calculateur!HC25*Calculateur!HE25*VLOOKUP('Données projet'!$B$18,Paramètres!$A$1:$I$89,3,0)*0.475*44/12</f>
        <v>0</v>
      </c>
      <c r="HI25" s="23">
        <f>EXP(-LN(2)/2)*HI24+(1-EXP(-LN(2)/2))/(LN(2)/2)*HC25*HF25*VLOOKUP('Données projet'!$B$18,Paramètres!$A$1:$I$89,3,0)*0.475*44/12</f>
        <v>0</v>
      </c>
      <c r="HJ25" s="24">
        <f t="shared" si="30"/>
        <v>0</v>
      </c>
    </row>
    <row r="26" spans="1:218" s="5" customFormat="1" x14ac:dyDescent="0.25">
      <c r="A26" s="11">
        <f t="shared" si="31"/>
        <v>23</v>
      </c>
      <c r="B26" s="75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8">
        <f t="shared" si="1"/>
        <v>183.33333333333334</v>
      </c>
      <c r="I26" s="7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7.2</v>
      </c>
      <c r="N26" s="14">
        <f>IF('Données projet'!$A$36&gt;35,N25+M26-V25,IF(A26&lt;'Données projet'!$A$36,$K$205^A26,IF(A26='Données projet'!$A$36,'Données projet'!$B$36,N25+M26-V25)))</f>
        <v>94.600000000000009</v>
      </c>
      <c r="O26" s="14">
        <f>N26*VLOOKUP('Données projet'!$B$9,Paramètres!$A$1:$I$89,3,0)*VLOOKUP('Données projet'!$B$9,Paramètres!$A$1:$I$89,5,0)</f>
        <v>85.594080000000005</v>
      </c>
      <c r="P26" s="14">
        <f t="shared" si="33"/>
        <v>23.499539031833248</v>
      </c>
      <c r="Q26" s="22">
        <f t="shared" si="2"/>
        <v>190.00471981377623</v>
      </c>
      <c r="R26" s="60">
        <f t="shared" si="0"/>
        <v>413.48991652332273</v>
      </c>
      <c r="S26" s="60">
        <f ca="1">AVERAGE(OFFSET($R$3,0,0,'Données projet'!$E$9+1,1))-AVERAGE(OFFSET($H$3,0,0,'Données projet'!$E$9+1,1))</f>
        <v>570.08763950759544</v>
      </c>
      <c r="T26" s="60">
        <f t="shared" si="34"/>
        <v>297.32483725004136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14.739999999999998</v>
      </c>
      <c r="AI26" s="14">
        <f>IF('Données projet'!$A$62&gt;35,AI25+AH26-AQ25,IF(A26&lt;'Données projet'!$A$62,$AF$205^A26,IF(A26='Données projet'!$A$62,'Données projet'!$B$62,AI25+AH26-AQ25)))</f>
        <v>111.02000000000001</v>
      </c>
      <c r="AJ26" s="14">
        <f>AI26*VLOOKUP('Données projet'!$B$10,Paramètres!$A$1:$I$89,3,0)*VLOOKUP('Données projet'!$B$10,Paramètres!$A$1:$I$89,5,0)</f>
        <v>88.327512000000013</v>
      </c>
      <c r="AK26" s="14">
        <f t="shared" si="35"/>
        <v>24.161421859810599</v>
      </c>
      <c r="AL26" s="22">
        <f t="shared" si="4"/>
        <v>195.91822647250351</v>
      </c>
      <c r="AM26" s="60">
        <f t="shared" si="5"/>
        <v>419.40342318205001</v>
      </c>
      <c r="AN26" s="60">
        <f ca="1">AVERAGE(OFFSET($AM$3,0,0,'Données projet'!$E$10+1,1))-AVERAGE(OFFSET($H$3,0,0,'Données projet'!$E$10+1,1))</f>
        <v>394.49874384716014</v>
      </c>
      <c r="AO26" s="60">
        <f t="shared" si="36"/>
        <v>423.72519584013378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12.500000000000002</v>
      </c>
      <c r="BD26" s="13">
        <f>IF('Données projet'!$A$88&gt;35,BD25+BC26-BL25,IF(A26&lt;'Données projet'!$A$88,$BA$205^A26,IF(A26='Données projet'!$A$88,'Données projet'!$B$88,BD25+BC26-BL25)))</f>
        <v>89.5</v>
      </c>
      <c r="BE26" s="14">
        <f>BD26*VLOOKUP('Données projet'!$B$11,Paramètres!$A$1:$I$89,3,0)*VLOOKUP('Données projet'!$B$11,Paramètres!$A$1:$I$89,5,0)</f>
        <v>78.187200000000004</v>
      </c>
      <c r="BF26" s="14">
        <f t="shared" si="37"/>
        <v>21.693355566332489</v>
      </c>
      <c r="BG26" s="22">
        <f t="shared" si="7"/>
        <v>173.95863427802908</v>
      </c>
      <c r="BH26" s="60">
        <f t="shared" si="8"/>
        <v>397.44383098757555</v>
      </c>
      <c r="BI26" s="60">
        <f ca="1">AVERAGE(OFFSET($BH$3,0,0,'Données projet'!$E$11+1,1))-AVERAGE(OFFSET($H$3,0,0,'Données projet'!$E$11+1,1))</f>
        <v>363.28611056308665</v>
      </c>
      <c r="BJ26" s="60">
        <f t="shared" si="38"/>
        <v>389.43647559455974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7.5641025641025639</v>
      </c>
      <c r="BY26" s="13">
        <f>IF('Données projet'!$A$114&gt;35,BY25+BX26-CG25,IF(A26&lt;'Données projet'!$A$114,$BV$205^A26,IF(A26='Données projet'!$A$114,'Données projet'!$B$114,BY25+BX26-CG25)))</f>
        <v>107.30769230769231</v>
      </c>
      <c r="BZ26" s="14">
        <f>BY26*VLOOKUP('Données projet'!$B$12,Paramètres!$A$1:$I$89,3,0)*VLOOKUP('Données projet'!$B$12,Paramètres!$A$1:$I$89,5,0)</f>
        <v>102.114</v>
      </c>
      <c r="CA26" s="14">
        <f t="shared" si="39"/>
        <v>27.465014076024996</v>
      </c>
      <c r="CB26" s="22">
        <f t="shared" si="10"/>
        <v>225.68344951574352</v>
      </c>
      <c r="CC26" s="60">
        <f t="shared" si="11"/>
        <v>449.16864622528999</v>
      </c>
      <c r="CD26" s="60">
        <f ca="1">AVERAGE(OFFSET($CC$3,0,0,'Données projet'!$E$12+1,1))-AVERAGE(OFFSET($H$3,0,0,'Données projet'!$E$12+1,1))</f>
        <v>441.15969139782891</v>
      </c>
      <c r="CE26" s="60">
        <f t="shared" si="40"/>
        <v>315.06466790224783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14.739999999999998</v>
      </c>
      <c r="CT26" s="13">
        <f>IF('Données projet'!$A$140&gt;35,CT25+CS26-DB25,IF(A26&lt;'Données projet'!$A$140,$CQ$205^A26,IF(A26='Données projet'!$A$140,'Données projet'!$B$140,CT25+CS26-DB25)))</f>
        <v>111.02000000000001</v>
      </c>
      <c r="CU26" s="18">
        <f>CT26*VLOOKUP('Données projet'!$B$13,Paramètres!$A$1:$I$89,3,0)*VLOOKUP('Données projet'!$B$13,Paramètres!$A$1:$I$89,5,0)</f>
        <v>81.399864000000008</v>
      </c>
      <c r="CV26" s="14">
        <f t="shared" si="41"/>
        <v>22.479111830915393</v>
      </c>
      <c r="CW26" s="22">
        <f t="shared" si="13"/>
        <v>180.92254957217764</v>
      </c>
      <c r="CX26" s="60">
        <f t="shared" si="14"/>
        <v>404.40774628172414</v>
      </c>
      <c r="CY26" s="60">
        <f ca="1">AVERAGE(OFFSET($CX$3,0,0,'Données projet'!$E$13+1,1))-AVERAGE(OFFSET($H$3,0,0,'Données projet'!$E$13+1,1))</f>
        <v>368.35775920359396</v>
      </c>
      <c r="CZ26" s="60">
        <f t="shared" si="42"/>
        <v>395.5218438652638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10.6</v>
      </c>
      <c r="DO26" s="13">
        <f>IF('Données projet'!$A$166&gt;35,DO25+DN26-DW25,IF(A26&lt;'Données projet'!$A$166,$DL$205^A26,IF(A26='Données projet'!$A$166,'Données projet'!$B$166,DO25+DN26-DW25)))</f>
        <v>119.79999999999997</v>
      </c>
      <c r="DP26" s="18">
        <f>DO26*VLOOKUP('Données projet'!$B$14,Paramètres!$A$1:$I$89,3,0)*VLOOKUP('Données projet'!$B$14,Paramètres!$A$1:$I$89,5,0)</f>
        <v>93.443999999999974</v>
      </c>
      <c r="DQ26" s="14">
        <f t="shared" si="43"/>
        <v>25.394010816431489</v>
      </c>
      <c r="DR26" s="22">
        <f t="shared" si="16"/>
        <v>206.97620217195148</v>
      </c>
      <c r="DS26" s="60">
        <f t="shared" si="17"/>
        <v>430.46139888149798</v>
      </c>
      <c r="DT26" s="60">
        <f ca="1">AVERAGE(OFFSET($DS$3,0,0,'Données projet'!$E$14+1,1))-AVERAGE(OFFSET($H$3,0,0,'Données projet'!$E$14+1,1))</f>
        <v>312.59632808777332</v>
      </c>
      <c r="DU26" s="60">
        <f t="shared" si="44"/>
        <v>302.59481222418219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2.8518518518518516</v>
      </c>
      <c r="EJ26" s="13">
        <f>IF('Données projet'!$A$192&gt;35,EJ25+EI26-ER25,IF(A26&lt;'Données projet'!$A$192,$EG$205^A26,IF(A26='Données projet'!$A$192,'Données projet'!$B$192,EJ25+EI26-ER25)))</f>
        <v>40.458578299039118</v>
      </c>
      <c r="EK26" s="18">
        <f>EJ26*VLOOKUP('Données projet'!$B$15,Paramètres!$A$1:$I$89,3,0)*VLOOKUP('Données projet'!$B$15,Paramètres!$A$1:$I$89,5,0)</f>
        <v>34.713460180575566</v>
      </c>
      <c r="EL26" s="14">
        <f t="shared" si="45"/>
        <v>10.586100538092712</v>
      </c>
      <c r="EM26" s="22">
        <f t="shared" si="19"/>
        <v>78.896734918347235</v>
      </c>
      <c r="EN26" s="60">
        <f t="shared" si="20"/>
        <v>302.38193162789372</v>
      </c>
      <c r="EO26" s="60">
        <f ca="1">AVERAGE(OFFSET($EN$3,0,0,'Données projet'!$E$15+1,1))-AVERAGE(OFFSET($H$3,0,0,'Données projet'!$E$15+1,1))</f>
        <v>478.11504516179713</v>
      </c>
      <c r="EP26" s="60">
        <f t="shared" si="46"/>
        <v>249.93713224442419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0</v>
      </c>
      <c r="EW26" s="23">
        <f>EXP(-LN(2)/25)*EW25+(1-EXP(-LN(2)/25))/(LN(2)/25)*Calculateur!ER26*Calculateur!ET26*VLOOKUP('Données projet'!$B$15,Paramètres!$A$1:$I$89,3,0)*0.475*44/12</f>
        <v>0</v>
      </c>
      <c r="EX26" s="23">
        <f>EXP(-LN(2)/2)*EX25+(1-EXP(-LN(2)/2))/(LN(2)/2)*ER26*EU26*VLOOKUP('Données projet'!$B$15,Paramètres!$A$1:$I$89,3,0)*0.475*44/12</f>
        <v>0</v>
      </c>
      <c r="EY26" s="24">
        <f t="shared" si="21"/>
        <v>0</v>
      </c>
      <c r="EZ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7.2</v>
      </c>
      <c r="FE26" s="13">
        <f>IF('Données projet'!$A$218&gt;35,FE25+FD26-FM25,IF(A26&lt;'Données projet'!$A$218,$FB$205^A26,IF(A26='Données projet'!$A$218,'Données projet'!$B$218,FE25+FD26-FM25)))</f>
        <v>94.600000000000009</v>
      </c>
      <c r="FF26" s="18">
        <f>FE26*VLOOKUP('Données projet'!$B$16,Paramètres!$A$1:$I$89,3,0)*VLOOKUP('Données projet'!$B$16,Paramètres!$A$1:$I$89,5,0)</f>
        <v>91.49712000000001</v>
      </c>
      <c r="FG26" s="14">
        <f t="shared" si="47"/>
        <v>24.925946867642839</v>
      </c>
      <c r="FH26" s="22">
        <f t="shared" si="22"/>
        <v>202.77017479447795</v>
      </c>
      <c r="FI26" s="60">
        <f t="shared" si="23"/>
        <v>426.25537150402442</v>
      </c>
      <c r="FJ26" s="60">
        <f ca="1">AVERAGE(OFFSET($FI$3,0,0,'Données projet'!$E$16+1,1))-AVERAGE(OFFSET($H$3,0,0,'Données projet'!$E$16+1,1))</f>
        <v>603.52431522262032</v>
      </c>
      <c r="FK26" s="60">
        <f t="shared" si="48"/>
        <v>313.56299786481338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>
        <f>EXP(-LN(2)/35)*FQ25+(1-EXP(-LN(2)/35))/(LN(2)/35)*FM26*FN26*VLOOKUP('Données projet'!$B$16,Paramètres!$A$1:$I$89,3,0)*0.475*44/12</f>
        <v>0</v>
      </c>
      <c r="FR26" s="23">
        <f>EXP(-LN(2)/25)*FR25+(1-EXP(-LN(2)/25))/(LN(2)/25)*Calculateur!FM26*Calculateur!FO26*VLOOKUP('Données projet'!$B$16,Paramètres!$A$1:$I$89,3,0)*0.475*44/12</f>
        <v>0</v>
      </c>
      <c r="FS26" s="23">
        <f>EXP(-LN(2)/2)*FS25+(1-EXP(-LN(2)/2))/(LN(2)/2)*FM26*FP26*VLOOKUP('Données projet'!$B$16,Paramètres!$A$1:$I$89,3,0)*0.475*44/12</f>
        <v>0</v>
      </c>
      <c r="FT26" s="24">
        <f t="shared" si="24"/>
        <v>0</v>
      </c>
      <c r="FU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9.7435897435897427</v>
      </c>
      <c r="FZ26" s="13">
        <f>IF('Données projet'!$A$244&gt;35,FZ25+FY26-GH25,IF(A26&lt;'Données projet'!$A$244,$FW$205^A26,IF(A26='Données projet'!$A$244,'Données projet'!$B$244,FZ25+FY26-GH25)))</f>
        <v>118.33333333333333</v>
      </c>
      <c r="GA26" s="18">
        <f>FZ26*VLOOKUP('Données projet'!$B$17,Paramètres!$A$1:$I$89,3,0)*VLOOKUP('Données projet'!$B$17,Paramètres!$A$1:$I$89,5,0)</f>
        <v>79.378</v>
      </c>
      <c r="GB26" s="14">
        <f t="shared" si="49"/>
        <v>21.985032877161519</v>
      </c>
      <c r="GC26" s="22">
        <f t="shared" si="25"/>
        <v>176.54061559438961</v>
      </c>
      <c r="GD26" s="60">
        <f t="shared" si="26"/>
        <v>400.02581230393611</v>
      </c>
      <c r="GE26" s="60">
        <f ca="1">AVERAGE(OFFSET($GD$3,0,0,'Données projet'!$E$17+1,1))-AVERAGE(OFFSET($H$3,0,0,'Données projet'!$E$17+1,1))</f>
        <v>396.0878652679051</v>
      </c>
      <c r="GF26" s="60">
        <f t="shared" si="50"/>
        <v>327.26339199235406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>
        <f>EXP(-LN(2)/35)*GL25+(1-EXP(-LN(2)/35))/(LN(2)/35)*GH26*GI26*VLOOKUP('Données projet'!$B$17,Paramètres!$A$1:$I$89,3,0)*0.475*44/12</f>
        <v>0</v>
      </c>
      <c r="GM26" s="23">
        <f>EXP(-LN(2)/25)*GM25+(1-EXP(-LN(2)/25))/(LN(2)/25)*Calculateur!GH26*Calculateur!GJ26*VLOOKUP('Données projet'!$B$17,Paramètres!$A$1:$I$89,3,0)*0.475*44/12</f>
        <v>0</v>
      </c>
      <c r="GN26" s="23">
        <f>EXP(-LN(2)/2)*GN25+(1-EXP(-LN(2)/2))/(LN(2)/2)*GH26*GK26*VLOOKUP('Données projet'!$B$17,Paramètres!$A$1:$I$89,3,0)*0.475*44/12</f>
        <v>0</v>
      </c>
      <c r="GO26" s="23">
        <f t="shared" si="27"/>
        <v>0</v>
      </c>
      <c r="GP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8.6</v>
      </c>
      <c r="GU26" s="13">
        <f>IF('Données projet'!$A$270&gt;35,GU25+GT26-HC25,IF(A26&lt;'Données projet'!$A$270,$GR$205^A26,IF(A26='Données projet'!$A$270,'Données projet'!$B$270,GU25+GT26-HC25)))</f>
        <v>84.799999999999983</v>
      </c>
      <c r="GV26" s="18">
        <f>GU26*VLOOKUP('Données projet'!$B$18,Paramètres!$A$1:$I$89,3,0)*VLOOKUP('Données projet'!$B$18,Paramètres!$A$1:$I$89,5,0)</f>
        <v>68.789759999999987</v>
      </c>
      <c r="GW26" s="14">
        <f t="shared" si="51"/>
        <v>19.372607944380292</v>
      </c>
      <c r="GX26" s="22">
        <f t="shared" si="28"/>
        <v>153.54945750312899</v>
      </c>
      <c r="GY26" s="60">
        <f t="shared" si="29"/>
        <v>377.03465421267549</v>
      </c>
      <c r="GZ26" s="60">
        <f ca="1">AVERAGE(OFFSET($GY$3,0,0,'Données projet'!$E$18+1,1))-AVERAGE(OFFSET($H$3,0,0,'Données projet'!$E$18+1,1))</f>
        <v>272.69564942740931</v>
      </c>
      <c r="HA26" s="60">
        <f t="shared" si="52"/>
        <v>316.57989180609252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>
        <f>EXP(-LN(2)/35)*HG25+(1-EXP(-LN(2)/35))/(LN(2)/35)*HC26*HD26*VLOOKUP('Données projet'!$B$18,Paramètres!$A$1:$I$89,3,0)*0.475*44/12</f>
        <v>0</v>
      </c>
      <c r="HH26" s="23">
        <f>EXP(-LN(2)/25)*HH25+(1-EXP(-LN(2)/25))/(LN(2)/25)*Calculateur!HC26*Calculateur!HE26*VLOOKUP('Données projet'!$B$18,Paramètres!$A$1:$I$89,3,0)*0.475*44/12</f>
        <v>0</v>
      </c>
      <c r="HI26" s="23">
        <f>EXP(-LN(2)/2)*HI25+(1-EXP(-LN(2)/2))/(LN(2)/2)*HC26*HF26*VLOOKUP('Données projet'!$B$18,Paramètres!$A$1:$I$89,3,0)*0.475*44/12</f>
        <v>0</v>
      </c>
      <c r="HJ26" s="24">
        <f t="shared" si="30"/>
        <v>0</v>
      </c>
    </row>
    <row r="27" spans="1:218" s="5" customFormat="1" x14ac:dyDescent="0.25">
      <c r="A27" s="11">
        <f t="shared" si="31"/>
        <v>24</v>
      </c>
      <c r="B27" s="75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8">
        <f t="shared" si="1"/>
        <v>183.33333333333334</v>
      </c>
      <c r="I27" s="7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7.2</v>
      </c>
      <c r="N27" s="14">
        <f>IF('Données projet'!$A$36&gt;35,N26+M27-V26,IF(A27&lt;'Données projet'!$A$36,$K$205^A27,IF(A27='Données projet'!$A$36,'Données projet'!$B$36,N26+M27-V26)))</f>
        <v>101.80000000000001</v>
      </c>
      <c r="O27" s="14">
        <f>N27*VLOOKUP('Données projet'!$B$9,Paramètres!$A$1:$I$89,3,0)*VLOOKUP('Données projet'!$B$9,Paramètres!$A$1:$I$89,5,0)</f>
        <v>92.108640000000008</v>
      </c>
      <c r="P27" s="14">
        <f t="shared" si="33"/>
        <v>25.073090701604293</v>
      </c>
      <c r="Q27" s="22">
        <f t="shared" si="2"/>
        <v>204.09151430529414</v>
      </c>
      <c r="R27" s="60">
        <f t="shared" si="0"/>
        <v>429.86222248891397</v>
      </c>
      <c r="S27" s="60">
        <f ca="1">AVERAGE(OFFSET($R$3,0,0,'Données projet'!$E$9+1,1))-AVERAGE(OFFSET($H$3,0,0,'Données projet'!$E$9+1,1))</f>
        <v>570.08763950759544</v>
      </c>
      <c r="T27" s="60">
        <f t="shared" si="34"/>
        <v>297.32483725004136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14.739999999999998</v>
      </c>
      <c r="AI27" s="14">
        <f>IF('Données projet'!$A$62&gt;35,AI26+AH27-AQ26,IF(A27&lt;'Données projet'!$A$62,$AF$205^A27,IF(A27='Données projet'!$A$62,'Données projet'!$B$62,AI26+AH27-AQ26)))</f>
        <v>125.76</v>
      </c>
      <c r="AJ27" s="14">
        <f>AI27*VLOOKUP('Données projet'!$B$10,Paramètres!$A$1:$I$89,3,0)*VLOOKUP('Données projet'!$B$10,Paramètres!$A$1:$I$89,5,0)</f>
        <v>100.05465600000001</v>
      </c>
      <c r="AK27" s="14">
        <f t="shared" si="35"/>
        <v>26.97501817255089</v>
      </c>
      <c r="AL27" s="22">
        <f t="shared" si="4"/>
        <v>221.24334918385946</v>
      </c>
      <c r="AM27" s="60">
        <f t="shared" si="5"/>
        <v>447.01405736747927</v>
      </c>
      <c r="AN27" s="60">
        <f ca="1">AVERAGE(OFFSET($AM$3,0,0,'Données projet'!$E$10+1,1))-AVERAGE(OFFSET($H$3,0,0,'Données projet'!$E$10+1,1))</f>
        <v>394.49874384716014</v>
      </c>
      <c r="AO27" s="60">
        <f t="shared" si="36"/>
        <v>423.72519584013378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12.500000000000002</v>
      </c>
      <c r="BD27" s="13">
        <f>IF('Données projet'!$A$88&gt;35,BD26+BC27-BL26,IF(A27&lt;'Données projet'!$A$88,$BA$205^A27,IF(A27='Données projet'!$A$88,'Données projet'!$B$88,BD26+BC27-BL26)))</f>
        <v>102</v>
      </c>
      <c r="BE27" s="14">
        <f>BD27*VLOOKUP('Données projet'!$B$11,Paramètres!$A$1:$I$89,3,0)*VLOOKUP('Données projet'!$B$11,Paramètres!$A$1:$I$89,5,0)</f>
        <v>89.107200000000006</v>
      </c>
      <c r="BF27" s="14">
        <f t="shared" si="37"/>
        <v>24.349778356363352</v>
      </c>
      <c r="BG27" s="22">
        <f t="shared" si="7"/>
        <v>197.6042373039995</v>
      </c>
      <c r="BH27" s="60">
        <f t="shared" si="8"/>
        <v>423.3749454876193</v>
      </c>
      <c r="BI27" s="60">
        <f ca="1">AVERAGE(OFFSET($BH$3,0,0,'Données projet'!$E$11+1,1))-AVERAGE(OFFSET($H$3,0,0,'Données projet'!$E$11+1,1))</f>
        <v>363.28611056308665</v>
      </c>
      <c r="BJ27" s="60">
        <f t="shared" si="38"/>
        <v>389.43647559455974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7.5641025641025639</v>
      </c>
      <c r="BY27" s="13">
        <f>IF('Données projet'!$A$114&gt;35,BY26+BX27-CG26,IF(A27&lt;'Données projet'!$A$114,$BV$205^A27,IF(A27='Données projet'!$A$114,'Données projet'!$B$114,BY26+BX27-CG26)))</f>
        <v>114.87179487179488</v>
      </c>
      <c r="BZ27" s="14">
        <f>BY27*VLOOKUP('Données projet'!$B$12,Paramètres!$A$1:$I$89,3,0)*VLOOKUP('Données projet'!$B$12,Paramètres!$A$1:$I$89,5,0)</f>
        <v>109.31200000000001</v>
      </c>
      <c r="CA27" s="14">
        <f t="shared" si="39"/>
        <v>29.168827262472544</v>
      </c>
      <c r="CB27" s="22">
        <f t="shared" si="10"/>
        <v>241.18744081547302</v>
      </c>
      <c r="CC27" s="60">
        <f t="shared" si="11"/>
        <v>466.95814899909283</v>
      </c>
      <c r="CD27" s="60">
        <f ca="1">AVERAGE(OFFSET($CC$3,0,0,'Données projet'!$E$12+1,1))-AVERAGE(OFFSET($H$3,0,0,'Données projet'!$E$12+1,1))</f>
        <v>441.15969139782891</v>
      </c>
      <c r="CE27" s="60">
        <f t="shared" si="40"/>
        <v>315.06466790224783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14.739999999999998</v>
      </c>
      <c r="CT27" s="13">
        <f>IF('Données projet'!$A$140&gt;35,CT26+CS27-DB26,IF(A27&lt;'Données projet'!$A$140,$CQ$205^A27,IF(A27='Données projet'!$A$140,'Données projet'!$B$140,CT26+CS27-DB26)))</f>
        <v>125.76</v>
      </c>
      <c r="CU27" s="18">
        <f>CT27*VLOOKUP('Données projet'!$B$13,Paramètres!$A$1:$I$89,3,0)*VLOOKUP('Données projet'!$B$13,Paramètres!$A$1:$I$89,5,0)</f>
        <v>92.207232000000005</v>
      </c>
      <c r="CV27" s="14">
        <f t="shared" si="41"/>
        <v>25.096803228719384</v>
      </c>
      <c r="CW27" s="22">
        <f t="shared" si="13"/>
        <v>204.3045280233529</v>
      </c>
      <c r="CX27" s="60">
        <f t="shared" si="14"/>
        <v>430.0752362069727</v>
      </c>
      <c r="CY27" s="60">
        <f ca="1">AVERAGE(OFFSET($CX$3,0,0,'Données projet'!$E$13+1,1))-AVERAGE(OFFSET($H$3,0,0,'Données projet'!$E$13+1,1))</f>
        <v>368.35775920359396</v>
      </c>
      <c r="CZ27" s="60">
        <f t="shared" si="42"/>
        <v>395.5218438652638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10.6</v>
      </c>
      <c r="DO27" s="13">
        <f>IF('Données projet'!$A$166&gt;35,DO26+DN27-DW26,IF(A27&lt;'Données projet'!$A$166,$DL$205^A27,IF(A27='Données projet'!$A$166,'Données projet'!$B$166,DO26+DN27-DW26)))</f>
        <v>130.39999999999998</v>
      </c>
      <c r="DP27" s="18">
        <f>DO27*VLOOKUP('Données projet'!$B$14,Paramètres!$A$1:$I$89,3,0)*VLOOKUP('Données projet'!$B$14,Paramètres!$A$1:$I$89,5,0)</f>
        <v>101.71199999999999</v>
      </c>
      <c r="DQ27" s="14">
        <f t="shared" si="43"/>
        <v>27.369454120725656</v>
      </c>
      <c r="DR27" s="22">
        <f t="shared" si="16"/>
        <v>224.81686592693052</v>
      </c>
      <c r="DS27" s="60">
        <f t="shared" si="17"/>
        <v>450.58757411055035</v>
      </c>
      <c r="DT27" s="60">
        <f ca="1">AVERAGE(OFFSET($DS$3,0,0,'Données projet'!$E$14+1,1))-AVERAGE(OFFSET($H$3,0,0,'Données projet'!$E$14+1,1))</f>
        <v>312.59632808777332</v>
      </c>
      <c r="DU27" s="60">
        <f t="shared" si="44"/>
        <v>302.59481222418219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2.8518518518518516</v>
      </c>
      <c r="EJ27" s="13">
        <f>IF('Données projet'!$A$192&gt;35,EJ26+EI27-ER26,IF(A27&lt;'Données projet'!$A$192,$EG$205^A27,IF(A27='Données projet'!$A$192,'Données projet'!$B$192,EJ26+EI27-ER26)))</f>
        <v>47.520460942750645</v>
      </c>
      <c r="EK27" s="18">
        <f>EJ27*VLOOKUP('Données projet'!$B$15,Paramètres!$A$1:$I$89,3,0)*VLOOKUP('Données projet'!$B$15,Paramètres!$A$1:$I$89,5,0)</f>
        <v>40.772555488880059</v>
      </c>
      <c r="EL27" s="14">
        <f t="shared" si="45"/>
        <v>12.203184290884069</v>
      </c>
      <c r="EM27" s="22">
        <f t="shared" si="19"/>
        <v>92.266080116422515</v>
      </c>
      <c r="EN27" s="60">
        <f t="shared" si="20"/>
        <v>318.0367883000423</v>
      </c>
      <c r="EO27" s="60">
        <f ca="1">AVERAGE(OFFSET($EN$3,0,0,'Données projet'!$E$15+1,1))-AVERAGE(OFFSET($H$3,0,0,'Données projet'!$E$15+1,1))</f>
        <v>478.11504516179713</v>
      </c>
      <c r="EP27" s="60">
        <f t="shared" si="46"/>
        <v>249.93713224442419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0</v>
      </c>
      <c r="EW27" s="23">
        <f>EXP(-LN(2)/25)*EW26+(1-EXP(-LN(2)/25))/(LN(2)/25)*Calculateur!ER27*Calculateur!ET27*VLOOKUP('Données projet'!$B$15,Paramètres!$A$1:$I$89,3,0)*0.475*44/12</f>
        <v>0</v>
      </c>
      <c r="EX27" s="23">
        <f>EXP(-LN(2)/2)*EX26+(1-EXP(-LN(2)/2))/(LN(2)/2)*ER27*EU27*VLOOKUP('Données projet'!$B$15,Paramètres!$A$1:$I$89,3,0)*0.475*44/12</f>
        <v>0</v>
      </c>
      <c r="EY27" s="24">
        <f t="shared" si="21"/>
        <v>0</v>
      </c>
      <c r="EZ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7.2</v>
      </c>
      <c r="FE27" s="13">
        <f>IF('Données projet'!$A$218&gt;35,FE26+FD27-FM26,IF(A27&lt;'Données projet'!$A$218,$FB$205^A27,IF(A27='Données projet'!$A$218,'Données projet'!$B$218,FE26+FD27-FM26)))</f>
        <v>101.80000000000001</v>
      </c>
      <c r="FF27" s="18">
        <f>FE27*VLOOKUP('Données projet'!$B$16,Paramètres!$A$1:$I$89,3,0)*VLOOKUP('Données projet'!$B$16,Paramètres!$A$1:$I$89,5,0)</f>
        <v>98.460960000000014</v>
      </c>
      <c r="FG27" s="14">
        <f t="shared" si="47"/>
        <v>26.595012174033403</v>
      </c>
      <c r="FH27" s="22">
        <f t="shared" si="22"/>
        <v>217.80581820310817</v>
      </c>
      <c r="FI27" s="60">
        <f t="shared" si="23"/>
        <v>443.57652638672801</v>
      </c>
      <c r="FJ27" s="60">
        <f ca="1">AVERAGE(OFFSET($FI$3,0,0,'Données projet'!$E$16+1,1))-AVERAGE(OFFSET($H$3,0,0,'Données projet'!$E$16+1,1))</f>
        <v>603.52431522262032</v>
      </c>
      <c r="FK27" s="60">
        <f t="shared" si="48"/>
        <v>313.56299786481338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>
        <f>EXP(-LN(2)/35)*FQ26+(1-EXP(-LN(2)/35))/(LN(2)/35)*FM27*FN27*VLOOKUP('Données projet'!$B$16,Paramètres!$A$1:$I$89,3,0)*0.475*44/12</f>
        <v>0</v>
      </c>
      <c r="FR27" s="23">
        <f>EXP(-LN(2)/25)*FR26+(1-EXP(-LN(2)/25))/(LN(2)/25)*Calculateur!FM27*Calculateur!FO27*VLOOKUP('Données projet'!$B$16,Paramètres!$A$1:$I$89,3,0)*0.475*44/12</f>
        <v>0</v>
      </c>
      <c r="FS27" s="23">
        <f>EXP(-LN(2)/2)*FS26+(1-EXP(-LN(2)/2))/(LN(2)/2)*FM27*FP27*VLOOKUP('Données projet'!$B$16,Paramètres!$A$1:$I$89,3,0)*0.475*44/12</f>
        <v>0</v>
      </c>
      <c r="FT27" s="24">
        <f t="shared" si="24"/>
        <v>0</v>
      </c>
      <c r="FU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9.7435897435897427</v>
      </c>
      <c r="FZ27" s="13">
        <f>IF('Données projet'!$A$244&gt;35,FZ26+FY27-GH26,IF(A27&lt;'Données projet'!$A$244,$FW$205^A27,IF(A27='Données projet'!$A$244,'Données projet'!$B$244,FZ26+FY27-GH26)))</f>
        <v>128.07692307692307</v>
      </c>
      <c r="GA27" s="18">
        <f>FZ27*VLOOKUP('Données projet'!$B$17,Paramètres!$A$1:$I$89,3,0)*VLOOKUP('Données projet'!$B$17,Paramètres!$A$1:$I$89,5,0)</f>
        <v>85.914000000000001</v>
      </c>
      <c r="GB27" s="14">
        <f t="shared" si="49"/>
        <v>23.577131284709758</v>
      </c>
      <c r="GC27" s="22">
        <f t="shared" si="25"/>
        <v>190.69705365420279</v>
      </c>
      <c r="GD27" s="60">
        <f t="shared" si="26"/>
        <v>416.46776183782259</v>
      </c>
      <c r="GE27" s="60">
        <f ca="1">AVERAGE(OFFSET($GD$3,0,0,'Données projet'!$E$17+1,1))-AVERAGE(OFFSET($H$3,0,0,'Données projet'!$E$17+1,1))</f>
        <v>396.0878652679051</v>
      </c>
      <c r="GF27" s="60">
        <f t="shared" si="50"/>
        <v>327.26339199235406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>
        <f>EXP(-LN(2)/35)*GL26+(1-EXP(-LN(2)/35))/(LN(2)/35)*GH27*GI27*VLOOKUP('Données projet'!$B$17,Paramètres!$A$1:$I$89,3,0)*0.475*44/12</f>
        <v>0</v>
      </c>
      <c r="GM27" s="23">
        <f>EXP(-LN(2)/25)*GM26+(1-EXP(-LN(2)/25))/(LN(2)/25)*Calculateur!GH27*Calculateur!GJ27*VLOOKUP('Données projet'!$B$17,Paramètres!$A$1:$I$89,3,0)*0.475*44/12</f>
        <v>0</v>
      </c>
      <c r="GN27" s="23">
        <f>EXP(-LN(2)/2)*GN26+(1-EXP(-LN(2)/2))/(LN(2)/2)*GH27*GK27*VLOOKUP('Données projet'!$B$17,Paramètres!$A$1:$I$89,3,0)*0.475*44/12</f>
        <v>0</v>
      </c>
      <c r="GO27" s="23">
        <f t="shared" si="27"/>
        <v>0</v>
      </c>
      <c r="GP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8.6</v>
      </c>
      <c r="GU27" s="13">
        <f>IF('Données projet'!$A$270&gt;35,GU26+GT27-HC26,IF(A27&lt;'Données projet'!$A$270,$GR$205^A27,IF(A27='Données projet'!$A$270,'Données projet'!$B$270,GU26+GT27-HC26)))</f>
        <v>93.399999999999977</v>
      </c>
      <c r="GV27" s="18">
        <f>GU27*VLOOKUP('Données projet'!$B$18,Paramètres!$A$1:$I$89,3,0)*VLOOKUP('Données projet'!$B$18,Paramètres!$A$1:$I$89,5,0)</f>
        <v>75.766079999999988</v>
      </c>
      <c r="GW27" s="14">
        <f t="shared" si="51"/>
        <v>21.09871541273251</v>
      </c>
      <c r="GX27" s="22">
        <f t="shared" si="28"/>
        <v>168.70618534384241</v>
      </c>
      <c r="GY27" s="60">
        <f t="shared" si="29"/>
        <v>394.47689352746221</v>
      </c>
      <c r="GZ27" s="60">
        <f ca="1">AVERAGE(OFFSET($GY$3,0,0,'Données projet'!$E$18+1,1))-AVERAGE(OFFSET($H$3,0,0,'Données projet'!$E$18+1,1))</f>
        <v>272.69564942740931</v>
      </c>
      <c r="HA27" s="60">
        <f t="shared" si="52"/>
        <v>316.57989180609252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>
        <f>EXP(-LN(2)/35)*HG26+(1-EXP(-LN(2)/35))/(LN(2)/35)*HC27*HD27*VLOOKUP('Données projet'!$B$18,Paramètres!$A$1:$I$89,3,0)*0.475*44/12</f>
        <v>0</v>
      </c>
      <c r="HH27" s="23">
        <f>EXP(-LN(2)/25)*HH26+(1-EXP(-LN(2)/25))/(LN(2)/25)*Calculateur!HC27*Calculateur!HE27*VLOOKUP('Données projet'!$B$18,Paramètres!$A$1:$I$89,3,0)*0.475*44/12</f>
        <v>0</v>
      </c>
      <c r="HI27" s="23">
        <f>EXP(-LN(2)/2)*HI26+(1-EXP(-LN(2)/2))/(LN(2)/2)*HC27*HF27*VLOOKUP('Données projet'!$B$18,Paramètres!$A$1:$I$89,3,0)*0.475*44/12</f>
        <v>0</v>
      </c>
      <c r="HJ27" s="24">
        <f t="shared" si="30"/>
        <v>0</v>
      </c>
    </row>
    <row r="28" spans="1:218" s="5" customFormat="1" x14ac:dyDescent="0.25">
      <c r="A28" s="11">
        <f t="shared" si="31"/>
        <v>25</v>
      </c>
      <c r="B28" s="75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8">
        <f t="shared" si="1"/>
        <v>183.33333333333334</v>
      </c>
      <c r="I28" s="7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109</v>
      </c>
      <c r="L28" s="13">
        <f>VLOOKUP(A28,'Données projet'!$A$35:$I$55,9,0)</f>
        <v>7.2</v>
      </c>
      <c r="M28" s="13">
        <f t="array" ref="M28">INDEX(L:L,MIN(IF(ISNUMBER(L28:L224),ROW(L28:L224),"")))</f>
        <v>7.2</v>
      </c>
      <c r="N28" s="14">
        <f>IF('Données projet'!$A$36&gt;35,N27+M28-V27,IF(A28&lt;'Données projet'!$A$36,$K$205^A28,IF(A28='Données projet'!$A$36,'Données projet'!$B$36,N27+M28-V27)))</f>
        <v>109.00000000000001</v>
      </c>
      <c r="O28" s="14">
        <f>N28*VLOOKUP('Données projet'!$B$9,Paramètres!$A$1:$I$89,3,0)*VLOOKUP('Données projet'!$B$9,Paramètres!$A$1:$I$89,5,0)</f>
        <v>98.623200000000011</v>
      </c>
      <c r="P28" s="14">
        <f t="shared" si="33"/>
        <v>26.633729748944933</v>
      </c>
      <c r="Q28" s="22">
        <f t="shared" si="2"/>
        <v>218.15581931274576</v>
      </c>
      <c r="R28" s="60">
        <f t="shared" si="0"/>
        <v>446.19359327907785</v>
      </c>
      <c r="S28" s="60">
        <f ca="1">AVERAGE(OFFSET($R$3,0,0,'Données projet'!$E$9+1,1))-AVERAGE(OFFSET($H$3,0,0,'Données projet'!$E$9+1,1))</f>
        <v>570.08763950759544</v>
      </c>
      <c r="T28" s="60">
        <f t="shared" si="34"/>
        <v>297.32483725004136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34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140.5</v>
      </c>
      <c r="AG28" s="13">
        <f>VLOOKUP(A28,'Données projet'!$A$61:$I$81,9,0)</f>
        <v>14.739999999999998</v>
      </c>
      <c r="AH28" s="13">
        <f t="array" ref="AH28">INDEX(AG:AG,MIN(IF(ISNUMBER(AG28:AG224),ROW(AG28:AG224),"")))</f>
        <v>14.739999999999998</v>
      </c>
      <c r="AI28" s="14">
        <f>IF('Données projet'!$A$62&gt;35,AI27+AH28-AQ27,IF(A28&lt;'Données projet'!$A$62,$AF$205^A28,IF(A28='Données projet'!$A$62,'Données projet'!$B$62,AI27+AH28-AQ27)))</f>
        <v>140.5</v>
      </c>
      <c r="AJ28" s="14">
        <f>AI28*VLOOKUP('Données projet'!$B$10,Paramètres!$A$1:$I$89,3,0)*VLOOKUP('Données projet'!$B$10,Paramètres!$A$1:$I$89,5,0)</f>
        <v>111.7818</v>
      </c>
      <c r="AK28" s="14">
        <f t="shared" si="35"/>
        <v>29.750397150027219</v>
      </c>
      <c r="AL28" s="22">
        <f t="shared" si="4"/>
        <v>246.5019100362974</v>
      </c>
      <c r="AM28" s="60">
        <f t="shared" si="5"/>
        <v>474.53968400262954</v>
      </c>
      <c r="AN28" s="60">
        <f ca="1">AVERAGE(OFFSET($AM$3,0,0,'Données projet'!$E$10+1,1))-AVERAGE(OFFSET($H$3,0,0,'Données projet'!$E$10+1,1))</f>
        <v>394.49874384716014</v>
      </c>
      <c r="AO28" s="60">
        <f t="shared" si="36"/>
        <v>423.72519584013378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114.5</v>
      </c>
      <c r="BB28" s="13">
        <f>VLOOKUP(A28,'Données projet'!$A$87:$I$107,9,0)</f>
        <v>12.500000000000002</v>
      </c>
      <c r="BC28" s="13">
        <f t="array" ref="BC28">INDEX(BB:BB,MIN(IF(ISNUMBER(BB28:BB224),ROW(BB28:BB224),"")))</f>
        <v>12.500000000000002</v>
      </c>
      <c r="BD28" s="13">
        <f>IF('Données projet'!$A$88&gt;35,BD27+BC28-BL27,IF(A28&lt;'Données projet'!$A$88,$BA$205^A28,IF(A28='Données projet'!$A$88,'Données projet'!$B$88,BD27+BC28-BL27)))</f>
        <v>114.5</v>
      </c>
      <c r="BE28" s="14">
        <f>BD28*VLOOKUP('Données projet'!$B$11,Paramètres!$A$1:$I$89,3,0)*VLOOKUP('Données projet'!$B$11,Paramètres!$A$1:$I$89,5,0)</f>
        <v>100.02720000000001</v>
      </c>
      <c r="BF28" s="14">
        <f t="shared" si="37"/>
        <v>26.968477470701153</v>
      </c>
      <c r="BG28" s="22">
        <f t="shared" si="7"/>
        <v>221.18413826147119</v>
      </c>
      <c r="BH28" s="60">
        <f t="shared" si="8"/>
        <v>449.22191222780327</v>
      </c>
      <c r="BI28" s="60">
        <f ca="1">AVERAGE(OFFSET($BH$3,0,0,'Données projet'!$E$11+1,1))-AVERAGE(OFFSET($H$3,0,0,'Données projet'!$E$11+1,1))</f>
        <v>363.28611056308665</v>
      </c>
      <c r="BJ28" s="60">
        <f t="shared" si="38"/>
        <v>389.43647559455974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122.43589743589743</v>
      </c>
      <c r="BW28" s="13">
        <f>VLOOKUP(A28,'Données projet'!$A$113:$I$133,9,0)</f>
        <v>7.5641025641025639</v>
      </c>
      <c r="BX28" s="13">
        <f t="array" ref="BX28">INDEX(BW:BW,MIN(IF(ISNUMBER(BW28:BW224),ROW(BW28:BW224),"")))</f>
        <v>7.5641025641025639</v>
      </c>
      <c r="BY28" s="13">
        <f>IF('Données projet'!$A$114&gt;35,BY27+BX28-CG27,IF(A28&lt;'Données projet'!$A$114,$BV$205^A28,IF(A28='Données projet'!$A$114,'Données projet'!$B$114,BY27+BX28-CG27)))</f>
        <v>122.43589743589745</v>
      </c>
      <c r="BZ28" s="14">
        <f>BY28*VLOOKUP('Données projet'!$B$12,Paramètres!$A$1:$I$89,3,0)*VLOOKUP('Données projet'!$B$12,Paramètres!$A$1:$I$89,5,0)</f>
        <v>116.51000000000002</v>
      </c>
      <c r="CA28" s="14">
        <f t="shared" si="39"/>
        <v>30.859621169021747</v>
      </c>
      <c r="CB28" s="22">
        <f t="shared" si="10"/>
        <v>256.66875686937959</v>
      </c>
      <c r="CC28" s="60">
        <f t="shared" si="11"/>
        <v>484.7065308357117</v>
      </c>
      <c r="CD28" s="60">
        <f ca="1">AVERAGE(OFFSET($CC$3,0,0,'Données projet'!$E$12+1,1))-AVERAGE(OFFSET($H$3,0,0,'Données projet'!$E$12+1,1))</f>
        <v>441.15969139782891</v>
      </c>
      <c r="CE28" s="60">
        <f t="shared" si="40"/>
        <v>315.06466790224783</v>
      </c>
      <c r="CF28" s="16">
        <f>IF(ISNA(VLOOKUP(A28,'Données projet'!$A$113:$I$133,3,0)),0,VLOOKUP(A28,'Données projet'!$A$113:$I$133,3,0))</f>
        <v>1</v>
      </c>
      <c r="CG28" s="16">
        <f>IF(ISNA(VLOOKUP(A28,'Données projet'!$A$113:$I$133,4,0)),0,VLOOKUP(A28,'Données projet'!$A$113:$I$133,4,0))</f>
        <v>35.897435897435898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140.5</v>
      </c>
      <c r="CR28" s="13">
        <f>VLOOKUP(A28,'Données projet'!$A$139:$I$159,9,0)</f>
        <v>14.739999999999998</v>
      </c>
      <c r="CS28" s="13">
        <f t="array" ref="CS28">INDEX(CR:CR,MIN(IF(ISNUMBER(CR28:CR224),ROW(CR28:CR224),"")))</f>
        <v>14.739999999999998</v>
      </c>
      <c r="CT28" s="13">
        <f>IF('Données projet'!$A$140&gt;35,CT27+CS28-DB27,IF(A28&lt;'Données projet'!$A$140,$CQ$205^A28,IF(A28='Données projet'!$A$140,'Données projet'!$B$140,CT27+CS28-DB27)))</f>
        <v>140.5</v>
      </c>
      <c r="CU28" s="18">
        <f>CT28*VLOOKUP('Données projet'!$B$13,Paramètres!$A$1:$I$89,3,0)*VLOOKUP('Données projet'!$B$13,Paramètres!$A$1:$I$89,5,0)</f>
        <v>103.0146</v>
      </c>
      <c r="CV28" s="14">
        <f t="shared" si="41"/>
        <v>27.678938285581953</v>
      </c>
      <c r="CW28" s="22">
        <f t="shared" si="13"/>
        <v>227.62457918072189</v>
      </c>
      <c r="CX28" s="60">
        <f t="shared" si="14"/>
        <v>455.66235314705398</v>
      </c>
      <c r="CY28" s="60">
        <f ca="1">AVERAGE(OFFSET($CX$3,0,0,'Données projet'!$E$13+1,1))-AVERAGE(OFFSET($H$3,0,0,'Données projet'!$E$13+1,1))</f>
        <v>368.35775920359396</v>
      </c>
      <c r="CZ28" s="60">
        <f t="shared" si="42"/>
        <v>395.5218438652638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141</v>
      </c>
      <c r="DM28" s="13">
        <f>VLOOKUP(A28,'Données projet'!$A$165:$I$185,9,0)</f>
        <v>10.6</v>
      </c>
      <c r="DN28" s="13">
        <f t="array" ref="DN28">INDEX(DM:DM,MIN(IF(ISNUMBER(DM28:DM224),ROW(DM28:DM224),"")))</f>
        <v>10.6</v>
      </c>
      <c r="DO28" s="13">
        <f>IF('Données projet'!$A$166&gt;35,DO27+DN28-DW27,IF(A28&lt;'Données projet'!$A$166,$DL$205^A28,IF(A28='Données projet'!$A$166,'Données projet'!$B$166,DO27+DN28-DW27)))</f>
        <v>140.99999999999997</v>
      </c>
      <c r="DP28" s="18">
        <f>DO28*VLOOKUP('Données projet'!$B$14,Paramètres!$A$1:$I$89,3,0)*VLOOKUP('Données projet'!$B$14,Paramètres!$A$1:$I$89,5,0)</f>
        <v>109.97999999999998</v>
      </c>
      <c r="DQ28" s="14">
        <f t="shared" si="43"/>
        <v>29.326272366698234</v>
      </c>
      <c r="DR28" s="22">
        <f t="shared" si="16"/>
        <v>242.62509103866606</v>
      </c>
      <c r="DS28" s="60">
        <f t="shared" si="17"/>
        <v>470.66286500499814</v>
      </c>
      <c r="DT28" s="60">
        <f ca="1">AVERAGE(OFFSET($DS$3,0,0,'Données projet'!$E$14+1,1))-AVERAGE(OFFSET($H$3,0,0,'Données projet'!$E$14+1,1))</f>
        <v>312.59632808777332</v>
      </c>
      <c r="DU28" s="60">
        <f t="shared" si="44"/>
        <v>302.59481222418219</v>
      </c>
      <c r="DV28" s="16">
        <f>IF(ISNA(VLOOKUP(A28,'Données projet'!$A$165:$I$185,3,0)),0,VLOOKUP(A28,'Données projet'!$A$165:$I$185,3,0))</f>
        <v>1</v>
      </c>
      <c r="DW28" s="16">
        <f>IF(ISNA(VLOOKUP(A28,'Données projet'!$A$165:$I$185,4,0)),0,VLOOKUP(A28,'Données projet'!$A$165:$I$185,4,0))</f>
        <v>55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2.8518518518518516</v>
      </c>
      <c r="EJ28" s="13">
        <f>IF('Données projet'!$A$192&gt;35,EJ27+EI28-ER27,IF(A28&lt;'Données projet'!$A$192,$EG$205^A28,IF(A28='Données projet'!$A$192,'Données projet'!$B$192,EJ27+EI28-ER27)))</f>
        <v>55.81496689084404</v>
      </c>
      <c r="EK28" s="18">
        <f>EJ28*VLOOKUP('Données projet'!$B$15,Paramètres!$A$1:$I$89,3,0)*VLOOKUP('Données projet'!$B$15,Paramètres!$A$1:$I$89,5,0)</f>
        <v>47.889241592344192</v>
      </c>
      <c r="EL28" s="14">
        <f t="shared" si="45"/>
        <v>14.067286278022651</v>
      </c>
      <c r="EM28" s="22">
        <f t="shared" si="19"/>
        <v>107.90761937422224</v>
      </c>
      <c r="EN28" s="60">
        <f t="shared" si="20"/>
        <v>335.94539334055435</v>
      </c>
      <c r="EO28" s="60">
        <f ca="1">AVERAGE(OFFSET($EN$3,0,0,'Données projet'!$E$15+1,1))-AVERAGE(OFFSET($H$3,0,0,'Données projet'!$E$15+1,1))</f>
        <v>478.11504516179713</v>
      </c>
      <c r="EP28" s="60">
        <f t="shared" si="46"/>
        <v>249.93713224442419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projet'!$B$15,Paramètres!$A$1:$I$89,3,0)*0.475*44/12</f>
        <v>0</v>
      </c>
      <c r="EW28" s="23">
        <f>EXP(-LN(2)/25)*EW27+(1-EXP(-LN(2)/25))/(LN(2)/25)*Calculateur!ER28*Calculateur!ET28*VLOOKUP('Données projet'!$B$15,Paramètres!$A$1:$I$89,3,0)*0.475*44/12</f>
        <v>0</v>
      </c>
      <c r="EX28" s="23">
        <f>EXP(-LN(2)/2)*EX27+(1-EXP(-LN(2)/2))/(LN(2)/2)*ER28*EU28*VLOOKUP('Données projet'!$B$15,Paramètres!$A$1:$I$89,3,0)*0.475*44/12</f>
        <v>0</v>
      </c>
      <c r="EY28" s="24">
        <f t="shared" si="21"/>
        <v>0</v>
      </c>
      <c r="EZ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>
        <f>VLOOKUP(A28,'Données projet'!$A$217:$I$237,2,0)</f>
        <v>109</v>
      </c>
      <c r="FC28" s="13">
        <f>VLOOKUP(A28,'Données projet'!$A$217:$I$237,9,0)</f>
        <v>7.2</v>
      </c>
      <c r="FD28" s="13">
        <f t="array" ref="FD28">INDEX(FC:FC,MIN(IF(ISNUMBER(FC28:FC224),ROW(FC28:FC224),"")))</f>
        <v>7.2</v>
      </c>
      <c r="FE28" s="13">
        <f>IF('Données projet'!$A$218&gt;35,FE27+FD28-FM27,IF(A28&lt;'Données projet'!$A$218,$FB$205^A28,IF(A28='Données projet'!$A$218,'Données projet'!$B$218,FE27+FD28-FM27)))</f>
        <v>109.00000000000001</v>
      </c>
      <c r="FF28" s="18">
        <f>FE28*VLOOKUP('Données projet'!$B$16,Paramètres!$A$1:$I$89,3,0)*VLOOKUP('Données projet'!$B$16,Paramètres!$A$1:$I$89,5,0)</f>
        <v>105.42480000000002</v>
      </c>
      <c r="FG28" s="14">
        <f t="shared" si="47"/>
        <v>28.250381069605584</v>
      </c>
      <c r="FH28" s="22">
        <f t="shared" si="22"/>
        <v>232.81760702956308</v>
      </c>
      <c r="FI28" s="60">
        <f t="shared" si="23"/>
        <v>460.85538099589519</v>
      </c>
      <c r="FJ28" s="60">
        <f ca="1">AVERAGE(OFFSET($FI$3,0,0,'Données projet'!$E$16+1,1))-AVERAGE(OFFSET($H$3,0,0,'Données projet'!$E$16+1,1))</f>
        <v>603.52431522262032</v>
      </c>
      <c r="FK28" s="60">
        <f t="shared" si="48"/>
        <v>313.56299786481338</v>
      </c>
      <c r="FL28" s="16">
        <f>IF(ISNA(VLOOKUP(A28,'Données projet'!$A$217:$I$237,3,0)),0,VLOOKUP(A28,'Données projet'!$A$217:$I$237,3,0))</f>
        <v>1</v>
      </c>
      <c r="FM28" s="16">
        <f>IF(ISNA(VLOOKUP(A28,'Données projet'!$A$217:$I$237,4,0)),0,VLOOKUP(A28,'Données projet'!$A$217:$I$237,4,0))</f>
        <v>34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>
        <f>EXP(-LN(2)/35)*FQ27+(1-EXP(-LN(2)/35))/(LN(2)/35)*FM28*FN28*VLOOKUP('Données projet'!$B$16,Paramètres!$A$1:$I$89,3,0)*0.475*44/12</f>
        <v>0</v>
      </c>
      <c r="FR28" s="23">
        <f>EXP(-LN(2)/25)*FR27+(1-EXP(-LN(2)/25))/(LN(2)/25)*Calculateur!FM28*Calculateur!FO28*VLOOKUP('Données projet'!$B$16,Paramètres!$A$1:$I$89,3,0)*0.475*44/12</f>
        <v>0</v>
      </c>
      <c r="FS28" s="23">
        <f>EXP(-LN(2)/2)*FS27+(1-EXP(-LN(2)/2))/(LN(2)/2)*FM28*FP28*VLOOKUP('Données projet'!$B$16,Paramètres!$A$1:$I$89,3,0)*0.475*44/12</f>
        <v>0</v>
      </c>
      <c r="FT28" s="24">
        <f t="shared" si="24"/>
        <v>0</v>
      </c>
      <c r="FU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>
        <f>VLOOKUP(A28,'Données projet'!$A$243:$I$263,2,0)</f>
        <v>137.82051282051282</v>
      </c>
      <c r="FX28" s="13">
        <f>VLOOKUP(A28,'Données projet'!$A$243:$I$263,9,0)</f>
        <v>9.7435897435897427</v>
      </c>
      <c r="FY28" s="13">
        <f t="array" ref="FY28">INDEX(FX:FX,MIN(IF(ISNUMBER(FX28:FX224),ROW(FX28:FX224),"")))</f>
        <v>9.7435897435897427</v>
      </c>
      <c r="FZ28" s="13">
        <f>IF('Données projet'!$A$244&gt;35,FZ27+FY28-GH27,IF(A28&lt;'Données projet'!$A$244,$FW$205^A28,IF(A28='Données projet'!$A$244,'Données projet'!$B$244,FZ27+FY28-GH27)))</f>
        <v>137.82051282051282</v>
      </c>
      <c r="GA28" s="18">
        <f>FZ28*VLOOKUP('Données projet'!$B$17,Paramètres!$A$1:$I$89,3,0)*VLOOKUP('Données projet'!$B$17,Paramètres!$A$1:$I$89,5,0)</f>
        <v>92.45</v>
      </c>
      <c r="GB28" s="14">
        <f t="shared" si="49"/>
        <v>25.155179194747834</v>
      </c>
      <c r="GC28" s="22">
        <f t="shared" si="25"/>
        <v>204.82902043085244</v>
      </c>
      <c r="GD28" s="60">
        <f t="shared" si="26"/>
        <v>432.86679439718455</v>
      </c>
      <c r="GE28" s="60">
        <f ca="1">AVERAGE(OFFSET($GD$3,0,0,'Données projet'!$E$17+1,1))-AVERAGE(OFFSET($H$3,0,0,'Données projet'!$E$17+1,1))</f>
        <v>396.0878652679051</v>
      </c>
      <c r="GF28" s="60">
        <f t="shared" si="50"/>
        <v>327.26339199235406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>
        <f>EXP(-LN(2)/35)*GL27+(1-EXP(-LN(2)/35))/(LN(2)/35)*GH28*GI28*VLOOKUP('Données projet'!$B$17,Paramètres!$A$1:$I$89,3,0)*0.475*44/12</f>
        <v>0</v>
      </c>
      <c r="GM28" s="23">
        <f>EXP(-LN(2)/25)*GM27+(1-EXP(-LN(2)/25))/(LN(2)/25)*Calculateur!GH28*Calculateur!GJ28*VLOOKUP('Données projet'!$B$17,Paramètres!$A$1:$I$89,3,0)*0.475*44/12</f>
        <v>0</v>
      </c>
      <c r="GN28" s="23">
        <f>EXP(-LN(2)/2)*GN27+(1-EXP(-LN(2)/2))/(LN(2)/2)*GH28*GK28*VLOOKUP('Données projet'!$B$17,Paramètres!$A$1:$I$89,3,0)*0.475*44/12</f>
        <v>0</v>
      </c>
      <c r="GO28" s="23">
        <f t="shared" si="27"/>
        <v>0</v>
      </c>
      <c r="GP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>
        <f>VLOOKUP(A28,'Données projet'!$A$269:$I$289,2,0)</f>
        <v>102</v>
      </c>
      <c r="GS28" s="13">
        <f>VLOOKUP(A28,'Données projet'!$A$269:$I$289,9,0)</f>
        <v>8.6</v>
      </c>
      <c r="GT28" s="13">
        <f t="array" ref="GT28">INDEX(GS:GS,MIN(IF(ISNUMBER(GS28:GS224),ROW(GS28:GS224),"")))</f>
        <v>8.6</v>
      </c>
      <c r="GU28" s="13">
        <f>IF('Données projet'!$A$270&gt;35,GU27+GT28-HC27,IF(A28&lt;'Données projet'!$A$270,$GR$205^A28,IF(A28='Données projet'!$A$270,'Données projet'!$B$270,GU27+GT28-HC27)))</f>
        <v>101.99999999999997</v>
      </c>
      <c r="GV28" s="18">
        <f>GU28*VLOOKUP('Données projet'!$B$18,Paramètres!$A$1:$I$89,3,0)*VLOOKUP('Données projet'!$B$18,Paramètres!$A$1:$I$89,5,0)</f>
        <v>82.742399999999975</v>
      </c>
      <c r="GW28" s="14">
        <f t="shared" si="51"/>
        <v>22.806394174303183</v>
      </c>
      <c r="GX28" s="22">
        <f t="shared" si="28"/>
        <v>183.83081652024464</v>
      </c>
      <c r="GY28" s="60">
        <f t="shared" si="29"/>
        <v>411.86859048657675</v>
      </c>
      <c r="GZ28" s="60">
        <f ca="1">AVERAGE(OFFSET($GY$3,0,0,'Données projet'!$E$18+1,1))-AVERAGE(OFFSET($H$3,0,0,'Données projet'!$E$18+1,1))</f>
        <v>272.69564942740931</v>
      </c>
      <c r="HA28" s="60">
        <f t="shared" si="52"/>
        <v>316.57989180609252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>
        <f>EXP(-LN(2)/35)*HG27+(1-EXP(-LN(2)/35))/(LN(2)/35)*HC28*HD28*VLOOKUP('Données projet'!$B$18,Paramètres!$A$1:$I$89,3,0)*0.475*44/12</f>
        <v>0</v>
      </c>
      <c r="HH28" s="23">
        <f>EXP(-LN(2)/25)*HH27+(1-EXP(-LN(2)/25))/(LN(2)/25)*Calculateur!HC28*Calculateur!HE28*VLOOKUP('Données projet'!$B$18,Paramètres!$A$1:$I$89,3,0)*0.475*44/12</f>
        <v>0</v>
      </c>
      <c r="HI28" s="23">
        <f>EXP(-LN(2)/2)*HI27+(1-EXP(-LN(2)/2))/(LN(2)/2)*HC28*HF28*VLOOKUP('Données projet'!$B$18,Paramètres!$A$1:$I$89,3,0)*0.475*44/12</f>
        <v>0</v>
      </c>
      <c r="HJ28" s="24">
        <f t="shared" si="30"/>
        <v>0</v>
      </c>
    </row>
    <row r="29" spans="1:218" s="5" customFormat="1" x14ac:dyDescent="0.25">
      <c r="A29" s="11">
        <f t="shared" si="31"/>
        <v>26</v>
      </c>
      <c r="B29" s="75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8">
        <f t="shared" si="1"/>
        <v>183.33333333333334</v>
      </c>
      <c r="I29" s="7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9.1999999999999993</v>
      </c>
      <c r="N29" s="14">
        <f>IF('Données projet'!$A$36&gt;35,N28+M29-V28,IF(A29&lt;'Données projet'!$A$36,$K$205^A29,IF(A29='Données projet'!$A$36,'Données projet'!$B$36,N28+M29-V28)))</f>
        <v>84.200000000000017</v>
      </c>
      <c r="O29" s="14">
        <f>N29*VLOOKUP('Données projet'!$B$9,Paramètres!$A$1:$I$89,3,0)*VLOOKUP('Données projet'!$B$9,Paramètres!$A$1:$I$89,5,0)</f>
        <v>76.184160000000006</v>
      </c>
      <c r="P29" s="14">
        <f t="shared" si="33"/>
        <v>21.201554232857223</v>
      </c>
      <c r="Q29" s="22">
        <f t="shared" si="2"/>
        <v>169.613452288893</v>
      </c>
      <c r="R29" s="60">
        <f t="shared" si="0"/>
        <v>399.90016633808318</v>
      </c>
      <c r="S29" s="60">
        <f ca="1">AVERAGE(OFFSET($R$3,0,0,'Données projet'!$E$9+1,1))-AVERAGE(OFFSET($H$3,0,0,'Données projet'!$E$9+1,1))</f>
        <v>570.08763950759544</v>
      </c>
      <c r="T29" s="60">
        <f t="shared" si="34"/>
        <v>297.32483725004136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14.260000000000002</v>
      </c>
      <c r="AI29" s="14">
        <f>IF('Données projet'!$A$62&gt;35,AI28+AH29-AQ28,IF(A29&lt;'Données projet'!$A$62,$AF$205^A29,IF(A29='Données projet'!$A$62,'Données projet'!$B$62,AI28+AH29-AQ28)))</f>
        <v>154.76</v>
      </c>
      <c r="AJ29" s="14">
        <f>AI29*VLOOKUP('Données projet'!$B$10,Paramètres!$A$1:$I$89,3,0)*VLOOKUP('Données projet'!$B$10,Paramètres!$A$1:$I$89,5,0)</f>
        <v>123.127056</v>
      </c>
      <c r="AK29" s="14">
        <f t="shared" si="35"/>
        <v>32.403238210173519</v>
      </c>
      <c r="AL29" s="22">
        <f t="shared" si="4"/>
        <v>270.88192908271884</v>
      </c>
      <c r="AM29" s="60">
        <f t="shared" si="5"/>
        <v>501.16864313190899</v>
      </c>
      <c r="AN29" s="60">
        <f ca="1">AVERAGE(OFFSET($AM$3,0,0,'Données projet'!$E$10+1,1))-AVERAGE(OFFSET($H$3,0,0,'Données projet'!$E$10+1,1))</f>
        <v>394.49874384716014</v>
      </c>
      <c r="AO29" s="60">
        <f t="shared" si="36"/>
        <v>423.72519584013378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12</v>
      </c>
      <c r="BD29" s="13">
        <f>IF('Données projet'!$A$88&gt;35,BD28+BC29-BL28,IF(A29&lt;'Données projet'!$A$88,$BA$205^A29,IF(A29='Données projet'!$A$88,'Données projet'!$B$88,BD28+BC29-BL28)))</f>
        <v>126.5</v>
      </c>
      <c r="BE29" s="14">
        <f>BD29*VLOOKUP('Données projet'!$B$11,Paramètres!$A$1:$I$89,3,0)*VLOOKUP('Données projet'!$B$11,Paramètres!$A$1:$I$89,5,0)</f>
        <v>110.5104</v>
      </c>
      <c r="BF29" s="14">
        <f t="shared" si="37"/>
        <v>29.451206375056387</v>
      </c>
      <c r="BG29" s="22">
        <f t="shared" si="7"/>
        <v>243.76646443655656</v>
      </c>
      <c r="BH29" s="60">
        <f t="shared" si="8"/>
        <v>474.05317848574674</v>
      </c>
      <c r="BI29" s="60">
        <f ca="1">AVERAGE(OFFSET($BH$3,0,0,'Données projet'!$E$11+1,1))-AVERAGE(OFFSET($H$3,0,0,'Données projet'!$E$11+1,1))</f>
        <v>363.28611056308665</v>
      </c>
      <c r="BJ29" s="60">
        <f t="shared" si="38"/>
        <v>389.43647559455974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7.4358974358974361</v>
      </c>
      <c r="BY29" s="13">
        <f>IF('Données projet'!$A$114&gt;35,BY28+BX29-CG28,IF(A29&lt;'Données projet'!$A$114,$BV$205^A29,IF(A29='Données projet'!$A$114,'Données projet'!$B$114,BY28+BX29-CG28)))</f>
        <v>93.974358974358992</v>
      </c>
      <c r="BZ29" s="14">
        <f>BY29*VLOOKUP('Données projet'!$B$12,Paramètres!$A$1:$I$89,3,0)*VLOOKUP('Données projet'!$B$12,Paramètres!$A$1:$I$89,5,0)</f>
        <v>89.426000000000016</v>
      </c>
      <c r="CA29" s="14">
        <f t="shared" si="39"/>
        <v>24.426738508211891</v>
      </c>
      <c r="CB29" s="22">
        <f t="shared" si="10"/>
        <v>198.29351956846904</v>
      </c>
      <c r="CC29" s="60">
        <f t="shared" si="11"/>
        <v>428.58023361765925</v>
      </c>
      <c r="CD29" s="60">
        <f ca="1">AVERAGE(OFFSET($CC$3,0,0,'Données projet'!$E$12+1,1))-AVERAGE(OFFSET($H$3,0,0,'Données projet'!$E$12+1,1))</f>
        <v>441.15969139782891</v>
      </c>
      <c r="CE29" s="60">
        <f t="shared" si="40"/>
        <v>315.06466790224783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14.260000000000002</v>
      </c>
      <c r="CT29" s="13">
        <f>IF('Données projet'!$A$140&gt;35,CT28+CS29-DB28,IF(A29&lt;'Données projet'!$A$140,$CQ$205^A29,IF(A29='Données projet'!$A$140,'Données projet'!$B$140,CT28+CS29-DB28)))</f>
        <v>154.76</v>
      </c>
      <c r="CU29" s="18">
        <f>CT29*VLOOKUP('Données projet'!$B$13,Paramètres!$A$1:$I$89,3,0)*VLOOKUP('Données projet'!$B$13,Paramètres!$A$1:$I$89,5,0)</f>
        <v>113.47003199999999</v>
      </c>
      <c r="CV29" s="14">
        <f t="shared" si="41"/>
        <v>30.147067487856493</v>
      </c>
      <c r="CW29" s="22">
        <f t="shared" si="13"/>
        <v>250.13311494134999</v>
      </c>
      <c r="CX29" s="60">
        <f t="shared" si="14"/>
        <v>480.41982899054017</v>
      </c>
      <c r="CY29" s="60">
        <f ca="1">AVERAGE(OFFSET($CX$3,0,0,'Données projet'!$E$13+1,1))-AVERAGE(OFFSET($H$3,0,0,'Données projet'!$E$13+1,1))</f>
        <v>368.35775920359396</v>
      </c>
      <c r="CZ29" s="60">
        <f t="shared" si="42"/>
        <v>395.5218438652638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11.5</v>
      </c>
      <c r="DO29" s="13">
        <f>IF('Données projet'!$A$166&gt;35,DO28+DN29-DW28,IF(A29&lt;'Données projet'!$A$166,$DL$205^A29,IF(A29='Données projet'!$A$166,'Données projet'!$B$166,DO28+DN29-DW28)))</f>
        <v>97.499999999999972</v>
      </c>
      <c r="DP29" s="18">
        <f>DO29*VLOOKUP('Données projet'!$B$14,Paramètres!$A$1:$I$89,3,0)*VLOOKUP('Données projet'!$B$14,Paramètres!$A$1:$I$89,5,0)</f>
        <v>76.049999999999983</v>
      </c>
      <c r="DQ29" s="14">
        <f t="shared" si="43"/>
        <v>21.168560890749262</v>
      </c>
      <c r="DR29" s="22">
        <f t="shared" si="16"/>
        <v>169.32232688472158</v>
      </c>
      <c r="DS29" s="60">
        <f t="shared" si="17"/>
        <v>399.60904093391173</v>
      </c>
      <c r="DT29" s="60">
        <f ca="1">AVERAGE(OFFSET($DS$3,0,0,'Données projet'!$E$14+1,1))-AVERAGE(OFFSET($H$3,0,0,'Données projet'!$E$14+1,1))</f>
        <v>312.59632808777332</v>
      </c>
      <c r="DU29" s="60">
        <f t="shared" si="44"/>
        <v>302.59481222418219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2.8518518518518516</v>
      </c>
      <c r="EJ29" s="13">
        <f>IF('Données projet'!$A$192&gt;35,EJ28+EI29-ER28,IF(A29&lt;'Données projet'!$A$192,$EG$205^A29,IF(A29='Données projet'!$A$192,'Données projet'!$B$192,EJ28+EI29-ER28)))</f>
        <v>65.557245599514019</v>
      </c>
      <c r="EK29" s="18">
        <f>EJ29*VLOOKUP('Données projet'!$B$15,Paramètres!$A$1:$I$89,3,0)*VLOOKUP('Données projet'!$B$15,Paramètres!$A$1:$I$89,5,0)</f>
        <v>56.248116724383038</v>
      </c>
      <c r="EL29" s="14">
        <f t="shared" si="45"/>
        <v>16.216139862418505</v>
      </c>
      <c r="EM29" s="22">
        <f t="shared" si="19"/>
        <v>126.20858022201269</v>
      </c>
      <c r="EN29" s="60">
        <f t="shared" si="20"/>
        <v>356.49529427120285</v>
      </c>
      <c r="EO29" s="60">
        <f ca="1">AVERAGE(OFFSET($EN$3,0,0,'Données projet'!$E$15+1,1))-AVERAGE(OFFSET($H$3,0,0,'Données projet'!$E$15+1,1))</f>
        <v>478.11504516179713</v>
      </c>
      <c r="EP29" s="60">
        <f t="shared" si="46"/>
        <v>249.93713224442419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0</v>
      </c>
      <c r="EW29" s="23">
        <f>EXP(-LN(2)/25)*EW28+(1-EXP(-LN(2)/25))/(LN(2)/25)*Calculateur!ER29*Calculateur!ET29*VLOOKUP('Données projet'!$B$15,Paramètres!$A$1:$I$89,3,0)*0.475*44/12</f>
        <v>0</v>
      </c>
      <c r="EX29" s="23">
        <f>EXP(-LN(2)/2)*EX28+(1-EXP(-LN(2)/2))/(LN(2)/2)*ER29*EU29*VLOOKUP('Données projet'!$B$15,Paramètres!$A$1:$I$89,3,0)*0.475*44/12</f>
        <v>0</v>
      </c>
      <c r="EY29" s="24">
        <f t="shared" si="21"/>
        <v>0</v>
      </c>
      <c r="EZ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9.1999999999999993</v>
      </c>
      <c r="FE29" s="13">
        <f>IF('Données projet'!$A$218&gt;35,FE28+FD29-FM28,IF(A29&lt;'Données projet'!$A$218,$FB$205^A29,IF(A29='Données projet'!$A$218,'Données projet'!$B$218,FE28+FD29-FM28)))</f>
        <v>84.200000000000017</v>
      </c>
      <c r="FF29" s="18">
        <f>FE29*VLOOKUP('Données projet'!$B$16,Paramètres!$A$1:$I$89,3,0)*VLOOKUP('Données projet'!$B$16,Paramètres!$A$1:$I$89,5,0)</f>
        <v>81.438240000000022</v>
      </c>
      <c r="FG29" s="14">
        <f t="shared" si="47"/>
        <v>22.488475778344696</v>
      </c>
      <c r="FH29" s="22">
        <f t="shared" si="22"/>
        <v>181.00569664728371</v>
      </c>
      <c r="FI29" s="60">
        <f t="shared" si="23"/>
        <v>411.29241069647389</v>
      </c>
      <c r="FJ29" s="60">
        <f ca="1">AVERAGE(OFFSET($FI$3,0,0,'Données projet'!$E$16+1,1))-AVERAGE(OFFSET($H$3,0,0,'Données projet'!$E$16+1,1))</f>
        <v>603.52431522262032</v>
      </c>
      <c r="FK29" s="60">
        <f t="shared" si="48"/>
        <v>313.56299786481338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>
        <f>EXP(-LN(2)/35)*FQ28+(1-EXP(-LN(2)/35))/(LN(2)/35)*FM29*FN29*VLOOKUP('Données projet'!$B$16,Paramètres!$A$1:$I$89,3,0)*0.475*44/12</f>
        <v>0</v>
      </c>
      <c r="FR29" s="23">
        <f>EXP(-LN(2)/25)*FR28+(1-EXP(-LN(2)/25))/(LN(2)/25)*Calculateur!FM29*Calculateur!FO29*VLOOKUP('Données projet'!$B$16,Paramètres!$A$1:$I$89,3,0)*0.475*44/12</f>
        <v>0</v>
      </c>
      <c r="FS29" s="23">
        <f>EXP(-LN(2)/2)*FS28+(1-EXP(-LN(2)/2))/(LN(2)/2)*FM29*FP29*VLOOKUP('Données projet'!$B$16,Paramètres!$A$1:$I$89,3,0)*0.475*44/12</f>
        <v>0</v>
      </c>
      <c r="FT29" s="24">
        <f t="shared" si="24"/>
        <v>0</v>
      </c>
      <c r="FU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9.2307692307692317</v>
      </c>
      <c r="FZ29" s="13">
        <f>IF('Données projet'!$A$244&gt;35,FZ28+FY29-GH28,IF(A29&lt;'Données projet'!$A$244,$FW$205^A29,IF(A29='Données projet'!$A$244,'Données projet'!$B$244,FZ28+FY29-GH28)))</f>
        <v>147.05128205128204</v>
      </c>
      <c r="GA29" s="18">
        <f>FZ29*VLOOKUP('Données projet'!$B$17,Paramètres!$A$1:$I$89,3,0)*VLOOKUP('Données projet'!$B$17,Paramètres!$A$1:$I$89,5,0)</f>
        <v>98.641999999999996</v>
      </c>
      <c r="GB29" s="14">
        <f t="shared" si="49"/>
        <v>26.638215773406319</v>
      </c>
      <c r="GC29" s="22">
        <f t="shared" si="25"/>
        <v>218.19637580534933</v>
      </c>
      <c r="GD29" s="60">
        <f t="shared" si="26"/>
        <v>448.48308985453951</v>
      </c>
      <c r="GE29" s="60">
        <f ca="1">AVERAGE(OFFSET($GD$3,0,0,'Données projet'!$E$17+1,1))-AVERAGE(OFFSET($H$3,0,0,'Données projet'!$E$17+1,1))</f>
        <v>396.0878652679051</v>
      </c>
      <c r="GF29" s="60">
        <f t="shared" si="50"/>
        <v>327.26339199235406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>
        <f>EXP(-LN(2)/35)*GL28+(1-EXP(-LN(2)/35))/(LN(2)/35)*GH29*GI29*VLOOKUP('Données projet'!$B$17,Paramètres!$A$1:$I$89,3,0)*0.475*44/12</f>
        <v>0</v>
      </c>
      <c r="GM29" s="23">
        <f>EXP(-LN(2)/25)*GM28+(1-EXP(-LN(2)/25))/(LN(2)/25)*Calculateur!GH29*Calculateur!GJ29*VLOOKUP('Données projet'!$B$17,Paramètres!$A$1:$I$89,3,0)*0.475*44/12</f>
        <v>0</v>
      </c>
      <c r="GN29" s="23">
        <f>EXP(-LN(2)/2)*GN28+(1-EXP(-LN(2)/2))/(LN(2)/2)*GH29*GK29*VLOOKUP('Données projet'!$B$17,Paramètres!$A$1:$I$89,3,0)*0.475*44/12</f>
        <v>0</v>
      </c>
      <c r="GO29" s="23">
        <f t="shared" si="27"/>
        <v>0</v>
      </c>
      <c r="GP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8.8000000000000007</v>
      </c>
      <c r="GU29" s="13">
        <f>IF('Données projet'!$A$270&gt;35,GU28+GT29-HC28,IF(A29&lt;'Données projet'!$A$270,$GR$205^A29,IF(A29='Données projet'!$A$270,'Données projet'!$B$270,GU28+GT29-HC28)))</f>
        <v>110.79999999999997</v>
      </c>
      <c r="GV29" s="18">
        <f>GU29*VLOOKUP('Données projet'!$B$18,Paramètres!$A$1:$I$89,3,0)*VLOOKUP('Données projet'!$B$18,Paramètres!$A$1:$I$89,5,0)</f>
        <v>89.880959999999973</v>
      </c>
      <c r="GW29" s="14">
        <f t="shared" si="51"/>
        <v>24.536513201257339</v>
      </c>
      <c r="GX29" s="22">
        <f t="shared" si="28"/>
        <v>199.27709915885649</v>
      </c>
      <c r="GY29" s="60">
        <f t="shared" si="29"/>
        <v>429.56381320804667</v>
      </c>
      <c r="GZ29" s="60">
        <f ca="1">AVERAGE(OFFSET($GY$3,0,0,'Données projet'!$E$18+1,1))-AVERAGE(OFFSET($H$3,0,0,'Données projet'!$E$18+1,1))</f>
        <v>272.69564942740931</v>
      </c>
      <c r="HA29" s="60">
        <f t="shared" si="52"/>
        <v>316.57989180609252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>
        <f>EXP(-LN(2)/35)*HG28+(1-EXP(-LN(2)/35))/(LN(2)/35)*HC29*HD29*VLOOKUP('Données projet'!$B$18,Paramètres!$A$1:$I$89,3,0)*0.475*44/12</f>
        <v>0</v>
      </c>
      <c r="HH29" s="23">
        <f>EXP(-LN(2)/25)*HH28+(1-EXP(-LN(2)/25))/(LN(2)/25)*Calculateur!HC29*Calculateur!HE29*VLOOKUP('Données projet'!$B$18,Paramètres!$A$1:$I$89,3,0)*0.475*44/12</f>
        <v>0</v>
      </c>
      <c r="HI29" s="23">
        <f>EXP(-LN(2)/2)*HI28+(1-EXP(-LN(2)/2))/(LN(2)/2)*HC29*HF29*VLOOKUP('Données projet'!$B$18,Paramètres!$A$1:$I$89,3,0)*0.475*44/12</f>
        <v>0</v>
      </c>
      <c r="HJ29" s="24">
        <f t="shared" si="30"/>
        <v>0</v>
      </c>
    </row>
    <row r="30" spans="1:218" s="5" customFormat="1" x14ac:dyDescent="0.25">
      <c r="A30" s="11">
        <f t="shared" si="31"/>
        <v>27</v>
      </c>
      <c r="B30" s="75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8">
        <f t="shared" si="1"/>
        <v>183.33333333333334</v>
      </c>
      <c r="I30" s="7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9.1999999999999993</v>
      </c>
      <c r="N30" s="14">
        <f>IF('Données projet'!$A$36&gt;35,N29+M30-V29,IF(A30&lt;'Données projet'!$A$36,$K$205^A30,IF(A30='Données projet'!$A$36,'Données projet'!$B$36,N29+M30-V29)))</f>
        <v>93.40000000000002</v>
      </c>
      <c r="O30" s="14">
        <f>N30*VLOOKUP('Données projet'!$B$9,Paramètres!$A$1:$I$89,3,0)*VLOOKUP('Données projet'!$B$9,Paramètres!$A$1:$I$89,5,0)</f>
        <v>84.508320000000026</v>
      </c>
      <c r="P30" s="14">
        <f t="shared" si="33"/>
        <v>23.235950088324714</v>
      </c>
      <c r="Q30" s="22">
        <f t="shared" si="2"/>
        <v>187.65460373716556</v>
      </c>
      <c r="R30" s="60">
        <f t="shared" si="0"/>
        <v>420.17244660972904</v>
      </c>
      <c r="S30" s="60">
        <f ca="1">AVERAGE(OFFSET($R$3,0,0,'Données projet'!$E$9+1,1))-AVERAGE(OFFSET($H$3,0,0,'Données projet'!$E$9+1,1))</f>
        <v>570.08763950759544</v>
      </c>
      <c r="T30" s="60">
        <f t="shared" si="34"/>
        <v>297.32483725004136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14.260000000000002</v>
      </c>
      <c r="AI30" s="14">
        <f>IF('Données projet'!$A$62&gt;35,AI29+AH30-AQ29,IF(A30&lt;'Données projet'!$A$62,$AF$205^A30,IF(A30='Données projet'!$A$62,'Données projet'!$B$62,AI29+AH30-AQ29)))</f>
        <v>169.01999999999998</v>
      </c>
      <c r="AJ30" s="14">
        <f>AI30*VLOOKUP('Données projet'!$B$10,Paramètres!$A$1:$I$89,3,0)*VLOOKUP('Données projet'!$B$10,Paramètres!$A$1:$I$89,5,0)</f>
        <v>134.47231199999999</v>
      </c>
      <c r="AK30" s="14">
        <f t="shared" si="35"/>
        <v>35.027736208949172</v>
      </c>
      <c r="AL30" s="22">
        <f t="shared" si="4"/>
        <v>295.21258396391971</v>
      </c>
      <c r="AM30" s="60">
        <f t="shared" si="5"/>
        <v>527.73042683648328</v>
      </c>
      <c r="AN30" s="60">
        <f ca="1">AVERAGE(OFFSET($AM$3,0,0,'Données projet'!$E$10+1,1))-AVERAGE(OFFSET($H$3,0,0,'Données projet'!$E$10+1,1))</f>
        <v>394.49874384716014</v>
      </c>
      <c r="AO30" s="60">
        <f t="shared" si="36"/>
        <v>423.72519584013378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12</v>
      </c>
      <c r="BD30" s="13">
        <f>IF('Données projet'!$A$88&gt;35,BD29+BC30-BL29,IF(A30&lt;'Données projet'!$A$88,$BA$205^A30,IF(A30='Données projet'!$A$88,'Données projet'!$B$88,BD29+BC30-BL29)))</f>
        <v>138.5</v>
      </c>
      <c r="BE30" s="14">
        <f>BD30*VLOOKUP('Données projet'!$B$11,Paramètres!$A$1:$I$89,3,0)*VLOOKUP('Données projet'!$B$11,Paramètres!$A$1:$I$89,5,0)</f>
        <v>120.9936</v>
      </c>
      <c r="BF30" s="14">
        <f t="shared" si="37"/>
        <v>31.906628844954461</v>
      </c>
      <c r="BG30" s="22">
        <f t="shared" si="7"/>
        <v>266.30123190496232</v>
      </c>
      <c r="BH30" s="60">
        <f t="shared" si="8"/>
        <v>498.81907477752583</v>
      </c>
      <c r="BI30" s="60">
        <f ca="1">AVERAGE(OFFSET($BH$3,0,0,'Données projet'!$E$11+1,1))-AVERAGE(OFFSET($H$3,0,0,'Données projet'!$E$11+1,1))</f>
        <v>363.28611056308665</v>
      </c>
      <c r="BJ30" s="60">
        <f t="shared" si="38"/>
        <v>389.43647559455974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7.4358974358974361</v>
      </c>
      <c r="BY30" s="13">
        <f>IF('Données projet'!$A$114&gt;35,BY29+BX30-CG29,IF(A30&lt;'Données projet'!$A$114,$BV$205^A30,IF(A30='Données projet'!$A$114,'Données projet'!$B$114,BY29+BX30-CG29)))</f>
        <v>101.41025641025642</v>
      </c>
      <c r="BZ30" s="14">
        <f>BY30*VLOOKUP('Données projet'!$B$12,Paramètres!$A$1:$I$89,3,0)*VLOOKUP('Données projet'!$B$12,Paramètres!$A$1:$I$89,5,0)</f>
        <v>96.50200000000001</v>
      </c>
      <c r="CA30" s="14">
        <f t="shared" si="39"/>
        <v>26.126928217693919</v>
      </c>
      <c r="CB30" s="22">
        <f t="shared" si="10"/>
        <v>213.57871664581691</v>
      </c>
      <c r="CC30" s="60">
        <f t="shared" si="11"/>
        <v>446.09655951838045</v>
      </c>
      <c r="CD30" s="60">
        <f ca="1">AVERAGE(OFFSET($CC$3,0,0,'Données projet'!$E$12+1,1))-AVERAGE(OFFSET($H$3,0,0,'Données projet'!$E$12+1,1))</f>
        <v>441.15969139782891</v>
      </c>
      <c r="CE30" s="60">
        <f t="shared" si="40"/>
        <v>315.06466790224783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14.260000000000002</v>
      </c>
      <c r="CT30" s="13">
        <f>IF('Données projet'!$A$140&gt;35,CT29+CS30-DB29,IF(A30&lt;'Données projet'!$A$140,$CQ$205^A30,IF(A30='Données projet'!$A$140,'Données projet'!$B$140,CT29+CS30-DB29)))</f>
        <v>169.01999999999998</v>
      </c>
      <c r="CU30" s="18">
        <f>CT30*VLOOKUP('Données projet'!$B$13,Paramètres!$A$1:$I$89,3,0)*VLOOKUP('Données projet'!$B$13,Paramètres!$A$1:$I$89,5,0)</f>
        <v>123.92546399999999</v>
      </c>
      <c r="CV30" s="14">
        <f t="shared" si="41"/>
        <v>32.58882709773377</v>
      </c>
      <c r="CW30" s="22">
        <f t="shared" si="13"/>
        <v>272.59572366188627</v>
      </c>
      <c r="CX30" s="60">
        <f t="shared" si="14"/>
        <v>505.11356653444977</v>
      </c>
      <c r="CY30" s="60">
        <f ca="1">AVERAGE(OFFSET($CX$3,0,0,'Données projet'!$E$13+1,1))-AVERAGE(OFFSET($H$3,0,0,'Données projet'!$E$13+1,1))</f>
        <v>368.35775920359396</v>
      </c>
      <c r="CZ30" s="60">
        <f t="shared" si="42"/>
        <v>395.5218438652638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11.5</v>
      </c>
      <c r="DO30" s="13">
        <f>IF('Données projet'!$A$166&gt;35,DO29+DN30-DW29,IF(A30&lt;'Données projet'!$A$166,$DL$205^A30,IF(A30='Données projet'!$A$166,'Données projet'!$B$166,DO29+DN30-DW29)))</f>
        <v>108.99999999999997</v>
      </c>
      <c r="DP30" s="18">
        <f>DO30*VLOOKUP('Données projet'!$B$14,Paramètres!$A$1:$I$89,3,0)*VLOOKUP('Données projet'!$B$14,Paramètres!$A$1:$I$89,5,0)</f>
        <v>85.019999999999982</v>
      </c>
      <c r="DQ30" s="14">
        <f t="shared" si="43"/>
        <v>23.360218970693108</v>
      </c>
      <c r="DR30" s="22">
        <f t="shared" si="16"/>
        <v>188.76221470729047</v>
      </c>
      <c r="DS30" s="60">
        <f t="shared" si="17"/>
        <v>421.28005757985397</v>
      </c>
      <c r="DT30" s="60">
        <f ca="1">AVERAGE(OFFSET($DS$3,0,0,'Données projet'!$E$14+1,1))-AVERAGE(OFFSET($H$3,0,0,'Données projet'!$E$14+1,1))</f>
        <v>312.59632808777332</v>
      </c>
      <c r="DU30" s="60">
        <f t="shared" si="44"/>
        <v>302.59481222418219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>
        <f>VLOOKUP(A30,'Données projet'!$A$191:$I$211,2,0)</f>
        <v>77</v>
      </c>
      <c r="EH30" s="13">
        <f>VLOOKUP(A30,'Données projet'!$A$191:$I$211,9,0)</f>
        <v>2.8518518518518516</v>
      </c>
      <c r="EI30" s="13">
        <f t="array" ref="EI30">INDEX(EH:EH,MIN(IF(ISNUMBER(EH30:EH226),ROW(EH30:EH226),"")))</f>
        <v>2.8518518518518516</v>
      </c>
      <c r="EJ30" s="13">
        <f>IF('Données projet'!$A$192&gt;35,EJ29+EI30-ER29,IF(A30&lt;'Données projet'!$A$192,$EG$205^A30,IF(A30='Données projet'!$A$192,'Données projet'!$B$192,EJ29+EI30-ER29)))</f>
        <v>77</v>
      </c>
      <c r="EK30" s="18">
        <f>EJ30*VLOOKUP('Données projet'!$B$15,Paramètres!$A$1:$I$89,3,0)*VLOOKUP('Données projet'!$B$15,Paramètres!$A$1:$I$89,5,0)</f>
        <v>66.066000000000003</v>
      </c>
      <c r="EL30" s="14">
        <f t="shared" si="45"/>
        <v>18.69324238096624</v>
      </c>
      <c r="EM30" s="22">
        <f t="shared" si="19"/>
        <v>147.62234714684953</v>
      </c>
      <c r="EN30" s="60">
        <f t="shared" si="20"/>
        <v>380.14019001941301</v>
      </c>
      <c r="EO30" s="60">
        <f ca="1">AVERAGE(OFFSET($EN$3,0,0,'Données projet'!$E$15+1,1))-AVERAGE(OFFSET($H$3,0,0,'Données projet'!$E$15+1,1))</f>
        <v>478.11504516179713</v>
      </c>
      <c r="EP30" s="60">
        <f t="shared" si="46"/>
        <v>249.93713224442419</v>
      </c>
      <c r="EQ30" s="16">
        <f>IF(ISNA(VLOOKUP(A30,'Données projet'!$A$191:$I$211,3,0)),0,VLOOKUP(A30,'Données projet'!$A$191:$I$211,3,0))</f>
        <v>1</v>
      </c>
      <c r="ER30" s="16">
        <f>IF(ISNA(VLOOKUP(A30,'Données projet'!$A$191:$I$211,4,0)),0,VLOOKUP(A30,'Données projet'!$A$191:$I$211,4,0))</f>
        <v>12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0</v>
      </c>
      <c r="EW30" s="23">
        <f>EXP(-LN(2)/25)*EW29+(1-EXP(-LN(2)/25))/(LN(2)/25)*Calculateur!ER30*Calculateur!ET30*VLOOKUP('Données projet'!$B$15,Paramètres!$A$1:$I$89,3,0)*0.475*44/12</f>
        <v>0</v>
      </c>
      <c r="EX30" s="23">
        <f>EXP(-LN(2)/2)*EX29+(1-EXP(-LN(2)/2))/(LN(2)/2)*ER30*EU30*VLOOKUP('Données projet'!$B$15,Paramètres!$A$1:$I$89,3,0)*0.475*44/12</f>
        <v>0</v>
      </c>
      <c r="EY30" s="24">
        <f t="shared" si="21"/>
        <v>0</v>
      </c>
      <c r="EZ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9.1999999999999993</v>
      </c>
      <c r="FE30" s="13">
        <f>IF('Données projet'!$A$218&gt;35,FE29+FD30-FM29,IF(A30&lt;'Données projet'!$A$218,$FB$205^A30,IF(A30='Données projet'!$A$218,'Données projet'!$B$218,FE29+FD30-FM29)))</f>
        <v>93.40000000000002</v>
      </c>
      <c r="FF30" s="18">
        <f>FE30*VLOOKUP('Données projet'!$B$16,Paramètres!$A$1:$I$89,3,0)*VLOOKUP('Données projet'!$B$16,Paramètres!$A$1:$I$89,5,0)</f>
        <v>90.336480000000023</v>
      </c>
      <c r="FG30" s="14">
        <f t="shared" si="47"/>
        <v>24.646358234355564</v>
      </c>
      <c r="FH30" s="22">
        <f t="shared" si="22"/>
        <v>200.26177659150264</v>
      </c>
      <c r="FI30" s="60">
        <f t="shared" si="23"/>
        <v>432.77961946406617</v>
      </c>
      <c r="FJ30" s="60">
        <f ca="1">AVERAGE(OFFSET($FI$3,0,0,'Données projet'!$E$16+1,1))-AVERAGE(OFFSET($H$3,0,0,'Données projet'!$E$16+1,1))</f>
        <v>603.52431522262032</v>
      </c>
      <c r="FK30" s="60">
        <f t="shared" si="48"/>
        <v>313.56299786481338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>
        <f>EXP(-LN(2)/35)*FQ29+(1-EXP(-LN(2)/35))/(LN(2)/35)*FM30*FN30*VLOOKUP('Données projet'!$B$16,Paramètres!$A$1:$I$89,3,0)*0.475*44/12</f>
        <v>0</v>
      </c>
      <c r="FR30" s="23">
        <f>EXP(-LN(2)/25)*FR29+(1-EXP(-LN(2)/25))/(LN(2)/25)*Calculateur!FM30*Calculateur!FO30*VLOOKUP('Données projet'!$B$16,Paramètres!$A$1:$I$89,3,0)*0.475*44/12</f>
        <v>0</v>
      </c>
      <c r="FS30" s="23">
        <f>EXP(-LN(2)/2)*FS29+(1-EXP(-LN(2)/2))/(LN(2)/2)*FM30*FP30*VLOOKUP('Données projet'!$B$16,Paramètres!$A$1:$I$89,3,0)*0.475*44/12</f>
        <v>0</v>
      </c>
      <c r="FT30" s="24">
        <f t="shared" si="24"/>
        <v>0</v>
      </c>
      <c r="FU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9.2307692307692317</v>
      </c>
      <c r="FZ30" s="13">
        <f>IF('Données projet'!$A$244&gt;35,FZ29+FY30-GH29,IF(A30&lt;'Données projet'!$A$244,$FW$205^A30,IF(A30='Données projet'!$A$244,'Données projet'!$B$244,FZ29+FY30-GH29)))</f>
        <v>156.28205128205127</v>
      </c>
      <c r="GA30" s="18">
        <f>FZ30*VLOOKUP('Données projet'!$B$17,Paramètres!$A$1:$I$89,3,0)*VLOOKUP('Données projet'!$B$17,Paramètres!$A$1:$I$89,5,0)</f>
        <v>104.834</v>
      </c>
      <c r="GB30" s="14">
        <f t="shared" si="49"/>
        <v>28.110448233045847</v>
      </c>
      <c r="GC30" s="22">
        <f t="shared" si="25"/>
        <v>231.54491400588816</v>
      </c>
      <c r="GD30" s="60">
        <f t="shared" si="26"/>
        <v>464.06275687845164</v>
      </c>
      <c r="GE30" s="60">
        <f ca="1">AVERAGE(OFFSET($GD$3,0,0,'Données projet'!$E$17+1,1))-AVERAGE(OFFSET($H$3,0,0,'Données projet'!$E$17+1,1))</f>
        <v>396.0878652679051</v>
      </c>
      <c r="GF30" s="60">
        <f t="shared" si="50"/>
        <v>327.26339199235406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>
        <f>EXP(-LN(2)/35)*GL29+(1-EXP(-LN(2)/35))/(LN(2)/35)*GH30*GI30*VLOOKUP('Données projet'!$B$17,Paramètres!$A$1:$I$89,3,0)*0.475*44/12</f>
        <v>0</v>
      </c>
      <c r="GM30" s="23">
        <f>EXP(-LN(2)/25)*GM29+(1-EXP(-LN(2)/25))/(LN(2)/25)*Calculateur!GH30*Calculateur!GJ30*VLOOKUP('Données projet'!$B$17,Paramètres!$A$1:$I$89,3,0)*0.475*44/12</f>
        <v>0</v>
      </c>
      <c r="GN30" s="23">
        <f>EXP(-LN(2)/2)*GN29+(1-EXP(-LN(2)/2))/(LN(2)/2)*GH30*GK30*VLOOKUP('Données projet'!$B$17,Paramètres!$A$1:$I$89,3,0)*0.475*44/12</f>
        <v>0</v>
      </c>
      <c r="GO30" s="23">
        <f t="shared" si="27"/>
        <v>0</v>
      </c>
      <c r="GP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8.8000000000000007</v>
      </c>
      <c r="GU30" s="13">
        <f>IF('Données projet'!$A$270&gt;35,GU29+GT30-HC29,IF(A30&lt;'Données projet'!$A$270,$GR$205^A30,IF(A30='Données projet'!$A$270,'Données projet'!$B$270,GU29+GT30-HC29)))</f>
        <v>119.59999999999997</v>
      </c>
      <c r="GV30" s="18">
        <f>GU30*VLOOKUP('Données projet'!$B$18,Paramètres!$A$1:$I$89,3,0)*VLOOKUP('Données projet'!$B$18,Paramètres!$A$1:$I$89,5,0)</f>
        <v>97.019519999999986</v>
      </c>
      <c r="GW30" s="14">
        <f t="shared" si="51"/>
        <v>26.250693712468323</v>
      </c>
      <c r="GX30" s="22">
        <f t="shared" si="28"/>
        <v>214.69562221588228</v>
      </c>
      <c r="GY30" s="60">
        <f t="shared" si="29"/>
        <v>447.21346508844579</v>
      </c>
      <c r="GZ30" s="60">
        <f ca="1">AVERAGE(OFFSET($GY$3,0,0,'Données projet'!$E$18+1,1))-AVERAGE(OFFSET($H$3,0,0,'Données projet'!$E$18+1,1))</f>
        <v>272.69564942740931</v>
      </c>
      <c r="HA30" s="60">
        <f t="shared" si="52"/>
        <v>316.57989180609252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>
        <f>EXP(-LN(2)/35)*HG29+(1-EXP(-LN(2)/35))/(LN(2)/35)*HC30*HD30*VLOOKUP('Données projet'!$B$18,Paramètres!$A$1:$I$89,3,0)*0.475*44/12</f>
        <v>0</v>
      </c>
      <c r="HH30" s="23">
        <f>EXP(-LN(2)/25)*HH29+(1-EXP(-LN(2)/25))/(LN(2)/25)*Calculateur!HC30*Calculateur!HE30*VLOOKUP('Données projet'!$B$18,Paramètres!$A$1:$I$89,3,0)*0.475*44/12</f>
        <v>0</v>
      </c>
      <c r="HI30" s="23">
        <f>EXP(-LN(2)/2)*HI29+(1-EXP(-LN(2)/2))/(LN(2)/2)*HC30*HF30*VLOOKUP('Données projet'!$B$18,Paramètres!$A$1:$I$89,3,0)*0.475*44/12</f>
        <v>0</v>
      </c>
      <c r="HJ30" s="24">
        <f t="shared" si="30"/>
        <v>0</v>
      </c>
    </row>
    <row r="31" spans="1:218" s="5" customFormat="1" x14ac:dyDescent="0.25">
      <c r="A31" s="11">
        <f t="shared" si="31"/>
        <v>28</v>
      </c>
      <c r="B31" s="75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8">
        <f t="shared" si="1"/>
        <v>183.33333333333334</v>
      </c>
      <c r="I31" s="7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9.1999999999999993</v>
      </c>
      <c r="N31" s="14">
        <f>IF('Données projet'!$A$36&gt;35,N30+M31-V30,IF(A31&lt;'Données projet'!$A$36,$K$205^A31,IF(A31='Données projet'!$A$36,'Données projet'!$B$36,N30+M31-V30)))</f>
        <v>102.60000000000002</v>
      </c>
      <c r="O31" s="14">
        <f>N31*VLOOKUP('Données projet'!$B$9,Paramètres!$A$1:$I$89,3,0)*VLOOKUP('Données projet'!$B$9,Paramètres!$A$1:$I$89,5,0)</f>
        <v>92.832480000000018</v>
      </c>
      <c r="P31" s="14">
        <f t="shared" si="33"/>
        <v>25.247114117480137</v>
      </c>
      <c r="Q31" s="22">
        <f t="shared" si="2"/>
        <v>205.65529308794461</v>
      </c>
      <c r="R31" s="60">
        <f t="shared" si="0"/>
        <v>440.3867625099287</v>
      </c>
      <c r="S31" s="60">
        <f ca="1">AVERAGE(OFFSET($R$3,0,0,'Données projet'!$E$9+1,1))-AVERAGE(OFFSET($H$3,0,0,'Données projet'!$E$9+1,1))</f>
        <v>570.08763950759544</v>
      </c>
      <c r="T31" s="60">
        <f t="shared" si="34"/>
        <v>297.32483725004136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14.260000000000002</v>
      </c>
      <c r="AI31" s="14">
        <f>IF('Données projet'!$A$62&gt;35,AI30+AH31-AQ30,IF(A31&lt;'Données projet'!$A$62,$AF$205^A31,IF(A31='Données projet'!$A$62,'Données projet'!$B$62,AI30+AH31-AQ30)))</f>
        <v>183.27999999999997</v>
      </c>
      <c r="AJ31" s="14">
        <f>AI31*VLOOKUP('Données projet'!$B$10,Paramètres!$A$1:$I$89,3,0)*VLOOKUP('Données projet'!$B$10,Paramètres!$A$1:$I$89,5,0)</f>
        <v>145.81756799999999</v>
      </c>
      <c r="AK31" s="14">
        <f t="shared" si="35"/>
        <v>37.626554284689291</v>
      </c>
      <c r="AL31" s="22">
        <f t="shared" si="4"/>
        <v>319.49851297916712</v>
      </c>
      <c r="AM31" s="60">
        <f t="shared" si="5"/>
        <v>554.22998240115123</v>
      </c>
      <c r="AN31" s="60">
        <f ca="1">AVERAGE(OFFSET($AM$3,0,0,'Données projet'!$E$10+1,1))-AVERAGE(OFFSET($H$3,0,0,'Données projet'!$E$10+1,1))</f>
        <v>394.49874384716014</v>
      </c>
      <c r="AO31" s="60">
        <f t="shared" si="36"/>
        <v>423.72519584013378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12</v>
      </c>
      <c r="BD31" s="13">
        <f>IF('Données projet'!$A$88&gt;35,BD30+BC31-BL30,IF(A31&lt;'Données projet'!$A$88,$BA$205^A31,IF(A31='Données projet'!$A$88,'Données projet'!$B$88,BD30+BC31-BL30)))</f>
        <v>150.5</v>
      </c>
      <c r="BE31" s="14">
        <f>BD31*VLOOKUP('Données projet'!$B$11,Paramètres!$A$1:$I$89,3,0)*VLOOKUP('Données projet'!$B$11,Paramètres!$A$1:$I$89,5,0)</f>
        <v>131.4768</v>
      </c>
      <c r="BF31" s="14">
        <f t="shared" si="37"/>
        <v>34.337379785620797</v>
      </c>
      <c r="BG31" s="22">
        <f t="shared" si="7"/>
        <v>288.79302979328958</v>
      </c>
      <c r="BH31" s="60">
        <f t="shared" si="8"/>
        <v>523.52449921527364</v>
      </c>
      <c r="BI31" s="60">
        <f ca="1">AVERAGE(OFFSET($BH$3,0,0,'Données projet'!$E$11+1,1))-AVERAGE(OFFSET($H$3,0,0,'Données projet'!$E$11+1,1))</f>
        <v>363.28611056308665</v>
      </c>
      <c r="BJ31" s="60">
        <f t="shared" si="38"/>
        <v>389.43647559455974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7.4358974358974361</v>
      </c>
      <c r="BY31" s="13">
        <f>IF('Données projet'!$A$114&gt;35,BY30+BX31-CG30,IF(A31&lt;'Données projet'!$A$114,$BV$205^A31,IF(A31='Données projet'!$A$114,'Données projet'!$B$114,BY30+BX31-CG30)))</f>
        <v>108.84615384615385</v>
      </c>
      <c r="BZ31" s="14">
        <f>BY31*VLOOKUP('Données projet'!$B$12,Paramètres!$A$1:$I$89,3,0)*VLOOKUP('Données projet'!$B$12,Paramètres!$A$1:$I$89,5,0)</f>
        <v>103.57800000000002</v>
      </c>
      <c r="CA31" s="14">
        <f t="shared" si="39"/>
        <v>27.812654852530578</v>
      </c>
      <c r="CB31" s="22">
        <f t="shared" si="10"/>
        <v>228.83872386815744</v>
      </c>
      <c r="CC31" s="60">
        <f t="shared" si="11"/>
        <v>463.57019329014156</v>
      </c>
      <c r="CD31" s="60">
        <f ca="1">AVERAGE(OFFSET($CC$3,0,0,'Données projet'!$E$12+1,1))-AVERAGE(OFFSET($H$3,0,0,'Données projet'!$E$12+1,1))</f>
        <v>441.15969139782891</v>
      </c>
      <c r="CE31" s="60">
        <f t="shared" si="40"/>
        <v>315.06466790224783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14.260000000000002</v>
      </c>
      <c r="CT31" s="13">
        <f>IF('Données projet'!$A$140&gt;35,CT30+CS31-DB30,IF(A31&lt;'Données projet'!$A$140,$CQ$205^A31,IF(A31='Données projet'!$A$140,'Données projet'!$B$140,CT30+CS31-DB30)))</f>
        <v>183.27999999999997</v>
      </c>
      <c r="CU31" s="18">
        <f>CT31*VLOOKUP('Données projet'!$B$13,Paramètres!$A$1:$I$89,3,0)*VLOOKUP('Données projet'!$B$13,Paramètres!$A$1:$I$89,5,0)</f>
        <v>134.38089599999998</v>
      </c>
      <c r="CV31" s="14">
        <f t="shared" si="41"/>
        <v>35.006694824713001</v>
      </c>
      <c r="CW31" s="22">
        <f t="shared" si="13"/>
        <v>295.01672068637509</v>
      </c>
      <c r="CX31" s="60">
        <f t="shared" si="14"/>
        <v>529.74819010835915</v>
      </c>
      <c r="CY31" s="60">
        <f ca="1">AVERAGE(OFFSET($CX$3,0,0,'Données projet'!$E$13+1,1))-AVERAGE(OFFSET($H$3,0,0,'Données projet'!$E$13+1,1))</f>
        <v>368.35775920359396</v>
      </c>
      <c r="CZ31" s="60">
        <f t="shared" si="42"/>
        <v>395.5218438652638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11.5</v>
      </c>
      <c r="DO31" s="13">
        <f>IF('Données projet'!$A$166&gt;35,DO30+DN31-DW30,IF(A31&lt;'Données projet'!$A$166,$DL$205^A31,IF(A31='Données projet'!$A$166,'Données projet'!$B$166,DO30+DN31-DW30)))</f>
        <v>120.49999999999997</v>
      </c>
      <c r="DP31" s="18">
        <f>DO31*VLOOKUP('Données projet'!$B$14,Paramètres!$A$1:$I$89,3,0)*VLOOKUP('Données projet'!$B$14,Paramètres!$A$1:$I$89,5,0)</f>
        <v>93.989999999999981</v>
      </c>
      <c r="DQ31" s="14">
        <f t="shared" si="43"/>
        <v>25.525074036970079</v>
      </c>
      <c r="DR31" s="22">
        <f t="shared" si="16"/>
        <v>208.15542061438953</v>
      </c>
      <c r="DS31" s="60">
        <f t="shared" si="17"/>
        <v>442.88689003637364</v>
      </c>
      <c r="DT31" s="60">
        <f ca="1">AVERAGE(OFFSET($DS$3,0,0,'Données projet'!$E$14+1,1))-AVERAGE(OFFSET($H$3,0,0,'Données projet'!$E$14+1,1))</f>
        <v>312.59632808777332</v>
      </c>
      <c r="DU31" s="60">
        <f t="shared" si="44"/>
        <v>302.59481222418219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12.333333333333334</v>
      </c>
      <c r="EJ31" s="13">
        <f>IF('Données projet'!$A$192&gt;35,EJ30+EI31-ER30,IF(A31&lt;'Données projet'!$A$192,$EG$205^A31,IF(A31='Données projet'!$A$192,'Données projet'!$B$192,EJ30+EI31-ER30)))</f>
        <v>77.333333333333329</v>
      </c>
      <c r="EK31" s="18">
        <f>EJ31*VLOOKUP('Données projet'!$B$15,Paramètres!$A$1:$I$89,3,0)*VLOOKUP('Données projet'!$B$15,Paramètres!$A$1:$I$89,5,0)</f>
        <v>66.352000000000004</v>
      </c>
      <c r="EL31" s="14">
        <f t="shared" si="45"/>
        <v>18.764728069895565</v>
      </c>
      <c r="EM31" s="22">
        <f t="shared" si="19"/>
        <v>148.24496805506811</v>
      </c>
      <c r="EN31" s="60">
        <f t="shared" si="20"/>
        <v>382.97643747705217</v>
      </c>
      <c r="EO31" s="60">
        <f ca="1">AVERAGE(OFFSET($EN$3,0,0,'Données projet'!$E$15+1,1))-AVERAGE(OFFSET($H$3,0,0,'Données projet'!$E$15+1,1))</f>
        <v>478.11504516179713</v>
      </c>
      <c r="EP31" s="60">
        <f t="shared" si="46"/>
        <v>249.93713224442419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0</v>
      </c>
      <c r="EW31" s="23">
        <f>EXP(-LN(2)/25)*EW30+(1-EXP(-LN(2)/25))/(LN(2)/25)*Calculateur!ER31*Calculateur!ET31*VLOOKUP('Données projet'!$B$15,Paramètres!$A$1:$I$89,3,0)*0.475*44/12</f>
        <v>0</v>
      </c>
      <c r="EX31" s="23">
        <f>EXP(-LN(2)/2)*EX30+(1-EXP(-LN(2)/2))/(LN(2)/2)*ER31*EU31*VLOOKUP('Données projet'!$B$15,Paramètres!$A$1:$I$89,3,0)*0.475*44/12</f>
        <v>0</v>
      </c>
      <c r="EY31" s="24">
        <f t="shared" si="21"/>
        <v>0</v>
      </c>
      <c r="EZ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9.1999999999999993</v>
      </c>
      <c r="FE31" s="13">
        <f>IF('Données projet'!$A$218&gt;35,FE30+FD31-FM30,IF(A31&lt;'Données projet'!$A$218,$FB$205^A31,IF(A31='Données projet'!$A$218,'Données projet'!$B$218,FE30+FD31-FM30)))</f>
        <v>102.60000000000002</v>
      </c>
      <c r="FF31" s="18">
        <f>FE31*VLOOKUP('Données projet'!$B$16,Paramètres!$A$1:$I$89,3,0)*VLOOKUP('Données projet'!$B$16,Paramètres!$A$1:$I$89,5,0)</f>
        <v>99.234720000000024</v>
      </c>
      <c r="FG31" s="14">
        <f t="shared" si="47"/>
        <v>26.779598706219044</v>
      </c>
      <c r="FH31" s="22">
        <f t="shared" si="22"/>
        <v>219.47493841333153</v>
      </c>
      <c r="FI31" s="60">
        <f t="shared" si="23"/>
        <v>454.20640783531564</v>
      </c>
      <c r="FJ31" s="60">
        <f ca="1">AVERAGE(OFFSET($FI$3,0,0,'Données projet'!$E$16+1,1))-AVERAGE(OFFSET($H$3,0,0,'Données projet'!$E$16+1,1))</f>
        <v>603.52431522262032</v>
      </c>
      <c r="FK31" s="60">
        <f t="shared" si="48"/>
        <v>313.56299786481338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>
        <f>EXP(-LN(2)/35)*FQ30+(1-EXP(-LN(2)/35))/(LN(2)/35)*FM31*FN31*VLOOKUP('Données projet'!$B$16,Paramètres!$A$1:$I$89,3,0)*0.475*44/12</f>
        <v>0</v>
      </c>
      <c r="FR31" s="23">
        <f>EXP(-LN(2)/25)*FR30+(1-EXP(-LN(2)/25))/(LN(2)/25)*Calculateur!FM31*Calculateur!FO31*VLOOKUP('Données projet'!$B$16,Paramètres!$A$1:$I$89,3,0)*0.475*44/12</f>
        <v>0</v>
      </c>
      <c r="FS31" s="23">
        <f>EXP(-LN(2)/2)*FS30+(1-EXP(-LN(2)/2))/(LN(2)/2)*FM31*FP31*VLOOKUP('Données projet'!$B$16,Paramètres!$A$1:$I$89,3,0)*0.475*44/12</f>
        <v>0</v>
      </c>
      <c r="FT31" s="24">
        <f t="shared" si="24"/>
        <v>0</v>
      </c>
      <c r="FU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9.2307692307692317</v>
      </c>
      <c r="FZ31" s="13">
        <f>IF('Données projet'!$A$244&gt;35,FZ30+FY31-GH30,IF(A31&lt;'Données projet'!$A$244,$FW$205^A31,IF(A31='Données projet'!$A$244,'Données projet'!$B$244,FZ30+FY31-GH30)))</f>
        <v>165.5128205128205</v>
      </c>
      <c r="GA31" s="18">
        <f>FZ31*VLOOKUP('Données projet'!$B$17,Paramètres!$A$1:$I$89,3,0)*VLOOKUP('Données projet'!$B$17,Paramètres!$A$1:$I$89,5,0)</f>
        <v>111.026</v>
      </c>
      <c r="GB31" s="14">
        <f t="shared" si="49"/>
        <v>29.572587403880362</v>
      </c>
      <c r="GC31" s="22">
        <f t="shared" si="25"/>
        <v>244.87587306175826</v>
      </c>
      <c r="GD31" s="60">
        <f t="shared" si="26"/>
        <v>479.60734248374234</v>
      </c>
      <c r="GE31" s="60">
        <f ca="1">AVERAGE(OFFSET($GD$3,0,0,'Données projet'!$E$17+1,1))-AVERAGE(OFFSET($H$3,0,0,'Données projet'!$E$17+1,1))</f>
        <v>396.0878652679051</v>
      </c>
      <c r="GF31" s="60">
        <f t="shared" si="50"/>
        <v>327.26339199235406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>
        <f>EXP(-LN(2)/35)*GL30+(1-EXP(-LN(2)/35))/(LN(2)/35)*GH31*GI31*VLOOKUP('Données projet'!$B$17,Paramètres!$A$1:$I$89,3,0)*0.475*44/12</f>
        <v>0</v>
      </c>
      <c r="GM31" s="23">
        <f>EXP(-LN(2)/25)*GM30+(1-EXP(-LN(2)/25))/(LN(2)/25)*Calculateur!GH31*Calculateur!GJ31*VLOOKUP('Données projet'!$B$17,Paramètres!$A$1:$I$89,3,0)*0.475*44/12</f>
        <v>0</v>
      </c>
      <c r="GN31" s="23">
        <f>EXP(-LN(2)/2)*GN30+(1-EXP(-LN(2)/2))/(LN(2)/2)*GH31*GK31*VLOOKUP('Données projet'!$B$17,Paramètres!$A$1:$I$89,3,0)*0.475*44/12</f>
        <v>0</v>
      </c>
      <c r="GO31" s="23">
        <f t="shared" si="27"/>
        <v>0</v>
      </c>
      <c r="GP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8.8000000000000007</v>
      </c>
      <c r="GU31" s="13">
        <f>IF('Données projet'!$A$270&gt;35,GU30+GT31-HC30,IF(A31&lt;'Données projet'!$A$270,$GR$205^A31,IF(A31='Données projet'!$A$270,'Données projet'!$B$270,GU30+GT31-HC30)))</f>
        <v>128.39999999999998</v>
      </c>
      <c r="GV31" s="18">
        <f>GU31*VLOOKUP('Données projet'!$B$18,Paramètres!$A$1:$I$89,3,0)*VLOOKUP('Données projet'!$B$18,Paramètres!$A$1:$I$89,5,0)</f>
        <v>104.15807999999998</v>
      </c>
      <c r="GW31" s="14">
        <f t="shared" si="51"/>
        <v>27.950241801489337</v>
      </c>
      <c r="GX31" s="22">
        <f t="shared" si="28"/>
        <v>230.08866047092724</v>
      </c>
      <c r="GY31" s="60">
        <f t="shared" si="29"/>
        <v>464.82012989291132</v>
      </c>
      <c r="GZ31" s="60">
        <f ca="1">AVERAGE(OFFSET($GY$3,0,0,'Données projet'!$E$18+1,1))-AVERAGE(OFFSET($H$3,0,0,'Données projet'!$E$18+1,1))</f>
        <v>272.69564942740931</v>
      </c>
      <c r="HA31" s="60">
        <f t="shared" si="52"/>
        <v>316.57989180609252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>
        <f>EXP(-LN(2)/35)*HG30+(1-EXP(-LN(2)/35))/(LN(2)/35)*HC31*HD31*VLOOKUP('Données projet'!$B$18,Paramètres!$A$1:$I$89,3,0)*0.475*44/12</f>
        <v>0</v>
      </c>
      <c r="HH31" s="23">
        <f>EXP(-LN(2)/25)*HH30+(1-EXP(-LN(2)/25))/(LN(2)/25)*Calculateur!HC31*Calculateur!HE31*VLOOKUP('Données projet'!$B$18,Paramètres!$A$1:$I$89,3,0)*0.475*44/12</f>
        <v>0</v>
      </c>
      <c r="HI31" s="23">
        <f>EXP(-LN(2)/2)*HI30+(1-EXP(-LN(2)/2))/(LN(2)/2)*HC31*HF31*VLOOKUP('Données projet'!$B$18,Paramètres!$A$1:$I$89,3,0)*0.475*44/12</f>
        <v>0</v>
      </c>
      <c r="HJ31" s="24">
        <f t="shared" si="30"/>
        <v>0</v>
      </c>
    </row>
    <row r="32" spans="1:218" s="5" customFormat="1" x14ac:dyDescent="0.25">
      <c r="A32" s="11">
        <f t="shared" si="31"/>
        <v>29</v>
      </c>
      <c r="B32" s="75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8">
        <f t="shared" si="1"/>
        <v>183.33333333333334</v>
      </c>
      <c r="I32" s="7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9.1999999999999993</v>
      </c>
      <c r="N32" s="14">
        <f>IF('Données projet'!$A$36&gt;35,N31+M32-V31,IF(A32&lt;'Données projet'!$A$36,$K$205^A32,IF(A32='Données projet'!$A$36,'Données projet'!$B$36,N31+M32-V31)))</f>
        <v>111.80000000000003</v>
      </c>
      <c r="O32" s="14">
        <f>N32*VLOOKUP('Données projet'!$B$9,Paramètres!$A$1:$I$89,3,0)*VLOOKUP('Données projet'!$B$9,Paramètres!$A$1:$I$89,5,0)</f>
        <v>101.15664000000001</v>
      </c>
      <c r="P32" s="14">
        <f t="shared" si="33"/>
        <v>27.237366379381644</v>
      </c>
      <c r="Q32" s="22">
        <f t="shared" si="2"/>
        <v>223.61956111075639</v>
      </c>
      <c r="R32" s="60">
        <f t="shared" si="0"/>
        <v>460.54745843353226</v>
      </c>
      <c r="S32" s="60">
        <f ca="1">AVERAGE(OFFSET($R$3,0,0,'Données projet'!$E$9+1,1))-AVERAGE(OFFSET($H$3,0,0,'Données projet'!$E$9+1,1))</f>
        <v>570.08763950759544</v>
      </c>
      <c r="T32" s="60">
        <f t="shared" si="34"/>
        <v>297.32483725004136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14.260000000000002</v>
      </c>
      <c r="AI32" s="14">
        <f>IF('Données projet'!$A$62&gt;35,AI31+AH32-AQ31,IF(A32&lt;'Données projet'!$A$62,$AF$205^A32,IF(A32='Données projet'!$A$62,'Données projet'!$B$62,AI31+AH32-AQ31)))</f>
        <v>197.53999999999996</v>
      </c>
      <c r="AJ32" s="14">
        <f>AI32*VLOOKUP('Données projet'!$B$10,Paramètres!$A$1:$I$89,3,0)*VLOOKUP('Données projet'!$B$10,Paramètres!$A$1:$I$89,5,0)</f>
        <v>157.162824</v>
      </c>
      <c r="AK32" s="14">
        <f t="shared" si="35"/>
        <v>40.201917615639708</v>
      </c>
      <c r="AL32" s="22">
        <f t="shared" si="4"/>
        <v>343.7435916472391</v>
      </c>
      <c r="AM32" s="60">
        <f t="shared" si="5"/>
        <v>580.67148897001493</v>
      </c>
      <c r="AN32" s="60">
        <f ca="1">AVERAGE(OFFSET($AM$3,0,0,'Données projet'!$E$10+1,1))-AVERAGE(OFFSET($H$3,0,0,'Données projet'!$E$10+1,1))</f>
        <v>394.49874384716014</v>
      </c>
      <c r="AO32" s="60">
        <f t="shared" si="36"/>
        <v>423.72519584013378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12</v>
      </c>
      <c r="BD32" s="13">
        <f>IF('Données projet'!$A$88&gt;35,BD31+BC32-BL31,IF(A32&lt;'Données projet'!$A$88,$BA$205^A32,IF(A32='Données projet'!$A$88,'Données projet'!$B$88,BD31+BC32-BL31)))</f>
        <v>162.5</v>
      </c>
      <c r="BE32" s="14">
        <f>BD32*VLOOKUP('Données projet'!$B$11,Paramètres!$A$1:$I$89,3,0)*VLOOKUP('Données projet'!$B$11,Paramètres!$A$1:$I$89,5,0)</f>
        <v>141.96000000000004</v>
      </c>
      <c r="BF32" s="14">
        <f t="shared" si="37"/>
        <v>36.745650011720485</v>
      </c>
      <c r="BG32" s="22">
        <f t="shared" si="7"/>
        <v>311.24567377041325</v>
      </c>
      <c r="BH32" s="60">
        <f t="shared" si="8"/>
        <v>548.17357109318914</v>
      </c>
      <c r="BI32" s="60">
        <f ca="1">AVERAGE(OFFSET($BH$3,0,0,'Données projet'!$E$11+1,1))-AVERAGE(OFFSET($H$3,0,0,'Données projet'!$E$11+1,1))</f>
        <v>363.28611056308665</v>
      </c>
      <c r="BJ32" s="60">
        <f t="shared" si="38"/>
        <v>389.43647559455974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7.4358974358974361</v>
      </c>
      <c r="BY32" s="13">
        <f>IF('Données projet'!$A$114&gt;35,BY31+BX32-CG31,IF(A32&lt;'Données projet'!$A$114,$BV$205^A32,IF(A32='Données projet'!$A$114,'Données projet'!$B$114,BY31+BX32-CG31)))</f>
        <v>116.28205128205128</v>
      </c>
      <c r="BZ32" s="14">
        <f>BY32*VLOOKUP('Données projet'!$B$12,Paramètres!$A$1:$I$89,3,0)*VLOOKUP('Données projet'!$B$12,Paramètres!$A$1:$I$89,5,0)</f>
        <v>110.654</v>
      </c>
      <c r="CA32" s="14">
        <f t="shared" si="39"/>
        <v>29.48501887296996</v>
      </c>
      <c r="CB32" s="22">
        <f t="shared" si="10"/>
        <v>244.0754578704227</v>
      </c>
      <c r="CC32" s="60">
        <f t="shared" si="11"/>
        <v>481.00335519319856</v>
      </c>
      <c r="CD32" s="60">
        <f ca="1">AVERAGE(OFFSET($CC$3,0,0,'Données projet'!$E$12+1,1))-AVERAGE(OFFSET($H$3,0,0,'Données projet'!$E$12+1,1))</f>
        <v>441.15969139782891</v>
      </c>
      <c r="CE32" s="60">
        <f t="shared" si="40"/>
        <v>315.06466790224783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14.260000000000002</v>
      </c>
      <c r="CT32" s="13">
        <f>IF('Données projet'!$A$140&gt;35,CT31+CS32-DB31,IF(A32&lt;'Données projet'!$A$140,$CQ$205^A32,IF(A32='Données projet'!$A$140,'Données projet'!$B$140,CT31+CS32-DB31)))</f>
        <v>197.53999999999996</v>
      </c>
      <c r="CU32" s="18">
        <f>CT32*VLOOKUP('Données projet'!$B$13,Paramètres!$A$1:$I$89,3,0)*VLOOKUP('Données projet'!$B$13,Paramètres!$A$1:$I$89,5,0)</f>
        <v>144.83632799999995</v>
      </c>
      <c r="CV32" s="14">
        <f t="shared" si="41"/>
        <v>37.402740912462832</v>
      </c>
      <c r="CW32" s="22">
        <f t="shared" si="13"/>
        <v>317.39971168920596</v>
      </c>
      <c r="CX32" s="60">
        <f t="shared" si="14"/>
        <v>554.32760901198185</v>
      </c>
      <c r="CY32" s="60">
        <f ca="1">AVERAGE(OFFSET($CX$3,0,0,'Données projet'!$E$13+1,1))-AVERAGE(OFFSET($H$3,0,0,'Données projet'!$E$13+1,1))</f>
        <v>368.35775920359396</v>
      </c>
      <c r="CZ32" s="60">
        <f t="shared" si="42"/>
        <v>395.5218438652638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11.5</v>
      </c>
      <c r="DO32" s="13">
        <f>IF('Données projet'!$A$166&gt;35,DO31+DN32-DW31,IF(A32&lt;'Données projet'!$A$166,$DL$205^A32,IF(A32='Données projet'!$A$166,'Données projet'!$B$166,DO31+DN32-DW31)))</f>
        <v>131.99999999999997</v>
      </c>
      <c r="DP32" s="18">
        <f>DO32*VLOOKUP('Données projet'!$B$14,Paramètres!$A$1:$I$89,3,0)*VLOOKUP('Données projet'!$B$14,Paramètres!$A$1:$I$89,5,0)</f>
        <v>102.95999999999998</v>
      </c>
      <c r="DQ32" s="14">
        <f t="shared" si="43"/>
        <v>27.665975080374633</v>
      </c>
      <c r="DR32" s="22">
        <f t="shared" si="16"/>
        <v>227.50690659831912</v>
      </c>
      <c r="DS32" s="60">
        <f t="shared" si="17"/>
        <v>464.43480392109495</v>
      </c>
      <c r="DT32" s="60">
        <f ca="1">AVERAGE(OFFSET($DS$3,0,0,'Données projet'!$E$14+1,1))-AVERAGE(OFFSET($H$3,0,0,'Données projet'!$E$14+1,1))</f>
        <v>312.59632808777332</v>
      </c>
      <c r="DU32" s="60">
        <f t="shared" si="44"/>
        <v>302.59481222418219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12.333333333333334</v>
      </c>
      <c r="EJ32" s="13">
        <f>IF('Données projet'!$A$192&gt;35,EJ31+EI32-ER31,IF(A32&lt;'Données projet'!$A$192,$EG$205^A32,IF(A32='Données projet'!$A$192,'Données projet'!$B$192,EJ31+EI32-ER31)))</f>
        <v>89.666666666666657</v>
      </c>
      <c r="EK32" s="18">
        <f>EJ32*VLOOKUP('Données projet'!$B$15,Paramètres!$A$1:$I$89,3,0)*VLOOKUP('Données projet'!$B$15,Paramètres!$A$1:$I$89,5,0)</f>
        <v>76.933999999999997</v>
      </c>
      <c r="EL32" s="14">
        <f t="shared" si="45"/>
        <v>21.385834734197029</v>
      </c>
      <c r="EM32" s="22">
        <f t="shared" si="19"/>
        <v>171.24037882872651</v>
      </c>
      <c r="EN32" s="60">
        <f t="shared" si="20"/>
        <v>408.16827615150237</v>
      </c>
      <c r="EO32" s="60">
        <f ca="1">AVERAGE(OFFSET($EN$3,0,0,'Données projet'!$E$15+1,1))-AVERAGE(OFFSET($H$3,0,0,'Données projet'!$E$15+1,1))</f>
        <v>478.11504516179713</v>
      </c>
      <c r="EP32" s="60">
        <f t="shared" si="46"/>
        <v>249.93713224442419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0</v>
      </c>
      <c r="EW32" s="23">
        <f>EXP(-LN(2)/25)*EW31+(1-EXP(-LN(2)/25))/(LN(2)/25)*Calculateur!ER32*Calculateur!ET32*VLOOKUP('Données projet'!$B$15,Paramètres!$A$1:$I$89,3,0)*0.475*44/12</f>
        <v>0</v>
      </c>
      <c r="EX32" s="23">
        <f>EXP(-LN(2)/2)*EX31+(1-EXP(-LN(2)/2))/(LN(2)/2)*ER32*EU32*VLOOKUP('Données projet'!$B$15,Paramètres!$A$1:$I$89,3,0)*0.475*44/12</f>
        <v>0</v>
      </c>
      <c r="EY32" s="24">
        <f t="shared" si="21"/>
        <v>0</v>
      </c>
      <c r="EZ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9.1999999999999993</v>
      </c>
      <c r="FE32" s="13">
        <f>IF('Données projet'!$A$218&gt;35,FE31+FD32-FM31,IF(A32&lt;'Données projet'!$A$218,$FB$205^A32,IF(A32='Données projet'!$A$218,'Données projet'!$B$218,FE31+FD32-FM31)))</f>
        <v>111.80000000000003</v>
      </c>
      <c r="FF32" s="18">
        <f>FE32*VLOOKUP('Données projet'!$B$16,Paramètres!$A$1:$I$89,3,0)*VLOOKUP('Données projet'!$B$16,Paramètres!$A$1:$I$89,5,0)</f>
        <v>108.13296000000003</v>
      </c>
      <c r="FG32" s="14">
        <f t="shared" si="47"/>
        <v>28.890658079177882</v>
      </c>
      <c r="FH32" s="22">
        <f t="shared" si="22"/>
        <v>238.64946815456821</v>
      </c>
      <c r="FI32" s="60">
        <f t="shared" si="23"/>
        <v>475.57736547734407</v>
      </c>
      <c r="FJ32" s="60">
        <f ca="1">AVERAGE(OFFSET($FI$3,0,0,'Données projet'!$E$16+1,1))-AVERAGE(OFFSET($H$3,0,0,'Données projet'!$E$16+1,1))</f>
        <v>603.52431522262032</v>
      </c>
      <c r="FK32" s="60">
        <f t="shared" si="48"/>
        <v>313.56299786481338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>
        <f>EXP(-LN(2)/35)*FQ31+(1-EXP(-LN(2)/35))/(LN(2)/35)*FM32*FN32*VLOOKUP('Données projet'!$B$16,Paramètres!$A$1:$I$89,3,0)*0.475*44/12</f>
        <v>0</v>
      </c>
      <c r="FR32" s="23">
        <f>EXP(-LN(2)/25)*FR31+(1-EXP(-LN(2)/25))/(LN(2)/25)*Calculateur!FM32*Calculateur!FO32*VLOOKUP('Données projet'!$B$16,Paramètres!$A$1:$I$89,3,0)*0.475*44/12</f>
        <v>0</v>
      </c>
      <c r="FS32" s="23">
        <f>EXP(-LN(2)/2)*FS31+(1-EXP(-LN(2)/2))/(LN(2)/2)*FM32*FP32*VLOOKUP('Données projet'!$B$16,Paramètres!$A$1:$I$89,3,0)*0.475*44/12</f>
        <v>0</v>
      </c>
      <c r="FT32" s="24">
        <f t="shared" si="24"/>
        <v>0</v>
      </c>
      <c r="FU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9.2307692307692317</v>
      </c>
      <c r="FZ32" s="13">
        <f>IF('Données projet'!$A$244&gt;35,FZ31+FY32-GH31,IF(A32&lt;'Données projet'!$A$244,$FW$205^A32,IF(A32='Données projet'!$A$244,'Données projet'!$B$244,FZ31+FY32-GH31)))</f>
        <v>174.74358974358972</v>
      </c>
      <c r="GA32" s="18">
        <f>FZ32*VLOOKUP('Données projet'!$B$17,Paramètres!$A$1:$I$89,3,0)*VLOOKUP('Données projet'!$B$17,Paramètres!$A$1:$I$89,5,0)</f>
        <v>117.21799999999998</v>
      </c>
      <c r="GB32" s="14">
        <f t="shared" si="49"/>
        <v>31.025260351021213</v>
      </c>
      <c r="GC32" s="22">
        <f t="shared" si="25"/>
        <v>258.19034511136186</v>
      </c>
      <c r="GD32" s="60">
        <f t="shared" si="26"/>
        <v>495.1182424341377</v>
      </c>
      <c r="GE32" s="60">
        <f ca="1">AVERAGE(OFFSET($GD$3,0,0,'Données projet'!$E$17+1,1))-AVERAGE(OFFSET($H$3,0,0,'Données projet'!$E$17+1,1))</f>
        <v>396.0878652679051</v>
      </c>
      <c r="GF32" s="60">
        <f t="shared" si="50"/>
        <v>327.26339199235406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>
        <f>EXP(-LN(2)/35)*GL31+(1-EXP(-LN(2)/35))/(LN(2)/35)*GH32*GI32*VLOOKUP('Données projet'!$B$17,Paramètres!$A$1:$I$89,3,0)*0.475*44/12</f>
        <v>0</v>
      </c>
      <c r="GM32" s="23">
        <f>EXP(-LN(2)/25)*GM31+(1-EXP(-LN(2)/25))/(LN(2)/25)*Calculateur!GH32*Calculateur!GJ32*VLOOKUP('Données projet'!$B$17,Paramètres!$A$1:$I$89,3,0)*0.475*44/12</f>
        <v>0</v>
      </c>
      <c r="GN32" s="23">
        <f>EXP(-LN(2)/2)*GN31+(1-EXP(-LN(2)/2))/(LN(2)/2)*GH32*GK32*VLOOKUP('Données projet'!$B$17,Paramètres!$A$1:$I$89,3,0)*0.475*44/12</f>
        <v>0</v>
      </c>
      <c r="GO32" s="23">
        <f t="shared" si="27"/>
        <v>0</v>
      </c>
      <c r="GP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8.8000000000000007</v>
      </c>
      <c r="GU32" s="13">
        <f>IF('Données projet'!$A$270&gt;35,GU31+GT32-HC31,IF(A32&lt;'Données projet'!$A$270,$GR$205^A32,IF(A32='Données projet'!$A$270,'Données projet'!$B$270,GU31+GT32-HC31)))</f>
        <v>137.19999999999999</v>
      </c>
      <c r="GV32" s="18">
        <f>GU32*VLOOKUP('Données projet'!$B$18,Paramètres!$A$1:$I$89,3,0)*VLOOKUP('Données projet'!$B$18,Paramètres!$A$1:$I$89,5,0)</f>
        <v>111.29664</v>
      </c>
      <c r="GW32" s="14">
        <f t="shared" si="51"/>
        <v>29.636274399319777</v>
      </c>
      <c r="GX32" s="22">
        <f t="shared" si="28"/>
        <v>245.45815924548194</v>
      </c>
      <c r="GY32" s="60">
        <f t="shared" si="29"/>
        <v>482.3860565682578</v>
      </c>
      <c r="GZ32" s="60">
        <f ca="1">AVERAGE(OFFSET($GY$3,0,0,'Données projet'!$E$18+1,1))-AVERAGE(OFFSET($H$3,0,0,'Données projet'!$E$18+1,1))</f>
        <v>272.69564942740931</v>
      </c>
      <c r="HA32" s="60">
        <f t="shared" si="52"/>
        <v>316.57989180609252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>
        <f>EXP(-LN(2)/35)*HG31+(1-EXP(-LN(2)/35))/(LN(2)/35)*HC32*HD32*VLOOKUP('Données projet'!$B$18,Paramètres!$A$1:$I$89,3,0)*0.475*44/12</f>
        <v>0</v>
      </c>
      <c r="HH32" s="23">
        <f>EXP(-LN(2)/25)*HH31+(1-EXP(-LN(2)/25))/(LN(2)/25)*Calculateur!HC32*Calculateur!HE32*VLOOKUP('Données projet'!$B$18,Paramètres!$A$1:$I$89,3,0)*0.475*44/12</f>
        <v>0</v>
      </c>
      <c r="HI32" s="23">
        <f>EXP(-LN(2)/2)*HI31+(1-EXP(-LN(2)/2))/(LN(2)/2)*HC32*HF32*VLOOKUP('Données projet'!$B$18,Paramètres!$A$1:$I$89,3,0)*0.475*44/12</f>
        <v>0</v>
      </c>
      <c r="HJ32" s="24">
        <f t="shared" si="30"/>
        <v>0</v>
      </c>
    </row>
    <row r="33" spans="1:218" s="5" customFormat="1" x14ac:dyDescent="0.25">
      <c r="A33" s="11">
        <f t="shared" si="31"/>
        <v>30</v>
      </c>
      <c r="B33" s="75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8">
        <f t="shared" si="1"/>
        <v>183.33333333333334</v>
      </c>
      <c r="I33" s="7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121</v>
      </c>
      <c r="L33" s="13">
        <f>VLOOKUP(A33,'Données projet'!$A$35:$I$55,9,0)</f>
        <v>9.1999999999999993</v>
      </c>
      <c r="M33" s="13">
        <f t="array" ref="M33">INDEX(L:L,MIN(IF(ISNUMBER(L33:L229),ROW(L33:L229),"")))</f>
        <v>9.1999999999999993</v>
      </c>
      <c r="N33" s="14">
        <f>IF('Données projet'!$A$36&gt;35,N32+M33-V32,IF(A33&lt;'Données projet'!$A$36,$K$205^A33,IF(A33='Données projet'!$A$36,'Données projet'!$B$36,N32+M33-V32)))</f>
        <v>121.00000000000003</v>
      </c>
      <c r="O33" s="14">
        <f>N33*VLOOKUP('Données projet'!$B$9,Paramètres!$A$1:$I$89,3,0)*VLOOKUP('Données projet'!$B$9,Paramètres!$A$1:$I$89,5,0)</f>
        <v>109.48080000000002</v>
      </c>
      <c r="P33" s="14">
        <f t="shared" si="33"/>
        <v>29.208623339903898</v>
      </c>
      <c r="Q33" s="22">
        <f t="shared" si="2"/>
        <v>241.55074565033269</v>
      </c>
      <c r="R33" s="60">
        <f t="shared" si="0"/>
        <v>480.65817058337467</v>
      </c>
      <c r="S33" s="60">
        <f ca="1">AVERAGE(OFFSET($R$3,0,0,'Données projet'!$E$9+1,1))-AVERAGE(OFFSET($H$3,0,0,'Données projet'!$E$9+1,1))</f>
        <v>570.08763950759544</v>
      </c>
      <c r="T33" s="60">
        <f t="shared" si="34"/>
        <v>297.32483725004136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211.8</v>
      </c>
      <c r="AG33" s="13">
        <f>VLOOKUP(A33,'Données projet'!$A$61:$I$81,9,0)</f>
        <v>14.260000000000002</v>
      </c>
      <c r="AH33" s="13">
        <f t="array" ref="AH33">INDEX(AG:AG,MIN(IF(ISNUMBER(AG33:AG229),ROW(AG33:AG229),"")))</f>
        <v>14.260000000000002</v>
      </c>
      <c r="AI33" s="14">
        <f>IF('Données projet'!$A$62&gt;35,AI32+AH33-AQ32,IF(A33&lt;'Données projet'!$A$62,$AF$205^A33,IF(A33='Données projet'!$A$62,'Données projet'!$B$62,AI32+AH33-AQ32)))</f>
        <v>211.79999999999995</v>
      </c>
      <c r="AJ33" s="14">
        <f>AI33*VLOOKUP('Données projet'!$B$10,Paramètres!$A$1:$I$89,3,0)*VLOOKUP('Données projet'!$B$10,Paramètres!$A$1:$I$89,5,0)</f>
        <v>168.50807999999995</v>
      </c>
      <c r="AK33" s="14">
        <f t="shared" si="35"/>
        <v>42.755711908378117</v>
      </c>
      <c r="AL33" s="22">
        <f t="shared" si="4"/>
        <v>367.95110424042514</v>
      </c>
      <c r="AM33" s="60">
        <f t="shared" si="5"/>
        <v>607.05852917346715</v>
      </c>
      <c r="AN33" s="60">
        <f ca="1">AVERAGE(OFFSET($AM$3,0,0,'Données projet'!$E$10+1,1))-AVERAGE(OFFSET($H$3,0,0,'Données projet'!$E$10+1,1))</f>
        <v>394.49874384716014</v>
      </c>
      <c r="AO33" s="60">
        <f t="shared" si="36"/>
        <v>423.72519584013378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70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174.5</v>
      </c>
      <c r="BB33" s="13">
        <f>VLOOKUP(A33,'Données projet'!$A$87:$I$107,9,0)</f>
        <v>12</v>
      </c>
      <c r="BC33" s="13">
        <f t="array" ref="BC33">INDEX(BB:BB,MIN(IF(ISNUMBER(BB33:BB229),ROW(BB33:BB229),"")))</f>
        <v>12</v>
      </c>
      <c r="BD33" s="13">
        <f>IF('Données projet'!$A$88&gt;35,BD32+BC33-BL32,IF(A33&lt;'Données projet'!$A$88,$BA$205^A33,IF(A33='Données projet'!$A$88,'Données projet'!$B$88,BD32+BC33-BL32)))</f>
        <v>174.5</v>
      </c>
      <c r="BE33" s="14">
        <f>BD33*VLOOKUP('Données projet'!$B$11,Paramètres!$A$1:$I$89,3,0)*VLOOKUP('Données projet'!$B$11,Paramètres!$A$1:$I$89,5,0)</f>
        <v>152.44320000000002</v>
      </c>
      <c r="BF33" s="14">
        <f t="shared" si="37"/>
        <v>39.133288418096313</v>
      </c>
      <c r="BG33" s="22">
        <f t="shared" si="7"/>
        <v>333.66238399485115</v>
      </c>
      <c r="BH33" s="60">
        <f t="shared" si="8"/>
        <v>572.76980892789311</v>
      </c>
      <c r="BI33" s="60">
        <f ca="1">AVERAGE(OFFSET($BH$3,0,0,'Données projet'!$E$11+1,1))-AVERAGE(OFFSET($H$3,0,0,'Données projet'!$E$11+1,1))</f>
        <v>363.28611056308665</v>
      </c>
      <c r="BJ33" s="60">
        <f t="shared" si="38"/>
        <v>389.43647559455974</v>
      </c>
      <c r="BK33" s="16">
        <f>IF(ISNA(VLOOKUP(A33,'Données projet'!$A$87:$I$107,3,0)),0,VLOOKUP(A33,'Données projet'!$A$87:$I$107,3,0))</f>
        <v>2</v>
      </c>
      <c r="BL33" s="16">
        <f>IF(ISNA(VLOOKUP(A33,'Données projet'!$A$87:$I$107,4,0)),0,VLOOKUP(A33,'Données projet'!$A$87:$I$107,4,0))</f>
        <v>56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123.71794871794872</v>
      </c>
      <c r="BW33" s="13">
        <f>VLOOKUP(A33,'Données projet'!$A$113:$I$133,9,0)</f>
        <v>7.4358974358974361</v>
      </c>
      <c r="BX33" s="13">
        <f t="array" ref="BX33">INDEX(BW:BW,MIN(IF(ISNUMBER(BW33:BW229),ROW(BW33:BW229),"")))</f>
        <v>7.4358974358974361</v>
      </c>
      <c r="BY33" s="13">
        <f>IF('Données projet'!$A$114&gt;35,BY32+BX33-CG32,IF(A33&lt;'Données projet'!$A$114,$BV$205^A33,IF(A33='Données projet'!$A$114,'Données projet'!$B$114,BY32+BX33-CG32)))</f>
        <v>123.71794871794872</v>
      </c>
      <c r="BZ33" s="14">
        <f>BY33*VLOOKUP('Données projet'!$B$12,Paramètres!$A$1:$I$89,3,0)*VLOOKUP('Données projet'!$B$12,Paramètres!$A$1:$I$89,5,0)</f>
        <v>117.73</v>
      </c>
      <c r="CA33" s="14">
        <f t="shared" si="39"/>
        <v>31.144972039735432</v>
      </c>
      <c r="CB33" s="22">
        <f t="shared" si="10"/>
        <v>259.29057630253919</v>
      </c>
      <c r="CC33" s="60">
        <f t="shared" si="11"/>
        <v>498.39800123558121</v>
      </c>
      <c r="CD33" s="60">
        <f ca="1">AVERAGE(OFFSET($CC$3,0,0,'Données projet'!$E$12+1,1))-AVERAGE(OFFSET($H$3,0,0,'Données projet'!$E$12+1,1))</f>
        <v>441.15969139782891</v>
      </c>
      <c r="CE33" s="60">
        <f t="shared" si="40"/>
        <v>315.06466790224783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211.8</v>
      </c>
      <c r="CR33" s="13">
        <f>VLOOKUP(A33,'Données projet'!$A$139:$I$159,9,0)</f>
        <v>14.260000000000002</v>
      </c>
      <c r="CS33" s="13">
        <f t="array" ref="CS33">INDEX(CR:CR,MIN(IF(ISNUMBER(CR33:CR229),ROW(CR33:CR229),"")))</f>
        <v>14.260000000000002</v>
      </c>
      <c r="CT33" s="13">
        <f>IF('Données projet'!$A$140&gt;35,CT32+CS33-DB32,IF(A33&lt;'Données projet'!$A$140,$CQ$205^A33,IF(A33='Données projet'!$A$140,'Données projet'!$B$140,CT32+CS33-DB32)))</f>
        <v>211.79999999999995</v>
      </c>
      <c r="CU33" s="18">
        <f>CT33*VLOOKUP('Données projet'!$B$13,Paramètres!$A$1:$I$89,3,0)*VLOOKUP('Données projet'!$B$13,Paramètres!$A$1:$I$89,5,0)</f>
        <v>155.29175999999998</v>
      </c>
      <c r="CV33" s="14">
        <f t="shared" si="41"/>
        <v>39.778719769696814</v>
      </c>
      <c r="CW33" s="22">
        <f t="shared" si="13"/>
        <v>339.74775226555522</v>
      </c>
      <c r="CX33" s="60">
        <f t="shared" si="14"/>
        <v>578.85517719859718</v>
      </c>
      <c r="CY33" s="60">
        <f ca="1">AVERAGE(OFFSET($CX$3,0,0,'Données projet'!$E$13+1,1))-AVERAGE(OFFSET($H$3,0,0,'Données projet'!$E$13+1,1))</f>
        <v>368.35775920359396</v>
      </c>
      <c r="CZ33" s="60">
        <f t="shared" si="42"/>
        <v>395.5218438652638</v>
      </c>
      <c r="DA33" s="16">
        <f>IF(ISNA(VLOOKUP(A33,'Données projet'!$A$139:$I$159,3,0)),0,VLOOKUP(A33,'Données projet'!$A$139:$I$159,3,0))</f>
        <v>2</v>
      </c>
      <c r="DB33" s="16">
        <f>IF(ISNA(VLOOKUP(A33,'Données projet'!$A$139:$I$159,4,0)),0,VLOOKUP(A33,'Données projet'!$A$139:$I$159,4,0))</f>
        <v>70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11.5</v>
      </c>
      <c r="DO33" s="13">
        <f>IF('Données projet'!$A$166&gt;35,DO32+DN33-DW32,IF(A33&lt;'Données projet'!$A$166,$DL$205^A33,IF(A33='Données projet'!$A$166,'Données projet'!$B$166,DO32+DN33-DW32)))</f>
        <v>143.49999999999997</v>
      </c>
      <c r="DP33" s="18">
        <f>DO33*VLOOKUP('Données projet'!$B$14,Paramètres!$A$1:$I$89,3,0)*VLOOKUP('Données projet'!$B$14,Paramètres!$A$1:$I$89,5,0)</f>
        <v>111.92999999999998</v>
      </c>
      <c r="DQ33" s="14">
        <f t="shared" si="43"/>
        <v>29.785246291563833</v>
      </c>
      <c r="DR33" s="22">
        <f t="shared" si="16"/>
        <v>246.82072062447358</v>
      </c>
      <c r="DS33" s="60">
        <f t="shared" si="17"/>
        <v>485.92814555751556</v>
      </c>
      <c r="DT33" s="60">
        <f ca="1">AVERAGE(OFFSET($DS$3,0,0,'Données projet'!$E$14+1,1))-AVERAGE(OFFSET($H$3,0,0,'Données projet'!$E$14+1,1))</f>
        <v>312.59632808777332</v>
      </c>
      <c r="DU33" s="60">
        <f t="shared" si="44"/>
        <v>302.59481222418219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>
        <f>VLOOKUP(A33,'Données projet'!$A$191:$I$211,2,0)</f>
        <v>102</v>
      </c>
      <c r="EH33" s="13">
        <f>VLOOKUP(A33,'Données projet'!$A$191:$I$211,9,0)</f>
        <v>12.333333333333334</v>
      </c>
      <c r="EI33" s="13">
        <f t="array" ref="EI33">INDEX(EH:EH,MIN(IF(ISNUMBER(EH33:EH229),ROW(EH33:EH229),"")))</f>
        <v>12.333333333333334</v>
      </c>
      <c r="EJ33" s="13">
        <f>IF('Données projet'!$A$192&gt;35,EJ32+EI33-ER32,IF(A33&lt;'Données projet'!$A$192,$EG$205^A33,IF(A33='Données projet'!$A$192,'Données projet'!$B$192,EJ32+EI33-ER32)))</f>
        <v>101.99999999999999</v>
      </c>
      <c r="EK33" s="18">
        <f>EJ33*VLOOKUP('Données projet'!$B$15,Paramètres!$A$1:$I$89,3,0)*VLOOKUP('Données projet'!$B$15,Paramètres!$A$1:$I$89,5,0)</f>
        <v>87.515999999999991</v>
      </c>
      <c r="EL33" s="14">
        <f t="shared" si="45"/>
        <v>23.965171662037644</v>
      </c>
      <c r="EM33" s="22">
        <f t="shared" si="19"/>
        <v>194.16304064471555</v>
      </c>
      <c r="EN33" s="60">
        <f t="shared" si="20"/>
        <v>433.27046557775753</v>
      </c>
      <c r="EO33" s="60">
        <f ca="1">AVERAGE(OFFSET($EN$3,0,0,'Données projet'!$E$15+1,1))-AVERAGE(OFFSET($H$3,0,0,'Données projet'!$E$15+1,1))</f>
        <v>478.11504516179713</v>
      </c>
      <c r="EP33" s="60">
        <f t="shared" si="46"/>
        <v>249.93713224442419</v>
      </c>
      <c r="EQ33" s="16">
        <f>IF(ISNA(VLOOKUP(A33,'Données projet'!$A$191:$I$211,3,0)),0,VLOOKUP(A33,'Données projet'!$A$191:$I$211,3,0))</f>
        <v>2</v>
      </c>
      <c r="ER33" s="16">
        <f>IF(ISNA(VLOOKUP(A33,'Données projet'!$A$191:$I$211,4,0)),0,VLOOKUP(A33,'Données projet'!$A$191:$I$211,4,0))</f>
        <v>13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projet'!$B$15,Paramètres!$A$1:$I$89,3,0)*0.475*44/12</f>
        <v>0</v>
      </c>
      <c r="EW33" s="23">
        <f>EXP(-LN(2)/25)*EW32+(1-EXP(-LN(2)/25))/(LN(2)/25)*Calculateur!ER33*Calculateur!ET33*VLOOKUP('Données projet'!$B$15,Paramètres!$A$1:$I$89,3,0)*0.475*44/12</f>
        <v>0</v>
      </c>
      <c r="EX33" s="23">
        <f>EXP(-LN(2)/2)*EX32+(1-EXP(-LN(2)/2))/(LN(2)/2)*ER33*EU33*VLOOKUP('Données projet'!$B$15,Paramètres!$A$1:$I$89,3,0)*0.475*44/12</f>
        <v>0</v>
      </c>
      <c r="EY33" s="24">
        <f t="shared" si="21"/>
        <v>0</v>
      </c>
      <c r="EZ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>
        <f>VLOOKUP(A33,'Données projet'!$A$217:$I$237,2,0)</f>
        <v>121</v>
      </c>
      <c r="FC33" s="13">
        <f>VLOOKUP(A33,'Données projet'!$A$217:$I$237,9,0)</f>
        <v>9.1999999999999993</v>
      </c>
      <c r="FD33" s="13">
        <f t="array" ref="FD33">INDEX(FC:FC,MIN(IF(ISNUMBER(FC33:FC229),ROW(FC33:FC229),"")))</f>
        <v>9.1999999999999993</v>
      </c>
      <c r="FE33" s="13">
        <f>IF('Données projet'!$A$218&gt;35,FE32+FD33-FM32,IF(A33&lt;'Données projet'!$A$218,$FB$205^A33,IF(A33='Données projet'!$A$218,'Données projet'!$B$218,FE32+FD33-FM32)))</f>
        <v>121.00000000000003</v>
      </c>
      <c r="FF33" s="18">
        <f>FE33*VLOOKUP('Données projet'!$B$16,Paramètres!$A$1:$I$89,3,0)*VLOOKUP('Données projet'!$B$16,Paramètres!$A$1:$I$89,5,0)</f>
        <v>117.03120000000003</v>
      </c>
      <c r="FG33" s="14">
        <f t="shared" si="47"/>
        <v>30.981569147428555</v>
      </c>
      <c r="FH33" s="22">
        <f t="shared" si="22"/>
        <v>257.78890626510474</v>
      </c>
      <c r="FI33" s="60">
        <f t="shared" si="23"/>
        <v>496.89633119814675</v>
      </c>
      <c r="FJ33" s="60">
        <f ca="1">AVERAGE(OFFSET($FI$3,0,0,'Données projet'!$E$16+1,1))-AVERAGE(OFFSET($H$3,0,0,'Données projet'!$E$16+1,1))</f>
        <v>603.52431522262032</v>
      </c>
      <c r="FK33" s="60">
        <f t="shared" si="48"/>
        <v>313.56299786481338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>
        <f>EXP(-LN(2)/35)*FQ32+(1-EXP(-LN(2)/35))/(LN(2)/35)*FM33*FN33*VLOOKUP('Données projet'!$B$16,Paramètres!$A$1:$I$89,3,0)*0.475*44/12</f>
        <v>0</v>
      </c>
      <c r="FR33" s="23">
        <f>EXP(-LN(2)/25)*FR32+(1-EXP(-LN(2)/25))/(LN(2)/25)*Calculateur!FM33*Calculateur!FO33*VLOOKUP('Données projet'!$B$16,Paramètres!$A$1:$I$89,3,0)*0.475*44/12</f>
        <v>0</v>
      </c>
      <c r="FS33" s="23">
        <f>EXP(-LN(2)/2)*FS32+(1-EXP(-LN(2)/2))/(LN(2)/2)*FM33*FP33*VLOOKUP('Données projet'!$B$16,Paramètres!$A$1:$I$89,3,0)*0.475*44/12</f>
        <v>0</v>
      </c>
      <c r="FT33" s="24">
        <f t="shared" si="24"/>
        <v>0</v>
      </c>
      <c r="FU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>
        <f>VLOOKUP(A33,'Données projet'!$A$243:$I$263,2,0)</f>
        <v>183.97435897435898</v>
      </c>
      <c r="FX33" s="13">
        <f>VLOOKUP(A33,'Données projet'!$A$243:$I$263,9,0)</f>
        <v>9.2307692307692317</v>
      </c>
      <c r="FY33" s="13">
        <f t="array" ref="FY33">INDEX(FX:FX,MIN(IF(ISNUMBER(FX33:FX229),ROW(FX33:FX229),"")))</f>
        <v>9.2307692307692317</v>
      </c>
      <c r="FZ33" s="13">
        <f>IF('Données projet'!$A$244&gt;35,FZ32+FY33-GH32,IF(A33&lt;'Données projet'!$A$244,$FW$205^A33,IF(A33='Données projet'!$A$244,'Données projet'!$B$244,FZ32+FY33-GH32)))</f>
        <v>183.97435897435895</v>
      </c>
      <c r="GA33" s="18">
        <f>FZ33*VLOOKUP('Données projet'!$B$17,Paramètres!$A$1:$I$89,3,0)*VLOOKUP('Données projet'!$B$17,Paramètres!$A$1:$I$89,5,0)</f>
        <v>123.41</v>
      </c>
      <c r="GB33" s="14">
        <f t="shared" si="49"/>
        <v>32.469024148887371</v>
      </c>
      <c r="GC33" s="22">
        <f t="shared" si="25"/>
        <v>271.48930039264548</v>
      </c>
      <c r="GD33" s="60">
        <f t="shared" si="26"/>
        <v>510.59672532568743</v>
      </c>
      <c r="GE33" s="60">
        <f ca="1">AVERAGE(OFFSET($GD$3,0,0,'Données projet'!$E$17+1,1))-AVERAGE(OFFSET($H$3,0,0,'Données projet'!$E$17+1,1))</f>
        <v>396.0878652679051</v>
      </c>
      <c r="GF33" s="60">
        <f t="shared" si="50"/>
        <v>327.26339199235406</v>
      </c>
      <c r="GG33" s="16">
        <f>IF(ISNA(VLOOKUP(A33,'Données projet'!$A$243:$I$263,3,0)),0,VLOOKUP(A33,'Données projet'!$A$243:$I$263,3,0))</f>
        <v>2</v>
      </c>
      <c r="GH33" s="16">
        <f>IF(ISNA(VLOOKUP(A33,'Données projet'!$A$243:$I$263,4,0)),0,VLOOKUP(A33,'Données projet'!$A$243:$I$263,4,0))</f>
        <v>39.102564102564102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>
        <f>EXP(-LN(2)/35)*GL32+(1-EXP(-LN(2)/35))/(LN(2)/35)*GH33*GI33*VLOOKUP('Données projet'!$B$17,Paramètres!$A$1:$I$89,3,0)*0.475*44/12</f>
        <v>0</v>
      </c>
      <c r="GM33" s="23">
        <f>EXP(-LN(2)/25)*GM32+(1-EXP(-LN(2)/25))/(LN(2)/25)*Calculateur!GH33*Calculateur!GJ33*VLOOKUP('Données projet'!$B$17,Paramètres!$A$1:$I$89,3,0)*0.475*44/12</f>
        <v>0</v>
      </c>
      <c r="GN33" s="23">
        <f>EXP(-LN(2)/2)*GN32+(1-EXP(-LN(2)/2))/(LN(2)/2)*GH33*GK33*VLOOKUP('Données projet'!$B$17,Paramètres!$A$1:$I$89,3,0)*0.475*44/12</f>
        <v>0</v>
      </c>
      <c r="GO33" s="23">
        <f t="shared" si="27"/>
        <v>0</v>
      </c>
      <c r="GP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>
        <f>VLOOKUP(A33,'Données projet'!$A$269:$I$289,2,0)</f>
        <v>146</v>
      </c>
      <c r="GS33" s="13">
        <f>VLOOKUP(A33,'Données projet'!$A$269:$I$289,9,0)</f>
        <v>8.8000000000000007</v>
      </c>
      <c r="GT33" s="13">
        <f t="array" ref="GT33">INDEX(GS:GS,MIN(IF(ISNUMBER(GS33:GS229),ROW(GS33:GS229),"")))</f>
        <v>8.8000000000000007</v>
      </c>
      <c r="GU33" s="13">
        <f>IF('Données projet'!$A$270&gt;35,GU32+GT33-HC32,IF(A33&lt;'Données projet'!$A$270,$GR$205^A33,IF(A33='Données projet'!$A$270,'Données projet'!$B$270,GU32+GT33-HC32)))</f>
        <v>146</v>
      </c>
      <c r="GV33" s="18">
        <f>GU33*VLOOKUP('Données projet'!$B$18,Paramètres!$A$1:$I$89,3,0)*VLOOKUP('Données projet'!$B$18,Paramètres!$A$1:$I$89,5,0)</f>
        <v>118.43520000000001</v>
      </c>
      <c r="GW33" s="14">
        <f t="shared" si="51"/>
        <v>31.309757056296963</v>
      </c>
      <c r="GX33" s="22">
        <f t="shared" si="28"/>
        <v>260.80580020638394</v>
      </c>
      <c r="GY33" s="60">
        <f t="shared" si="29"/>
        <v>499.91322513942589</v>
      </c>
      <c r="GZ33" s="60">
        <f ca="1">AVERAGE(OFFSET($GY$3,0,0,'Données projet'!$E$18+1,1))-AVERAGE(OFFSET($H$3,0,0,'Données projet'!$E$18+1,1))</f>
        <v>272.69564942740931</v>
      </c>
      <c r="HA33" s="60">
        <f t="shared" si="52"/>
        <v>316.57989180609252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>
        <f>EXP(-LN(2)/35)*HG32+(1-EXP(-LN(2)/35))/(LN(2)/35)*HC33*HD33*VLOOKUP('Données projet'!$B$18,Paramètres!$A$1:$I$89,3,0)*0.475*44/12</f>
        <v>0</v>
      </c>
      <c r="HH33" s="23">
        <f>EXP(-LN(2)/25)*HH32+(1-EXP(-LN(2)/25))/(LN(2)/25)*Calculateur!HC33*Calculateur!HE33*VLOOKUP('Données projet'!$B$18,Paramètres!$A$1:$I$89,3,0)*0.475*44/12</f>
        <v>0</v>
      </c>
      <c r="HI33" s="23">
        <f>EXP(-LN(2)/2)*HI32+(1-EXP(-LN(2)/2))/(LN(2)/2)*HC33*HF33*VLOOKUP('Données projet'!$B$18,Paramètres!$A$1:$I$89,3,0)*0.475*44/12</f>
        <v>0</v>
      </c>
      <c r="HJ33" s="24">
        <f t="shared" si="30"/>
        <v>0</v>
      </c>
    </row>
    <row r="34" spans="1:218" s="5" customFormat="1" x14ac:dyDescent="0.25">
      <c r="A34" s="11">
        <f t="shared" si="31"/>
        <v>31</v>
      </c>
      <c r="B34" s="75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8">
        <f t="shared" si="1"/>
        <v>183.33333333333334</v>
      </c>
      <c r="I34" s="7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10.8</v>
      </c>
      <c r="N34" s="14">
        <f>IF('Données projet'!$A$36&gt;35,N33+M34-V33,IF(A34&lt;'Données projet'!$A$36,$K$205^A34,IF(A34='Données projet'!$A$36,'Données projet'!$B$36,N33+M34-V33)))</f>
        <v>131.80000000000004</v>
      </c>
      <c r="O34" s="14">
        <f>N34*VLOOKUP('Données projet'!$B$9,Paramètres!$A$1:$I$89,3,0)*VLOOKUP('Données projet'!$B$9,Paramètres!$A$1:$I$89,5,0)</f>
        <v>119.25264000000003</v>
      </c>
      <c r="P34" s="14">
        <f t="shared" si="33"/>
        <v>31.500626518374375</v>
      </c>
      <c r="Q34" s="22">
        <f t="shared" si="2"/>
        <v>262.56193918616879</v>
      </c>
      <c r="R34" s="60">
        <f t="shared" si="0"/>
        <v>502.61006239898632</v>
      </c>
      <c r="S34" s="60">
        <f ca="1">AVERAGE(OFFSET($R$3,0,0,'Données projet'!$E$9+1,1))-AVERAGE(OFFSET($H$3,0,0,'Données projet'!$E$9+1,1))</f>
        <v>570.08763950759544</v>
      </c>
      <c r="T34" s="60">
        <f t="shared" si="34"/>
        <v>297.32483725004136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12.919999999999998</v>
      </c>
      <c r="AI34" s="14">
        <f>IF('Données projet'!$A$62&gt;35,AI33+AH34-AQ33,IF(A34&lt;'Données projet'!$A$62,$AF$205^A34,IF(A34='Données projet'!$A$62,'Données projet'!$B$62,AI33+AH34-AQ33)))</f>
        <v>154.71999999999994</v>
      </c>
      <c r="AJ34" s="14">
        <f>AI34*VLOOKUP('Données projet'!$B$10,Paramètres!$A$1:$I$89,3,0)*VLOOKUP('Données projet'!$B$10,Paramètres!$A$1:$I$89,5,0)</f>
        <v>123.09523199999997</v>
      </c>
      <c r="AK34" s="14">
        <f t="shared" si="35"/>
        <v>32.395837865893974</v>
      </c>
      <c r="AL34" s="22">
        <f t="shared" si="4"/>
        <v>270.81361334976526</v>
      </c>
      <c r="AM34" s="60">
        <f t="shared" si="5"/>
        <v>510.86173656258279</v>
      </c>
      <c r="AN34" s="60">
        <f ca="1">AVERAGE(OFFSET($AM$3,0,0,'Données projet'!$E$10+1,1))-AVERAGE(OFFSET($H$3,0,0,'Données projet'!$E$10+1,1))</f>
        <v>394.49874384716014</v>
      </c>
      <c r="AO34" s="60">
        <f t="shared" si="36"/>
        <v>423.72519584013378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10.780000000000001</v>
      </c>
      <c r="BD34" s="13">
        <f>IF('Données projet'!$A$88&gt;35,BD33+BC34-BL33,IF(A34&lt;'Données projet'!$A$88,$BA$205^A34,IF(A34='Données projet'!$A$88,'Données projet'!$B$88,BD33+BC34-BL33)))</f>
        <v>129.28</v>
      </c>
      <c r="BE34" s="14">
        <f>BD34*VLOOKUP('Données projet'!$B$11,Paramètres!$A$1:$I$89,3,0)*VLOOKUP('Données projet'!$B$11,Paramètres!$A$1:$I$89,5,0)</f>
        <v>112.93900800000003</v>
      </c>
      <c r="BF34" s="14">
        <f t="shared" si="37"/>
        <v>30.022371571514686</v>
      </c>
      <c r="BG34" s="22">
        <f t="shared" si="7"/>
        <v>248.99106942038816</v>
      </c>
      <c r="BH34" s="60">
        <f t="shared" si="8"/>
        <v>489.03919263320574</v>
      </c>
      <c r="BI34" s="60">
        <f ca="1">AVERAGE(OFFSET($BH$3,0,0,'Données projet'!$E$11+1,1))-AVERAGE(OFFSET($H$3,0,0,'Données projet'!$E$11+1,1))</f>
        <v>363.28611056308665</v>
      </c>
      <c r="BJ34" s="60">
        <f t="shared" si="38"/>
        <v>389.43647559455974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7.1794871794871797</v>
      </c>
      <c r="BY34" s="13">
        <f>IF('Données projet'!$A$114&gt;35,BY33+BX34-CG33,IF(A34&lt;'Données projet'!$A$114,$BV$205^A34,IF(A34='Données projet'!$A$114,'Données projet'!$B$114,BY33+BX34-CG33)))</f>
        <v>130.89743589743588</v>
      </c>
      <c r="BZ34" s="14">
        <f>BY34*VLOOKUP('Données projet'!$B$12,Paramètres!$A$1:$I$89,3,0)*VLOOKUP('Données projet'!$B$12,Paramètres!$A$1:$I$89,5,0)</f>
        <v>124.56199999999998</v>
      </c>
      <c r="CA34" s="14">
        <f t="shared" si="39"/>
        <v>32.736689328514629</v>
      </c>
      <c r="CB34" s="22">
        <f t="shared" si="10"/>
        <v>273.96188391382958</v>
      </c>
      <c r="CC34" s="60">
        <f t="shared" si="11"/>
        <v>514.01000712664711</v>
      </c>
      <c r="CD34" s="60">
        <f ca="1">AVERAGE(OFFSET($CC$3,0,0,'Données projet'!$E$12+1,1))-AVERAGE(OFFSET($H$3,0,0,'Données projet'!$E$12+1,1))</f>
        <v>441.15969139782891</v>
      </c>
      <c r="CE34" s="60">
        <f t="shared" si="40"/>
        <v>315.06466790224783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12.919999999999998</v>
      </c>
      <c r="CT34" s="13">
        <f>IF('Données projet'!$A$140&gt;35,CT33+CS34-DB33,IF(A34&lt;'Données projet'!$A$140,$CQ$205^A34,IF(A34='Données projet'!$A$140,'Données projet'!$B$140,CT33+CS34-DB33)))</f>
        <v>154.71999999999994</v>
      </c>
      <c r="CU34" s="18">
        <f>CT34*VLOOKUP('Données projet'!$B$13,Paramètres!$A$1:$I$89,3,0)*VLOOKUP('Données projet'!$B$13,Paramètres!$A$1:$I$89,5,0)</f>
        <v>113.44070399999997</v>
      </c>
      <c r="CV34" s="14">
        <f t="shared" si="41"/>
        <v>30.140182414303599</v>
      </c>
      <c r="CW34" s="22">
        <f t="shared" si="13"/>
        <v>250.07004383824537</v>
      </c>
      <c r="CX34" s="60">
        <f t="shared" si="14"/>
        <v>490.11816705106293</v>
      </c>
      <c r="CY34" s="60">
        <f ca="1">AVERAGE(OFFSET($CX$3,0,0,'Données projet'!$E$13+1,1))-AVERAGE(OFFSET($H$3,0,0,'Données projet'!$E$13+1,1))</f>
        <v>368.35775920359396</v>
      </c>
      <c r="CZ34" s="60">
        <f t="shared" si="42"/>
        <v>395.5218438652638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>
        <f>VLOOKUP(A34,'Données projet'!$A$165:$I$185,2,0)</f>
        <v>155</v>
      </c>
      <c r="DM34" s="13">
        <f>VLOOKUP(A34,'Données projet'!$A$165:$I$185,9,0)</f>
        <v>11.5</v>
      </c>
      <c r="DN34" s="13">
        <f t="array" ref="DN34">INDEX(DM:DM,MIN(IF(ISNUMBER(DM34:DM230),ROW(DM34:DM230),"")))</f>
        <v>11.5</v>
      </c>
      <c r="DO34" s="13">
        <f>IF('Données projet'!$A$166&gt;35,DO33+DN34-DW33,IF(A34&lt;'Données projet'!$A$166,$DL$205^A34,IF(A34='Données projet'!$A$166,'Données projet'!$B$166,DO33+DN34-DW33)))</f>
        <v>154.99999999999997</v>
      </c>
      <c r="DP34" s="18">
        <f>DO34*VLOOKUP('Données projet'!$B$14,Paramètres!$A$1:$I$89,3,0)*VLOOKUP('Données projet'!$B$14,Paramètres!$A$1:$I$89,5,0)</f>
        <v>120.89999999999998</v>
      </c>
      <c r="DQ34" s="14">
        <f t="shared" si="43"/>
        <v>31.884818143351602</v>
      </c>
      <c r="DR34" s="22">
        <f t="shared" si="16"/>
        <v>266.10022493300397</v>
      </c>
      <c r="DS34" s="60">
        <f t="shared" si="17"/>
        <v>506.1483481458215</v>
      </c>
      <c r="DT34" s="60">
        <f ca="1">AVERAGE(OFFSET($DS$3,0,0,'Données projet'!$E$14+1,1))-AVERAGE(OFFSET($H$3,0,0,'Données projet'!$E$14+1,1))</f>
        <v>312.59632808777332</v>
      </c>
      <c r="DU34" s="60">
        <f t="shared" si="44"/>
        <v>302.59481222418219</v>
      </c>
      <c r="DV34" s="16">
        <f>IF(ISNA(VLOOKUP(A34,'Données projet'!$A$165:$I$185,3,0)),0,VLOOKUP(A34,'Données projet'!$A$165:$I$185,3,0))</f>
        <v>2</v>
      </c>
      <c r="DW34" s="16">
        <f>IF(ISNA(VLOOKUP(A34,'Données projet'!$A$165:$I$185,4,0)),0,VLOOKUP(A34,'Données projet'!$A$165:$I$185,4,0))</f>
        <v>36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14.166666666666666</v>
      </c>
      <c r="EJ34" s="13">
        <f>IF('Données projet'!$A$192&gt;35,EJ33+EI34-ER33,IF(A34&lt;'Données projet'!$A$192,$EG$205^A34,IF(A34='Données projet'!$A$192,'Données projet'!$B$192,EJ33+EI34-ER33)))</f>
        <v>103.16666666666666</v>
      </c>
      <c r="EK34" s="18">
        <f>EJ34*VLOOKUP('Données projet'!$B$15,Paramètres!$A$1:$I$89,3,0)*VLOOKUP('Données projet'!$B$15,Paramètres!$A$1:$I$89,5,0)</f>
        <v>88.51700000000001</v>
      </c>
      <c r="EL34" s="14">
        <f t="shared" si="45"/>
        <v>24.207215980626653</v>
      </c>
      <c r="EM34" s="22">
        <f t="shared" si="19"/>
        <v>196.32800949959145</v>
      </c>
      <c r="EN34" s="60">
        <f t="shared" si="20"/>
        <v>436.376132712409</v>
      </c>
      <c r="EO34" s="60">
        <f ca="1">AVERAGE(OFFSET($EN$3,0,0,'Données projet'!$E$15+1,1))-AVERAGE(OFFSET($H$3,0,0,'Données projet'!$E$15+1,1))</f>
        <v>478.11504516179713</v>
      </c>
      <c r="EP34" s="60">
        <f t="shared" si="46"/>
        <v>249.93713224442419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0</v>
      </c>
      <c r="EW34" s="23">
        <f>EXP(-LN(2)/25)*EW33+(1-EXP(-LN(2)/25))/(LN(2)/25)*Calculateur!ER34*Calculateur!ET34*VLOOKUP('Données projet'!$B$15,Paramètres!$A$1:$I$89,3,0)*0.475*44/12</f>
        <v>0</v>
      </c>
      <c r="EX34" s="23">
        <f>EXP(-LN(2)/2)*EX33+(1-EXP(-LN(2)/2))/(LN(2)/2)*ER34*EU34*VLOOKUP('Données projet'!$B$15,Paramètres!$A$1:$I$89,3,0)*0.475*44/12</f>
        <v>0</v>
      </c>
      <c r="EY34" s="24">
        <f t="shared" si="21"/>
        <v>0</v>
      </c>
      <c r="EZ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10.8</v>
      </c>
      <c r="FE34" s="13">
        <f>IF('Données projet'!$A$218&gt;35,FE33+FD34-FM33,IF(A34&lt;'Données projet'!$A$218,$FB$205^A34,IF(A34='Données projet'!$A$218,'Données projet'!$B$218,FE33+FD34-FM33)))</f>
        <v>131.80000000000004</v>
      </c>
      <c r="FF34" s="18">
        <f>FE34*VLOOKUP('Données projet'!$B$16,Paramètres!$A$1:$I$89,3,0)*VLOOKUP('Données projet'!$B$16,Paramètres!$A$1:$I$89,5,0)</f>
        <v>127.47696000000003</v>
      </c>
      <c r="FG34" s="14">
        <f t="shared" si="47"/>
        <v>33.412695535466739</v>
      </c>
      <c r="FH34" s="22">
        <f t="shared" si="22"/>
        <v>280.21615005760458</v>
      </c>
      <c r="FI34" s="60">
        <f t="shared" si="23"/>
        <v>520.26427327042211</v>
      </c>
      <c r="FJ34" s="60">
        <f ca="1">AVERAGE(OFFSET($FI$3,0,0,'Données projet'!$E$16+1,1))-AVERAGE(OFFSET($H$3,0,0,'Données projet'!$E$16+1,1))</f>
        <v>603.52431522262032</v>
      </c>
      <c r="FK34" s="60">
        <f t="shared" si="48"/>
        <v>313.56299786481338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>
        <f>EXP(-LN(2)/35)*FQ33+(1-EXP(-LN(2)/35))/(LN(2)/35)*FM34*FN34*VLOOKUP('Données projet'!$B$16,Paramètres!$A$1:$I$89,3,0)*0.475*44/12</f>
        <v>0</v>
      </c>
      <c r="FR34" s="23">
        <f>EXP(-LN(2)/25)*FR33+(1-EXP(-LN(2)/25))/(LN(2)/25)*Calculateur!FM34*Calculateur!FO34*VLOOKUP('Données projet'!$B$16,Paramètres!$A$1:$I$89,3,0)*0.475*44/12</f>
        <v>0</v>
      </c>
      <c r="FS34" s="23">
        <f>EXP(-LN(2)/2)*FS33+(1-EXP(-LN(2)/2))/(LN(2)/2)*FM34*FP34*VLOOKUP('Données projet'!$B$16,Paramètres!$A$1:$I$89,3,0)*0.475*44/12</f>
        <v>0</v>
      </c>
      <c r="FT34" s="24">
        <f t="shared" si="24"/>
        <v>0</v>
      </c>
      <c r="FU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8.717948717948719</v>
      </c>
      <c r="FZ34" s="13">
        <f>IF('Données projet'!$A$244&gt;35,FZ33+FY34-GH33,IF(A34&lt;'Données projet'!$A$244,$FW$205^A34,IF(A34='Données projet'!$A$244,'Données projet'!$B$244,FZ33+FY34-GH33)))</f>
        <v>153.58974358974359</v>
      </c>
      <c r="GA34" s="18">
        <f>FZ34*VLOOKUP('Données projet'!$B$17,Paramètres!$A$1:$I$89,3,0)*VLOOKUP('Données projet'!$B$17,Paramètres!$A$1:$I$89,5,0)</f>
        <v>103.02800000000001</v>
      </c>
      <c r="GB34" s="14">
        <f t="shared" si="49"/>
        <v>27.682119609309797</v>
      </c>
      <c r="GC34" s="22">
        <f t="shared" si="25"/>
        <v>227.65345831954789</v>
      </c>
      <c r="GD34" s="60">
        <f t="shared" si="26"/>
        <v>467.70158153236548</v>
      </c>
      <c r="GE34" s="60">
        <f ca="1">AVERAGE(OFFSET($GD$3,0,0,'Données projet'!$E$17+1,1))-AVERAGE(OFFSET($H$3,0,0,'Données projet'!$E$17+1,1))</f>
        <v>396.0878652679051</v>
      </c>
      <c r="GF34" s="60">
        <f t="shared" si="50"/>
        <v>327.26339199235406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>
        <f>EXP(-LN(2)/35)*GL33+(1-EXP(-LN(2)/35))/(LN(2)/35)*GH34*GI34*VLOOKUP('Données projet'!$B$17,Paramètres!$A$1:$I$89,3,0)*0.475*44/12</f>
        <v>0</v>
      </c>
      <c r="GM34" s="23">
        <f>EXP(-LN(2)/25)*GM33+(1-EXP(-LN(2)/25))/(LN(2)/25)*Calculateur!GH34*Calculateur!GJ34*VLOOKUP('Données projet'!$B$17,Paramètres!$A$1:$I$89,3,0)*0.475*44/12</f>
        <v>0</v>
      </c>
      <c r="GN34" s="23">
        <f>EXP(-LN(2)/2)*GN33+(1-EXP(-LN(2)/2))/(LN(2)/2)*GH34*GK34*VLOOKUP('Données projet'!$B$17,Paramètres!$A$1:$I$89,3,0)*0.475*44/12</f>
        <v>0</v>
      </c>
      <c r="GO34" s="23">
        <f t="shared" si="27"/>
        <v>0</v>
      </c>
      <c r="GP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8.8000000000000007</v>
      </c>
      <c r="GU34" s="13">
        <f>IF('Données projet'!$A$270&gt;35,GU33+GT34-HC33,IF(A34&lt;'Données projet'!$A$270,$GR$205^A34,IF(A34='Données projet'!$A$270,'Données projet'!$B$270,GU33+GT34-HC33)))</f>
        <v>154.80000000000001</v>
      </c>
      <c r="GV34" s="18">
        <f>GU34*VLOOKUP('Données projet'!$B$18,Paramètres!$A$1:$I$89,3,0)*VLOOKUP('Données projet'!$B$18,Paramètres!$A$1:$I$89,5,0)</f>
        <v>125.57376000000002</v>
      </c>
      <c r="GW34" s="14">
        <f t="shared" si="51"/>
        <v>32.97153235129214</v>
      </c>
      <c r="GX34" s="22">
        <f t="shared" si="28"/>
        <v>276.13305084516719</v>
      </c>
      <c r="GY34" s="60">
        <f t="shared" si="29"/>
        <v>516.18117405798478</v>
      </c>
      <c r="GZ34" s="60">
        <f ca="1">AVERAGE(OFFSET($GY$3,0,0,'Données projet'!$E$18+1,1))-AVERAGE(OFFSET($H$3,0,0,'Données projet'!$E$18+1,1))</f>
        <v>272.69564942740931</v>
      </c>
      <c r="HA34" s="60">
        <f t="shared" si="52"/>
        <v>316.57989180609252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>
        <f>EXP(-LN(2)/35)*HG33+(1-EXP(-LN(2)/35))/(LN(2)/35)*HC34*HD34*VLOOKUP('Données projet'!$B$18,Paramètres!$A$1:$I$89,3,0)*0.475*44/12</f>
        <v>0</v>
      </c>
      <c r="HH34" s="23">
        <f>EXP(-LN(2)/25)*HH33+(1-EXP(-LN(2)/25))/(LN(2)/25)*Calculateur!HC34*Calculateur!HE34*VLOOKUP('Données projet'!$B$18,Paramètres!$A$1:$I$89,3,0)*0.475*44/12</f>
        <v>0</v>
      </c>
      <c r="HI34" s="23">
        <f>EXP(-LN(2)/2)*HI33+(1-EXP(-LN(2)/2))/(LN(2)/2)*HC34*HF34*VLOOKUP('Données projet'!$B$18,Paramètres!$A$1:$I$89,3,0)*0.475*44/12</f>
        <v>0</v>
      </c>
      <c r="HJ34" s="24">
        <f t="shared" si="30"/>
        <v>0</v>
      </c>
    </row>
    <row r="35" spans="1:218" s="5" customFormat="1" x14ac:dyDescent="0.25">
      <c r="A35" s="11">
        <f t="shared" si="31"/>
        <v>32</v>
      </c>
      <c r="B35" s="75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8">
        <f t="shared" si="1"/>
        <v>183.33333333333334</v>
      </c>
      <c r="I35" s="7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10.8</v>
      </c>
      <c r="N35" s="14">
        <f>IF('Données projet'!$A$36&gt;35,N34+M35-V34,IF(A35&lt;'Données projet'!$A$36,$K$205^A35,IF(A35='Données projet'!$A$36,'Données projet'!$B$36,N34+M35-V34)))</f>
        <v>142.60000000000005</v>
      </c>
      <c r="O35" s="14">
        <f>N35*VLOOKUP('Données projet'!$B$9,Paramètres!$A$1:$I$89,3,0)*VLOOKUP('Données projet'!$B$9,Paramètres!$A$1:$I$89,5,0)</f>
        <v>129.02448000000004</v>
      </c>
      <c r="P35" s="14">
        <f t="shared" si="33"/>
        <v>33.770846580616279</v>
      </c>
      <c r="Q35" s="22">
        <f t="shared" ref="Q35:Q66" si="53">(O35+P35)*0.475*44/12</f>
        <v>283.53519379457339</v>
      </c>
      <c r="R35" s="60">
        <f t="shared" si="0"/>
        <v>524.50769627509874</v>
      </c>
      <c r="S35" s="60">
        <f ca="1">AVERAGE(OFFSET($R$3,0,0,'Données projet'!$E$9+1,1))-AVERAGE(OFFSET($H$3,0,0,'Données projet'!$E$9+1,1))</f>
        <v>570.08763950759544</v>
      </c>
      <c r="T35" s="60">
        <f t="shared" si="34"/>
        <v>297.32483725004136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12.919999999999998</v>
      </c>
      <c r="AI35" s="14">
        <f>IF('Données projet'!$A$62&gt;35,AI34+AH35-AQ34,IF(A35&lt;'Données projet'!$A$62,$AF$205^A35,IF(A35='Données projet'!$A$62,'Données projet'!$B$62,AI34+AH35-AQ34)))</f>
        <v>167.63999999999993</v>
      </c>
      <c r="AJ35" s="14">
        <f>AI35*VLOOKUP('Données projet'!$B$10,Paramètres!$A$1:$I$89,3,0)*VLOOKUP('Données projet'!$B$10,Paramètres!$A$1:$I$89,5,0)</f>
        <v>133.37438399999996</v>
      </c>
      <c r="AK35" s="14">
        <f t="shared" si="35"/>
        <v>34.774913711031935</v>
      </c>
      <c r="AL35" s="22">
        <f t="shared" si="4"/>
        <v>292.86002684671388</v>
      </c>
      <c r="AM35" s="60">
        <f t="shared" si="5"/>
        <v>533.83252932723917</v>
      </c>
      <c r="AN35" s="60">
        <f ca="1">AVERAGE(OFFSET($AM$3,0,0,'Données projet'!$E$10+1,1))-AVERAGE(OFFSET($H$3,0,0,'Données projet'!$E$10+1,1))</f>
        <v>394.49874384716014</v>
      </c>
      <c r="AO35" s="60">
        <f t="shared" si="36"/>
        <v>423.72519584013378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10.780000000000001</v>
      </c>
      <c r="BD35" s="13">
        <f>IF('Données projet'!$A$88&gt;35,BD34+BC35-BL34,IF(A35&lt;'Données projet'!$A$88,$BA$205^A35,IF(A35='Données projet'!$A$88,'Données projet'!$B$88,BD34+BC35-BL34)))</f>
        <v>140.06</v>
      </c>
      <c r="BE35" s="14">
        <f>BD35*VLOOKUP('Données projet'!$B$11,Paramètres!$A$1:$I$89,3,0)*VLOOKUP('Données projet'!$B$11,Paramètres!$A$1:$I$89,5,0)</f>
        <v>122.35641600000002</v>
      </c>
      <c r="BF35" s="14">
        <f t="shared" si="37"/>
        <v>32.223971060704159</v>
      </c>
      <c r="BG35" s="22">
        <f t="shared" si="7"/>
        <v>269.22750746405978</v>
      </c>
      <c r="BH35" s="60">
        <f t="shared" si="8"/>
        <v>510.20000994458508</v>
      </c>
      <c r="BI35" s="60">
        <f ca="1">AVERAGE(OFFSET($BH$3,0,0,'Données projet'!$E$11+1,1))-AVERAGE(OFFSET($H$3,0,0,'Données projet'!$E$11+1,1))</f>
        <v>363.28611056308665</v>
      </c>
      <c r="BJ35" s="60">
        <f t="shared" si="38"/>
        <v>389.43647559455974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7.1794871794871797</v>
      </c>
      <c r="BY35" s="13">
        <f>IF('Données projet'!$A$114&gt;35,BY34+BX35-CG34,IF(A35&lt;'Données projet'!$A$114,$BV$205^A35,IF(A35='Données projet'!$A$114,'Données projet'!$B$114,BY34+BX35-CG34)))</f>
        <v>138.07692307692307</v>
      </c>
      <c r="BZ35" s="14">
        <f>BY35*VLOOKUP('Données projet'!$B$12,Paramètres!$A$1:$I$89,3,0)*VLOOKUP('Données projet'!$B$12,Paramètres!$A$1:$I$89,5,0)</f>
        <v>131.39400000000001</v>
      </c>
      <c r="CA35" s="14">
        <f t="shared" si="39"/>
        <v>34.318271576212204</v>
      </c>
      <c r="CB35" s="22">
        <f t="shared" si="10"/>
        <v>288.61553966190291</v>
      </c>
      <c r="CC35" s="60">
        <f t="shared" si="11"/>
        <v>529.58804214242821</v>
      </c>
      <c r="CD35" s="60">
        <f ca="1">AVERAGE(OFFSET($CC$3,0,0,'Données projet'!$E$12+1,1))-AVERAGE(OFFSET($H$3,0,0,'Données projet'!$E$12+1,1))</f>
        <v>441.15969139782891</v>
      </c>
      <c r="CE35" s="60">
        <f t="shared" si="40"/>
        <v>315.06466790224783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12.919999999999998</v>
      </c>
      <c r="CT35" s="13">
        <f>IF('Données projet'!$A$140&gt;35,CT34+CS35-DB34,IF(A35&lt;'Données projet'!$A$140,$CQ$205^A35,IF(A35='Données projet'!$A$140,'Données projet'!$B$140,CT34+CS35-DB34)))</f>
        <v>167.63999999999993</v>
      </c>
      <c r="CU35" s="18">
        <f>CT35*VLOOKUP('Données projet'!$B$13,Paramètres!$A$1:$I$89,3,0)*VLOOKUP('Données projet'!$B$13,Paramètres!$A$1:$I$89,5,0)</f>
        <v>122.91364799999994</v>
      </c>
      <c r="CV35" s="14">
        <f t="shared" si="41"/>
        <v>32.353608109504151</v>
      </c>
      <c r="CW35" s="22">
        <f t="shared" si="13"/>
        <v>270.42380439071962</v>
      </c>
      <c r="CX35" s="60">
        <f t="shared" si="14"/>
        <v>511.39630687124497</v>
      </c>
      <c r="CY35" s="60">
        <f ca="1">AVERAGE(OFFSET($CX$3,0,0,'Données projet'!$E$13+1,1))-AVERAGE(OFFSET($H$3,0,0,'Données projet'!$E$13+1,1))</f>
        <v>368.35775920359396</v>
      </c>
      <c r="CZ35" s="60">
        <f t="shared" si="42"/>
        <v>395.5218438652638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11.5</v>
      </c>
      <c r="DO35" s="13">
        <f>IF('Données projet'!$A$166&gt;35,DO34+DN35-DW34,IF(A35&lt;'Données projet'!$A$166,$DL$205^A35,IF(A35='Données projet'!$A$166,'Données projet'!$B$166,DO34+DN35-DW34)))</f>
        <v>130.49999999999997</v>
      </c>
      <c r="DP35" s="18">
        <f>DO35*VLOOKUP('Données projet'!$B$14,Paramètres!$A$1:$I$89,3,0)*VLOOKUP('Données projet'!$B$14,Paramètres!$A$1:$I$89,5,0)</f>
        <v>101.78999999999998</v>
      </c>
      <c r="DQ35" s="14">
        <f t="shared" si="43"/>
        <v>27.38799903683508</v>
      </c>
      <c r="DR35" s="22">
        <f t="shared" si="16"/>
        <v>224.98501498915437</v>
      </c>
      <c r="DS35" s="60">
        <f t="shared" si="17"/>
        <v>465.95751746967971</v>
      </c>
      <c r="DT35" s="60">
        <f ca="1">AVERAGE(OFFSET($DS$3,0,0,'Données projet'!$E$14+1,1))-AVERAGE(OFFSET($H$3,0,0,'Données projet'!$E$14+1,1))</f>
        <v>312.59632808777332</v>
      </c>
      <c r="DU35" s="60">
        <f t="shared" si="44"/>
        <v>302.59481222418219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14.166666666666666</v>
      </c>
      <c r="EJ35" s="13">
        <f>IF('Données projet'!$A$192&gt;35,EJ34+EI35-ER34,IF(A35&lt;'Données projet'!$A$192,$EG$205^A35,IF(A35='Données projet'!$A$192,'Données projet'!$B$192,EJ34+EI35-ER34)))</f>
        <v>117.33333333333333</v>
      </c>
      <c r="EK35" s="18">
        <f>EJ35*VLOOKUP('Données projet'!$B$15,Paramètres!$A$1:$I$89,3,0)*VLOOKUP('Données projet'!$B$15,Paramètres!$A$1:$I$89,5,0)</f>
        <v>100.672</v>
      </c>
      <c r="EL35" s="14">
        <f t="shared" si="45"/>
        <v>27.122029824032914</v>
      </c>
      <c r="EM35" s="22">
        <f t="shared" si="19"/>
        <v>222.57460194352402</v>
      </c>
      <c r="EN35" s="60">
        <f t="shared" si="20"/>
        <v>463.54710442404934</v>
      </c>
      <c r="EO35" s="60">
        <f ca="1">AVERAGE(OFFSET($EN$3,0,0,'Données projet'!$E$15+1,1))-AVERAGE(OFFSET($H$3,0,0,'Données projet'!$E$15+1,1))</f>
        <v>478.11504516179713</v>
      </c>
      <c r="EP35" s="60">
        <f t="shared" si="46"/>
        <v>249.93713224442419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0</v>
      </c>
      <c r="EW35" s="23">
        <f>EXP(-LN(2)/25)*EW34+(1-EXP(-LN(2)/25))/(LN(2)/25)*Calculateur!ER35*Calculateur!ET35*VLOOKUP('Données projet'!$B$15,Paramètres!$A$1:$I$89,3,0)*0.475*44/12</f>
        <v>0</v>
      </c>
      <c r="EX35" s="23">
        <f>EXP(-LN(2)/2)*EX34+(1-EXP(-LN(2)/2))/(LN(2)/2)*ER35*EU35*VLOOKUP('Données projet'!$B$15,Paramètres!$A$1:$I$89,3,0)*0.475*44/12</f>
        <v>0</v>
      </c>
      <c r="EY35" s="24">
        <f t="shared" si="21"/>
        <v>0</v>
      </c>
      <c r="EZ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10.8</v>
      </c>
      <c r="FE35" s="13">
        <f>IF('Données projet'!$A$218&gt;35,FE34+FD35-FM34,IF(A35&lt;'Données projet'!$A$218,$FB$205^A35,IF(A35='Données projet'!$A$218,'Données projet'!$B$218,FE34+FD35-FM34)))</f>
        <v>142.60000000000005</v>
      </c>
      <c r="FF35" s="18">
        <f>FE35*VLOOKUP('Données projet'!$B$16,Paramètres!$A$1:$I$89,3,0)*VLOOKUP('Données projet'!$B$16,Paramètres!$A$1:$I$89,5,0)</f>
        <v>137.92272000000006</v>
      </c>
      <c r="FG35" s="14">
        <f t="shared" si="47"/>
        <v>35.82071658526872</v>
      </c>
      <c r="FH35" s="22">
        <f t="shared" si="22"/>
        <v>302.60315205267642</v>
      </c>
      <c r="FI35" s="60">
        <f t="shared" si="23"/>
        <v>543.57565453320171</v>
      </c>
      <c r="FJ35" s="60">
        <f ca="1">AVERAGE(OFFSET($FI$3,0,0,'Données projet'!$E$16+1,1))-AVERAGE(OFFSET($H$3,0,0,'Données projet'!$E$16+1,1))</f>
        <v>603.52431522262032</v>
      </c>
      <c r="FK35" s="60">
        <f t="shared" si="48"/>
        <v>313.56299786481338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>
        <f>EXP(-LN(2)/35)*FQ34+(1-EXP(-LN(2)/35))/(LN(2)/35)*FM35*FN35*VLOOKUP('Données projet'!$B$16,Paramètres!$A$1:$I$89,3,0)*0.475*44/12</f>
        <v>0</v>
      </c>
      <c r="FR35" s="23">
        <f>EXP(-LN(2)/25)*FR34+(1-EXP(-LN(2)/25))/(LN(2)/25)*Calculateur!FM35*Calculateur!FO35*VLOOKUP('Données projet'!$B$16,Paramètres!$A$1:$I$89,3,0)*0.475*44/12</f>
        <v>0</v>
      </c>
      <c r="FS35" s="23">
        <f>EXP(-LN(2)/2)*FS34+(1-EXP(-LN(2)/2))/(LN(2)/2)*FM35*FP35*VLOOKUP('Données projet'!$B$16,Paramètres!$A$1:$I$89,3,0)*0.475*44/12</f>
        <v>0</v>
      </c>
      <c r="FT35" s="24">
        <f t="shared" si="24"/>
        <v>0</v>
      </c>
      <c r="FU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8.717948717948719</v>
      </c>
      <c r="FZ35" s="13">
        <f>IF('Données projet'!$A$244&gt;35,FZ34+FY35-GH34,IF(A35&lt;'Données projet'!$A$244,$FW$205^A35,IF(A35='Données projet'!$A$244,'Données projet'!$B$244,FZ34+FY35-GH34)))</f>
        <v>162.30769230769232</v>
      </c>
      <c r="GA35" s="18">
        <f>FZ35*VLOOKUP('Données projet'!$B$17,Paramètres!$A$1:$I$89,3,0)*VLOOKUP('Données projet'!$B$17,Paramètres!$A$1:$I$89,5,0)</f>
        <v>108.87600000000002</v>
      </c>
      <c r="GB35" s="14">
        <f t="shared" si="49"/>
        <v>29.066003313709242</v>
      </c>
      <c r="GC35" s="22">
        <f t="shared" si="25"/>
        <v>240.24898910471029</v>
      </c>
      <c r="GD35" s="60">
        <f t="shared" si="26"/>
        <v>481.22149158523564</v>
      </c>
      <c r="GE35" s="60">
        <f ca="1">AVERAGE(OFFSET($GD$3,0,0,'Données projet'!$E$17+1,1))-AVERAGE(OFFSET($H$3,0,0,'Données projet'!$E$17+1,1))</f>
        <v>396.0878652679051</v>
      </c>
      <c r="GF35" s="60">
        <f t="shared" si="50"/>
        <v>327.26339199235406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>
        <f>EXP(-LN(2)/35)*GL34+(1-EXP(-LN(2)/35))/(LN(2)/35)*GH35*GI35*VLOOKUP('Données projet'!$B$17,Paramètres!$A$1:$I$89,3,0)*0.475*44/12</f>
        <v>0</v>
      </c>
      <c r="GM35" s="23">
        <f>EXP(-LN(2)/25)*GM34+(1-EXP(-LN(2)/25))/(LN(2)/25)*Calculateur!GH35*Calculateur!GJ35*VLOOKUP('Données projet'!$B$17,Paramètres!$A$1:$I$89,3,0)*0.475*44/12</f>
        <v>0</v>
      </c>
      <c r="GN35" s="23">
        <f>EXP(-LN(2)/2)*GN34+(1-EXP(-LN(2)/2))/(LN(2)/2)*GH35*GK35*VLOOKUP('Données projet'!$B$17,Paramètres!$A$1:$I$89,3,0)*0.475*44/12</f>
        <v>0</v>
      </c>
      <c r="GO35" s="23">
        <f t="shared" si="27"/>
        <v>0</v>
      </c>
      <c r="GP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8.8000000000000007</v>
      </c>
      <c r="GU35" s="13">
        <f>IF('Données projet'!$A$270&gt;35,GU34+GT35-HC34,IF(A35&lt;'Données projet'!$A$270,$GR$205^A35,IF(A35='Données projet'!$A$270,'Données projet'!$B$270,GU34+GT35-HC34)))</f>
        <v>163.60000000000002</v>
      </c>
      <c r="GV35" s="18">
        <f>GU35*VLOOKUP('Données projet'!$B$18,Paramètres!$A$1:$I$89,3,0)*VLOOKUP('Données projet'!$B$18,Paramètres!$A$1:$I$89,5,0)</f>
        <v>132.71232000000003</v>
      </c>
      <c r="GW35" s="14">
        <f t="shared" si="51"/>
        <v>34.622341655285041</v>
      </c>
      <c r="GX35" s="22">
        <f t="shared" si="28"/>
        <v>291.44120238295483</v>
      </c>
      <c r="GY35" s="60">
        <f t="shared" si="29"/>
        <v>532.41370486348012</v>
      </c>
      <c r="GZ35" s="60">
        <f ca="1">AVERAGE(OFFSET($GY$3,0,0,'Données projet'!$E$18+1,1))-AVERAGE(OFFSET($H$3,0,0,'Données projet'!$E$18+1,1))</f>
        <v>272.69564942740931</v>
      </c>
      <c r="HA35" s="60">
        <f t="shared" si="52"/>
        <v>316.57989180609252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>
        <f>EXP(-LN(2)/35)*HG34+(1-EXP(-LN(2)/35))/(LN(2)/35)*HC35*HD35*VLOOKUP('Données projet'!$B$18,Paramètres!$A$1:$I$89,3,0)*0.475*44/12</f>
        <v>0</v>
      </c>
      <c r="HH35" s="23">
        <f>EXP(-LN(2)/25)*HH34+(1-EXP(-LN(2)/25))/(LN(2)/25)*Calculateur!HC35*Calculateur!HE35*VLOOKUP('Données projet'!$B$18,Paramètres!$A$1:$I$89,3,0)*0.475*44/12</f>
        <v>0</v>
      </c>
      <c r="HI35" s="23">
        <f>EXP(-LN(2)/2)*HI34+(1-EXP(-LN(2)/2))/(LN(2)/2)*HC35*HF35*VLOOKUP('Données projet'!$B$18,Paramètres!$A$1:$I$89,3,0)*0.475*44/12</f>
        <v>0</v>
      </c>
      <c r="HJ35" s="24">
        <f t="shared" si="30"/>
        <v>0</v>
      </c>
    </row>
    <row r="36" spans="1:218" s="5" customFormat="1" x14ac:dyDescent="0.25">
      <c r="A36" s="11">
        <f t="shared" si="31"/>
        <v>33</v>
      </c>
      <c r="B36" s="75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8">
        <f t="shared" si="1"/>
        <v>183.33333333333334</v>
      </c>
      <c r="I36" s="7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10.8</v>
      </c>
      <c r="N36" s="14">
        <f>IF('Données projet'!$A$36&gt;35,N35+M36-V35,IF(A36&lt;'Données projet'!$A$36,$K$205^A36,IF(A36='Données projet'!$A$36,'Données projet'!$B$36,N35+M36-V35)))</f>
        <v>153.40000000000006</v>
      </c>
      <c r="O36" s="14">
        <f>N36*VLOOKUP('Données projet'!$B$9,Paramètres!$A$1:$I$89,3,0)*VLOOKUP('Données projet'!$B$9,Paramètres!$A$1:$I$89,5,0)</f>
        <v>138.79632000000007</v>
      </c>
      <c r="P36" s="14">
        <f t="shared" si="33"/>
        <v>36.021120886354588</v>
      </c>
      <c r="Q36" s="22">
        <f t="shared" si="53"/>
        <v>304.47370954373434</v>
      </c>
      <c r="R36" s="60">
        <f t="shared" si="0"/>
        <v>546.35455537827511</v>
      </c>
      <c r="S36" s="60">
        <f ca="1">AVERAGE(OFFSET($R$3,0,0,'Données projet'!$E$9+1,1))-AVERAGE(OFFSET($H$3,0,0,'Données projet'!$E$9+1,1))</f>
        <v>570.08763950759544</v>
      </c>
      <c r="T36" s="60">
        <f t="shared" si="34"/>
        <v>297.32483725004136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12.919999999999998</v>
      </c>
      <c r="AI36" s="14">
        <f>IF('Données projet'!$A$62&gt;35,AI35+AH36-AQ35,IF(A36&lt;'Données projet'!$A$62,$AF$205^A36,IF(A36='Données projet'!$A$62,'Données projet'!$B$62,AI35+AH36-AQ35)))</f>
        <v>180.55999999999992</v>
      </c>
      <c r="AJ36" s="14">
        <f>AI36*VLOOKUP('Données projet'!$B$10,Paramètres!$A$1:$I$89,3,0)*VLOOKUP('Données projet'!$B$10,Paramètres!$A$1:$I$89,5,0)</f>
        <v>143.65353599999995</v>
      </c>
      <c r="AK36" s="14">
        <f t="shared" si="35"/>
        <v>37.132720247116019</v>
      </c>
      <c r="AL36" s="22">
        <f t="shared" si="4"/>
        <v>314.86939629706029</v>
      </c>
      <c r="AM36" s="60">
        <f t="shared" si="5"/>
        <v>556.750242131601</v>
      </c>
      <c r="AN36" s="60">
        <f ca="1">AVERAGE(OFFSET($AM$3,0,0,'Données projet'!$E$10+1,1))-AVERAGE(OFFSET($H$3,0,0,'Données projet'!$E$10+1,1))</f>
        <v>394.49874384716014</v>
      </c>
      <c r="AO36" s="60">
        <f t="shared" si="36"/>
        <v>423.72519584013378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10.780000000000001</v>
      </c>
      <c r="BD36" s="13">
        <f>IF('Données projet'!$A$88&gt;35,BD35+BC36-BL35,IF(A36&lt;'Données projet'!$A$88,$BA$205^A36,IF(A36='Données projet'!$A$88,'Données projet'!$B$88,BD35+BC36-BL35)))</f>
        <v>150.84</v>
      </c>
      <c r="BE36" s="14">
        <f>BD36*VLOOKUP('Données projet'!$B$11,Paramètres!$A$1:$I$89,3,0)*VLOOKUP('Données projet'!$B$11,Paramètres!$A$1:$I$89,5,0)</f>
        <v>131.77382400000002</v>
      </c>
      <c r="BF36" s="14">
        <f t="shared" si="37"/>
        <v>34.405914123082425</v>
      </c>
      <c r="BG36" s="22">
        <f t="shared" si="7"/>
        <v>289.42971056436858</v>
      </c>
      <c r="BH36" s="60">
        <f t="shared" si="8"/>
        <v>531.31055639890928</v>
      </c>
      <c r="BI36" s="60">
        <f ca="1">AVERAGE(OFFSET($BH$3,0,0,'Données projet'!$E$11+1,1))-AVERAGE(OFFSET($H$3,0,0,'Données projet'!$E$11+1,1))</f>
        <v>363.28611056308665</v>
      </c>
      <c r="BJ36" s="60">
        <f t="shared" si="38"/>
        <v>389.43647559455974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7.1794871794871797</v>
      </c>
      <c r="BY36" s="13">
        <f>IF('Données projet'!$A$114&gt;35,BY35+BX36-CG35,IF(A36&lt;'Données projet'!$A$114,$BV$205^A36,IF(A36='Données projet'!$A$114,'Données projet'!$B$114,BY35+BX36-CG35)))</f>
        <v>145.25641025641025</v>
      </c>
      <c r="BZ36" s="14">
        <f>BY36*VLOOKUP('Données projet'!$B$12,Paramètres!$A$1:$I$89,3,0)*VLOOKUP('Données projet'!$B$12,Paramètres!$A$1:$I$89,5,0)</f>
        <v>138.22599999999997</v>
      </c>
      <c r="CA36" s="14">
        <f t="shared" si="39"/>
        <v>35.890305873918834</v>
      </c>
      <c r="CB36" s="22">
        <f t="shared" si="10"/>
        <v>303.25256606374194</v>
      </c>
      <c r="CC36" s="60">
        <f t="shared" si="11"/>
        <v>545.1334118982827</v>
      </c>
      <c r="CD36" s="60">
        <f ca="1">AVERAGE(OFFSET($CC$3,0,0,'Données projet'!$E$12+1,1))-AVERAGE(OFFSET($H$3,0,0,'Données projet'!$E$12+1,1))</f>
        <v>441.15969139782891</v>
      </c>
      <c r="CE36" s="60">
        <f t="shared" si="40"/>
        <v>315.06466790224783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12.919999999999998</v>
      </c>
      <c r="CT36" s="13">
        <f>IF('Données projet'!$A$140&gt;35,CT35+CS36-DB35,IF(A36&lt;'Données projet'!$A$140,$CQ$205^A36,IF(A36='Données projet'!$A$140,'Données projet'!$B$140,CT35+CS36-DB35)))</f>
        <v>180.55999999999992</v>
      </c>
      <c r="CU36" s="18">
        <f>CT36*VLOOKUP('Données projet'!$B$13,Paramètres!$A$1:$I$89,3,0)*VLOOKUP('Données projet'!$B$13,Paramètres!$A$1:$I$89,5,0)</f>
        <v>132.38659199999992</v>
      </c>
      <c r="CV36" s="14">
        <f t="shared" si="41"/>
        <v>34.547245433823143</v>
      </c>
      <c r="CW36" s="22">
        <f t="shared" si="13"/>
        <v>290.74310019724186</v>
      </c>
      <c r="CX36" s="60">
        <f t="shared" si="14"/>
        <v>532.62394603178257</v>
      </c>
      <c r="CY36" s="60">
        <f ca="1">AVERAGE(OFFSET($CX$3,0,0,'Données projet'!$E$13+1,1))-AVERAGE(OFFSET($H$3,0,0,'Données projet'!$E$13+1,1))</f>
        <v>368.35775920359396</v>
      </c>
      <c r="CZ36" s="60">
        <f t="shared" si="42"/>
        <v>395.5218438652638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11.5</v>
      </c>
      <c r="DO36" s="13">
        <f>IF('Données projet'!$A$166&gt;35,DO35+DN36-DW35,IF(A36&lt;'Données projet'!$A$166,$DL$205^A36,IF(A36='Données projet'!$A$166,'Données projet'!$B$166,DO35+DN36-DW35)))</f>
        <v>141.99999999999997</v>
      </c>
      <c r="DP36" s="18">
        <f>DO36*VLOOKUP('Données projet'!$B$14,Paramètres!$A$1:$I$89,3,0)*VLOOKUP('Données projet'!$B$14,Paramètres!$A$1:$I$89,5,0)</f>
        <v>110.75999999999998</v>
      </c>
      <c r="DQ36" s="14">
        <f t="shared" si="43"/>
        <v>29.509974682362923</v>
      </c>
      <c r="DR36" s="22">
        <f t="shared" si="16"/>
        <v>244.30353923844871</v>
      </c>
      <c r="DS36" s="60">
        <f t="shared" si="17"/>
        <v>486.18438507298947</v>
      </c>
      <c r="DT36" s="60">
        <f ca="1">AVERAGE(OFFSET($DS$3,0,0,'Données projet'!$E$14+1,1))-AVERAGE(OFFSET($H$3,0,0,'Données projet'!$E$14+1,1))</f>
        <v>312.59632808777332</v>
      </c>
      <c r="DU36" s="60">
        <f t="shared" si="44"/>
        <v>302.59481222418219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14.166666666666666</v>
      </c>
      <c r="EJ36" s="13">
        <f>IF('Données projet'!$A$192&gt;35,EJ35+EI36-ER35,IF(A36&lt;'Données projet'!$A$192,$EG$205^A36,IF(A36='Données projet'!$A$192,'Données projet'!$B$192,EJ35+EI36-ER35)))</f>
        <v>131.5</v>
      </c>
      <c r="EK36" s="18">
        <f>EJ36*VLOOKUP('Données projet'!$B$15,Paramètres!$A$1:$I$89,3,0)*VLOOKUP('Données projet'!$B$15,Paramètres!$A$1:$I$89,5,0)</f>
        <v>112.82700000000001</v>
      </c>
      <c r="EL36" s="14">
        <f t="shared" si="45"/>
        <v>29.996060965411449</v>
      </c>
      <c r="EM36" s="22">
        <f t="shared" si="19"/>
        <v>248.75016451475827</v>
      </c>
      <c r="EN36" s="60">
        <f t="shared" si="20"/>
        <v>490.631010349299</v>
      </c>
      <c r="EO36" s="60">
        <f ca="1">AVERAGE(OFFSET($EN$3,0,0,'Données projet'!$E$15+1,1))-AVERAGE(OFFSET($H$3,0,0,'Données projet'!$E$15+1,1))</f>
        <v>478.11504516179713</v>
      </c>
      <c r="EP36" s="60">
        <f t="shared" si="46"/>
        <v>249.93713224442419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0</v>
      </c>
      <c r="EW36" s="23">
        <f>EXP(-LN(2)/25)*EW35+(1-EXP(-LN(2)/25))/(LN(2)/25)*Calculateur!ER36*Calculateur!ET36*VLOOKUP('Données projet'!$B$15,Paramètres!$A$1:$I$89,3,0)*0.475*44/12</f>
        <v>0</v>
      </c>
      <c r="EX36" s="23">
        <f>EXP(-LN(2)/2)*EX35+(1-EXP(-LN(2)/2))/(LN(2)/2)*ER36*EU36*VLOOKUP('Données projet'!$B$15,Paramètres!$A$1:$I$89,3,0)*0.475*44/12</f>
        <v>0</v>
      </c>
      <c r="EY36" s="24">
        <f t="shared" si="21"/>
        <v>0</v>
      </c>
      <c r="EZ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10.8</v>
      </c>
      <c r="FE36" s="13">
        <f>IF('Données projet'!$A$218&gt;35,FE35+FD36-FM35,IF(A36&lt;'Données projet'!$A$218,$FB$205^A36,IF(A36='Données projet'!$A$218,'Données projet'!$B$218,FE35+FD36-FM35)))</f>
        <v>153.40000000000006</v>
      </c>
      <c r="FF36" s="18">
        <f>FE36*VLOOKUP('Données projet'!$B$16,Paramètres!$A$1:$I$89,3,0)*VLOOKUP('Données projet'!$B$16,Paramètres!$A$1:$I$89,5,0)</f>
        <v>148.36848000000006</v>
      </c>
      <c r="FG36" s="14">
        <f t="shared" si="47"/>
        <v>38.207581183185937</v>
      </c>
      <c r="FH36" s="22">
        <f t="shared" si="22"/>
        <v>324.95330656071559</v>
      </c>
      <c r="FI36" s="60">
        <f t="shared" si="23"/>
        <v>566.8341523952563</v>
      </c>
      <c r="FJ36" s="60">
        <f ca="1">AVERAGE(OFFSET($FI$3,0,0,'Données projet'!$E$16+1,1))-AVERAGE(OFFSET($H$3,0,0,'Données projet'!$E$16+1,1))</f>
        <v>603.52431522262032</v>
      </c>
      <c r="FK36" s="60">
        <f t="shared" si="48"/>
        <v>313.56299786481338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>
        <f>EXP(-LN(2)/35)*FQ35+(1-EXP(-LN(2)/35))/(LN(2)/35)*FM36*FN36*VLOOKUP('Données projet'!$B$16,Paramètres!$A$1:$I$89,3,0)*0.475*44/12</f>
        <v>0</v>
      </c>
      <c r="FR36" s="23">
        <f>EXP(-LN(2)/25)*FR35+(1-EXP(-LN(2)/25))/(LN(2)/25)*Calculateur!FM36*Calculateur!FO36*VLOOKUP('Données projet'!$B$16,Paramètres!$A$1:$I$89,3,0)*0.475*44/12</f>
        <v>0</v>
      </c>
      <c r="FS36" s="23">
        <f>EXP(-LN(2)/2)*FS35+(1-EXP(-LN(2)/2))/(LN(2)/2)*FM36*FP36*VLOOKUP('Données projet'!$B$16,Paramètres!$A$1:$I$89,3,0)*0.475*44/12</f>
        <v>0</v>
      </c>
      <c r="FT36" s="24">
        <f t="shared" si="24"/>
        <v>0</v>
      </c>
      <c r="FU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8.717948717948719</v>
      </c>
      <c r="FZ36" s="13">
        <f>IF('Données projet'!$A$244&gt;35,FZ35+FY36-GH35,IF(A36&lt;'Données projet'!$A$244,$FW$205^A36,IF(A36='Données projet'!$A$244,'Données projet'!$B$244,FZ35+FY36-GH35)))</f>
        <v>171.02564102564105</v>
      </c>
      <c r="GA36" s="18">
        <f>FZ36*VLOOKUP('Données projet'!$B$17,Paramètres!$A$1:$I$89,3,0)*VLOOKUP('Données projet'!$B$17,Paramètres!$A$1:$I$89,5,0)</f>
        <v>114.72400000000003</v>
      </c>
      <c r="GB36" s="14">
        <f t="shared" si="49"/>
        <v>30.441257404392591</v>
      </c>
      <c r="GC36" s="22">
        <f t="shared" si="25"/>
        <v>252.82948997931717</v>
      </c>
      <c r="GD36" s="60">
        <f t="shared" si="26"/>
        <v>494.71033581385791</v>
      </c>
      <c r="GE36" s="60">
        <f ca="1">AVERAGE(OFFSET($GD$3,0,0,'Données projet'!$E$17+1,1))-AVERAGE(OFFSET($H$3,0,0,'Données projet'!$E$17+1,1))</f>
        <v>396.0878652679051</v>
      </c>
      <c r="GF36" s="60">
        <f t="shared" si="50"/>
        <v>327.26339199235406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>
        <f>EXP(-LN(2)/35)*GL35+(1-EXP(-LN(2)/35))/(LN(2)/35)*GH36*GI36*VLOOKUP('Données projet'!$B$17,Paramètres!$A$1:$I$89,3,0)*0.475*44/12</f>
        <v>0</v>
      </c>
      <c r="GM36" s="23">
        <f>EXP(-LN(2)/25)*GM35+(1-EXP(-LN(2)/25))/(LN(2)/25)*Calculateur!GH36*Calculateur!GJ36*VLOOKUP('Données projet'!$B$17,Paramètres!$A$1:$I$89,3,0)*0.475*44/12</f>
        <v>0</v>
      </c>
      <c r="GN36" s="23">
        <f>EXP(-LN(2)/2)*GN35+(1-EXP(-LN(2)/2))/(LN(2)/2)*GH36*GK36*VLOOKUP('Données projet'!$B$17,Paramètres!$A$1:$I$89,3,0)*0.475*44/12</f>
        <v>0</v>
      </c>
      <c r="GO36" s="23">
        <f t="shared" si="27"/>
        <v>0</v>
      </c>
      <c r="GP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8.8000000000000007</v>
      </c>
      <c r="GU36" s="13">
        <f>IF('Données projet'!$A$270&gt;35,GU35+GT36-HC35,IF(A36&lt;'Données projet'!$A$270,$GR$205^A36,IF(A36='Données projet'!$A$270,'Données projet'!$B$270,GU35+GT36-HC35)))</f>
        <v>172.40000000000003</v>
      </c>
      <c r="GV36" s="18">
        <f>GU36*VLOOKUP('Données projet'!$B$18,Paramètres!$A$1:$I$89,3,0)*VLOOKUP('Données projet'!$B$18,Paramètres!$A$1:$I$89,5,0)</f>
        <v>139.85088000000005</v>
      </c>
      <c r="GW36" s="14">
        <f t="shared" si="51"/>
        <v>36.262842078476233</v>
      </c>
      <c r="GX36" s="22">
        <f t="shared" si="28"/>
        <v>306.7313992866795</v>
      </c>
      <c r="GY36" s="60">
        <f t="shared" si="29"/>
        <v>548.61224512122021</v>
      </c>
      <c r="GZ36" s="60">
        <f ca="1">AVERAGE(OFFSET($GY$3,0,0,'Données projet'!$E$18+1,1))-AVERAGE(OFFSET($H$3,0,0,'Données projet'!$E$18+1,1))</f>
        <v>272.69564942740931</v>
      </c>
      <c r="HA36" s="60">
        <f t="shared" si="52"/>
        <v>316.57989180609252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>
        <f>EXP(-LN(2)/35)*HG35+(1-EXP(-LN(2)/35))/(LN(2)/35)*HC36*HD36*VLOOKUP('Données projet'!$B$18,Paramètres!$A$1:$I$89,3,0)*0.475*44/12</f>
        <v>0</v>
      </c>
      <c r="HH36" s="23">
        <f>EXP(-LN(2)/25)*HH35+(1-EXP(-LN(2)/25))/(LN(2)/25)*Calculateur!HC36*Calculateur!HE36*VLOOKUP('Données projet'!$B$18,Paramètres!$A$1:$I$89,3,0)*0.475*44/12</f>
        <v>0</v>
      </c>
      <c r="HI36" s="23">
        <f>EXP(-LN(2)/2)*HI35+(1-EXP(-LN(2)/2))/(LN(2)/2)*HC36*HF36*VLOOKUP('Données projet'!$B$18,Paramètres!$A$1:$I$89,3,0)*0.475*44/12</f>
        <v>0</v>
      </c>
      <c r="HJ36" s="24">
        <f t="shared" si="30"/>
        <v>0</v>
      </c>
    </row>
    <row r="37" spans="1:218" s="5" customFormat="1" x14ac:dyDescent="0.25">
      <c r="A37" s="11">
        <f t="shared" si="31"/>
        <v>34</v>
      </c>
      <c r="B37" s="75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8">
        <f t="shared" si="1"/>
        <v>183.33333333333334</v>
      </c>
      <c r="I37" s="7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10.8</v>
      </c>
      <c r="N37" s="14">
        <f>IF('Données projet'!$A$36&gt;35,N36+M37-V36,IF(A37&lt;'Données projet'!$A$36,$K$205^A37,IF(A37='Données projet'!$A$36,'Données projet'!$B$36,N36+M37-V36)))</f>
        <v>164.20000000000007</v>
      </c>
      <c r="O37" s="14">
        <f>N37*VLOOKUP('Données projet'!$B$9,Paramètres!$A$1:$I$89,3,0)*VLOOKUP('Données projet'!$B$9,Paramètres!$A$1:$I$89,5,0)</f>
        <v>148.56816000000006</v>
      </c>
      <c r="P37" s="14">
        <f t="shared" si="33"/>
        <v>38.253013425360628</v>
      </c>
      <c r="Q37" s="22">
        <f t="shared" si="53"/>
        <v>325.38021038250321</v>
      </c>
      <c r="R37" s="60">
        <f t="shared" si="0"/>
        <v>568.15364184461873</v>
      </c>
      <c r="S37" s="60">
        <f ca="1">AVERAGE(OFFSET($R$3,0,0,'Données projet'!$E$9+1,1))-AVERAGE(OFFSET($H$3,0,0,'Données projet'!$E$9+1,1))</f>
        <v>570.08763950759544</v>
      </c>
      <c r="T37" s="60">
        <f t="shared" si="34"/>
        <v>297.32483725004136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12.919999999999998</v>
      </c>
      <c r="AI37" s="14">
        <f>IF('Données projet'!$A$62&gt;35,AI36+AH37-AQ36,IF(A37&lt;'Données projet'!$A$62,$AF$205^A37,IF(A37='Données projet'!$A$62,'Données projet'!$B$62,AI36+AH37-AQ36)))</f>
        <v>193.4799999999999</v>
      </c>
      <c r="AJ37" s="14">
        <f>AI37*VLOOKUP('Données projet'!$B$10,Paramètres!$A$1:$I$89,3,0)*VLOOKUP('Données projet'!$B$10,Paramètres!$A$1:$I$89,5,0)</f>
        <v>153.93268799999993</v>
      </c>
      <c r="AK37" s="14">
        <f t="shared" si="35"/>
        <v>39.470952496040077</v>
      </c>
      <c r="AL37" s="22">
        <f t="shared" si="4"/>
        <v>336.84467386393629</v>
      </c>
      <c r="AM37" s="60">
        <f t="shared" si="5"/>
        <v>579.61810532605182</v>
      </c>
      <c r="AN37" s="60">
        <f ca="1">AVERAGE(OFFSET($AM$3,0,0,'Données projet'!$E$10+1,1))-AVERAGE(OFFSET($H$3,0,0,'Données projet'!$E$10+1,1))</f>
        <v>394.49874384716014</v>
      </c>
      <c r="AO37" s="60">
        <f t="shared" si="36"/>
        <v>423.72519584013378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10.780000000000001</v>
      </c>
      <c r="BD37" s="13">
        <f>IF('Données projet'!$A$88&gt;35,BD36+BC37-BL36,IF(A37&lt;'Données projet'!$A$88,$BA$205^A37,IF(A37='Données projet'!$A$88,'Données projet'!$B$88,BD36+BC37-BL36)))</f>
        <v>161.62</v>
      </c>
      <c r="BE37" s="14">
        <f>BD37*VLOOKUP('Données projet'!$B$11,Paramètres!$A$1:$I$89,3,0)*VLOOKUP('Données projet'!$B$11,Paramètres!$A$1:$I$89,5,0)</f>
        <v>141.19123200000001</v>
      </c>
      <c r="BF37" s="14">
        <f t="shared" si="37"/>
        <v>36.569765303686403</v>
      </c>
      <c r="BG37" s="22">
        <f t="shared" si="7"/>
        <v>309.60040363725381</v>
      </c>
      <c r="BH37" s="60">
        <f t="shared" si="8"/>
        <v>552.37383509936944</v>
      </c>
      <c r="BI37" s="60">
        <f ca="1">AVERAGE(OFFSET($BH$3,0,0,'Données projet'!$E$11+1,1))-AVERAGE(OFFSET($H$3,0,0,'Données projet'!$E$11+1,1))</f>
        <v>363.28611056308665</v>
      </c>
      <c r="BJ37" s="60">
        <f t="shared" si="38"/>
        <v>389.43647559455974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7.1794871794871797</v>
      </c>
      <c r="BY37" s="13">
        <f>IF('Données projet'!$A$114&gt;35,BY36+BX37-CG36,IF(A37&lt;'Données projet'!$A$114,$BV$205^A37,IF(A37='Données projet'!$A$114,'Données projet'!$B$114,BY36+BX37-CG36)))</f>
        <v>152.43589743589743</v>
      </c>
      <c r="BZ37" s="14">
        <f>BY37*VLOOKUP('Données projet'!$B$12,Paramètres!$A$1:$I$89,3,0)*VLOOKUP('Données projet'!$B$12,Paramètres!$A$1:$I$89,5,0)</f>
        <v>145.05799999999999</v>
      </c>
      <c r="CA37" s="14">
        <f t="shared" si="39"/>
        <v>37.453317998658314</v>
      </c>
      <c r="CB37" s="22">
        <f t="shared" si="10"/>
        <v>317.87387884766321</v>
      </c>
      <c r="CC37" s="60">
        <f t="shared" si="11"/>
        <v>560.64731030977873</v>
      </c>
      <c r="CD37" s="60">
        <f ca="1">AVERAGE(OFFSET($CC$3,0,0,'Données projet'!$E$12+1,1))-AVERAGE(OFFSET($H$3,0,0,'Données projet'!$E$12+1,1))</f>
        <v>441.15969139782891</v>
      </c>
      <c r="CE37" s="60">
        <f t="shared" si="40"/>
        <v>315.06466790224783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12.919999999999998</v>
      </c>
      <c r="CT37" s="13">
        <f>IF('Données projet'!$A$140&gt;35,CT36+CS37-DB36,IF(A37&lt;'Données projet'!$A$140,$CQ$205^A37,IF(A37='Données projet'!$A$140,'Données projet'!$B$140,CT36+CS37-DB36)))</f>
        <v>193.4799999999999</v>
      </c>
      <c r="CU37" s="18">
        <f>CT37*VLOOKUP('Données projet'!$B$13,Paramètres!$A$1:$I$89,3,0)*VLOOKUP('Données projet'!$B$13,Paramètres!$A$1:$I$89,5,0)</f>
        <v>141.85953599999993</v>
      </c>
      <c r="CV37" s="14">
        <f t="shared" si="41"/>
        <v>36.722671388271863</v>
      </c>
      <c r="CW37" s="22">
        <f t="shared" si="13"/>
        <v>311.03067786790672</v>
      </c>
      <c r="CX37" s="60">
        <f t="shared" si="14"/>
        <v>553.80410933002236</v>
      </c>
      <c r="CY37" s="60">
        <f ca="1">AVERAGE(OFFSET($CX$3,0,0,'Données projet'!$E$13+1,1))-AVERAGE(OFFSET($H$3,0,0,'Données projet'!$E$13+1,1))</f>
        <v>368.35775920359396</v>
      </c>
      <c r="CZ37" s="60">
        <f t="shared" si="42"/>
        <v>395.5218438652638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11.5</v>
      </c>
      <c r="DO37" s="13">
        <f>IF('Données projet'!$A$166&gt;35,DO36+DN37-DW36,IF(A37&lt;'Données projet'!$A$166,$DL$205^A37,IF(A37='Données projet'!$A$166,'Données projet'!$B$166,DO36+DN37-DW36)))</f>
        <v>153.49999999999997</v>
      </c>
      <c r="DP37" s="18">
        <f>DO37*VLOOKUP('Données projet'!$B$14,Paramètres!$A$1:$I$89,3,0)*VLOOKUP('Données projet'!$B$14,Paramètres!$A$1:$I$89,5,0)</f>
        <v>119.72999999999998</v>
      </c>
      <c r="DQ37" s="14">
        <f t="shared" si="43"/>
        <v>31.612017974790529</v>
      </c>
      <c r="DR37" s="22">
        <f t="shared" si="16"/>
        <v>263.58734797276014</v>
      </c>
      <c r="DS37" s="60">
        <f t="shared" si="17"/>
        <v>506.36077943487572</v>
      </c>
      <c r="DT37" s="60">
        <f ca="1">AVERAGE(OFFSET($DS$3,0,0,'Données projet'!$E$14+1,1))-AVERAGE(OFFSET($H$3,0,0,'Données projet'!$E$14+1,1))</f>
        <v>312.59632808777332</v>
      </c>
      <c r="DU37" s="60">
        <f t="shared" si="44"/>
        <v>302.59481222418219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14.166666666666666</v>
      </c>
      <c r="EJ37" s="13">
        <f>IF('Données projet'!$A$192&gt;35,EJ36+EI37-ER36,IF(A37&lt;'Données projet'!$A$192,$EG$205^A37,IF(A37='Données projet'!$A$192,'Données projet'!$B$192,EJ36+EI37-ER36)))</f>
        <v>145.66666666666666</v>
      </c>
      <c r="EK37" s="18">
        <f>EJ37*VLOOKUP('Données projet'!$B$15,Paramètres!$A$1:$I$89,3,0)*VLOOKUP('Données projet'!$B$15,Paramètres!$A$1:$I$89,5,0)</f>
        <v>124.98200000000001</v>
      </c>
      <c r="EL37" s="14">
        <f t="shared" si="45"/>
        <v>32.834203796212122</v>
      </c>
      <c r="EM37" s="22">
        <f t="shared" si="19"/>
        <v>274.86322161173609</v>
      </c>
      <c r="EN37" s="60">
        <f t="shared" si="20"/>
        <v>517.63665307385168</v>
      </c>
      <c r="EO37" s="60">
        <f ca="1">AVERAGE(OFFSET($EN$3,0,0,'Données projet'!$E$15+1,1))-AVERAGE(OFFSET($H$3,0,0,'Données projet'!$E$15+1,1))</f>
        <v>478.11504516179713</v>
      </c>
      <c r="EP37" s="60">
        <f t="shared" si="46"/>
        <v>249.93713224442419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0</v>
      </c>
      <c r="EW37" s="23">
        <f>EXP(-LN(2)/25)*EW36+(1-EXP(-LN(2)/25))/(LN(2)/25)*Calculateur!ER37*Calculateur!ET37*VLOOKUP('Données projet'!$B$15,Paramètres!$A$1:$I$89,3,0)*0.475*44/12</f>
        <v>0</v>
      </c>
      <c r="EX37" s="23">
        <f>EXP(-LN(2)/2)*EX36+(1-EXP(-LN(2)/2))/(LN(2)/2)*ER37*EU37*VLOOKUP('Données projet'!$B$15,Paramètres!$A$1:$I$89,3,0)*0.475*44/12</f>
        <v>0</v>
      </c>
      <c r="EY37" s="24">
        <f t="shared" si="21"/>
        <v>0</v>
      </c>
      <c r="EZ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10.8</v>
      </c>
      <c r="FE37" s="13">
        <f>IF('Données projet'!$A$218&gt;35,FE36+FD37-FM36,IF(A37&lt;'Données projet'!$A$218,$FB$205^A37,IF(A37='Données projet'!$A$218,'Données projet'!$B$218,FE36+FD37-FM36)))</f>
        <v>164.20000000000007</v>
      </c>
      <c r="FF37" s="18">
        <f>FE37*VLOOKUP('Données projet'!$B$16,Paramètres!$A$1:$I$89,3,0)*VLOOKUP('Données projet'!$B$16,Paramètres!$A$1:$I$89,5,0)</f>
        <v>158.81424000000007</v>
      </c>
      <c r="FG37" s="14">
        <f t="shared" si="47"/>
        <v>40.574948252224658</v>
      </c>
      <c r="FH37" s="22">
        <f t="shared" si="22"/>
        <v>347.26950287262474</v>
      </c>
      <c r="FI37" s="60">
        <f t="shared" si="23"/>
        <v>590.04293433474027</v>
      </c>
      <c r="FJ37" s="60">
        <f ca="1">AVERAGE(OFFSET($FI$3,0,0,'Données projet'!$E$16+1,1))-AVERAGE(OFFSET($H$3,0,0,'Données projet'!$E$16+1,1))</f>
        <v>603.52431522262032</v>
      </c>
      <c r="FK37" s="60">
        <f t="shared" si="48"/>
        <v>313.56299786481338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>
        <f>EXP(-LN(2)/35)*FQ36+(1-EXP(-LN(2)/35))/(LN(2)/35)*FM37*FN37*VLOOKUP('Données projet'!$B$16,Paramètres!$A$1:$I$89,3,0)*0.475*44/12</f>
        <v>0</v>
      </c>
      <c r="FR37" s="23">
        <f>EXP(-LN(2)/25)*FR36+(1-EXP(-LN(2)/25))/(LN(2)/25)*Calculateur!FM37*Calculateur!FO37*VLOOKUP('Données projet'!$B$16,Paramètres!$A$1:$I$89,3,0)*0.475*44/12</f>
        <v>0</v>
      </c>
      <c r="FS37" s="23">
        <f>EXP(-LN(2)/2)*FS36+(1-EXP(-LN(2)/2))/(LN(2)/2)*FM37*FP37*VLOOKUP('Données projet'!$B$16,Paramètres!$A$1:$I$89,3,0)*0.475*44/12</f>
        <v>0</v>
      </c>
      <c r="FT37" s="24">
        <f t="shared" si="24"/>
        <v>0</v>
      </c>
      <c r="FU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8.717948717948719</v>
      </c>
      <c r="FZ37" s="13">
        <f>IF('Données projet'!$A$244&gt;35,FZ36+FY37-GH36,IF(A37&lt;'Données projet'!$A$244,$FW$205^A37,IF(A37='Données projet'!$A$244,'Données projet'!$B$244,FZ36+FY37-GH36)))</f>
        <v>179.74358974358978</v>
      </c>
      <c r="GA37" s="18">
        <f>FZ37*VLOOKUP('Données projet'!$B$17,Paramètres!$A$1:$I$89,3,0)*VLOOKUP('Données projet'!$B$17,Paramètres!$A$1:$I$89,5,0)</f>
        <v>120.57200000000003</v>
      </c>
      <c r="GB37" s="14">
        <f t="shared" si="49"/>
        <v>31.808371955809051</v>
      </c>
      <c r="GC37" s="22">
        <f t="shared" si="25"/>
        <v>265.3958144897008</v>
      </c>
      <c r="GD37" s="60">
        <f t="shared" si="26"/>
        <v>508.16924595181638</v>
      </c>
      <c r="GE37" s="60">
        <f ca="1">AVERAGE(OFFSET($GD$3,0,0,'Données projet'!$E$17+1,1))-AVERAGE(OFFSET($H$3,0,0,'Données projet'!$E$17+1,1))</f>
        <v>396.0878652679051</v>
      </c>
      <c r="GF37" s="60">
        <f t="shared" si="50"/>
        <v>327.26339199235406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>
        <f>EXP(-LN(2)/35)*GL36+(1-EXP(-LN(2)/35))/(LN(2)/35)*GH37*GI37*VLOOKUP('Données projet'!$B$17,Paramètres!$A$1:$I$89,3,0)*0.475*44/12</f>
        <v>0</v>
      </c>
      <c r="GM37" s="23">
        <f>EXP(-LN(2)/25)*GM36+(1-EXP(-LN(2)/25))/(LN(2)/25)*Calculateur!GH37*Calculateur!GJ37*VLOOKUP('Données projet'!$B$17,Paramètres!$A$1:$I$89,3,0)*0.475*44/12</f>
        <v>0</v>
      </c>
      <c r="GN37" s="23">
        <f>EXP(-LN(2)/2)*GN36+(1-EXP(-LN(2)/2))/(LN(2)/2)*GH37*GK37*VLOOKUP('Données projet'!$B$17,Paramètres!$A$1:$I$89,3,0)*0.475*44/12</f>
        <v>0</v>
      </c>
      <c r="GO37" s="23">
        <f t="shared" si="27"/>
        <v>0</v>
      </c>
      <c r="GP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8.8000000000000007</v>
      </c>
      <c r="GU37" s="13">
        <f>IF('Données projet'!$A$270&gt;35,GU36+GT37-HC36,IF(A37&lt;'Données projet'!$A$270,$GR$205^A37,IF(A37='Données projet'!$A$270,'Données projet'!$B$270,GU36+GT37-HC36)))</f>
        <v>181.20000000000005</v>
      </c>
      <c r="GV37" s="18">
        <f>GU37*VLOOKUP('Données projet'!$B$18,Paramètres!$A$1:$I$89,3,0)*VLOOKUP('Données projet'!$B$18,Paramètres!$A$1:$I$89,5,0)</f>
        <v>146.98944000000006</v>
      </c>
      <c r="GW37" s="14">
        <f t="shared" si="51"/>
        <v>37.893619858723746</v>
      </c>
      <c r="GX37" s="22">
        <f t="shared" si="28"/>
        <v>322.00466258727732</v>
      </c>
      <c r="GY37" s="60">
        <f t="shared" si="29"/>
        <v>564.77809404939285</v>
      </c>
      <c r="GZ37" s="60">
        <f ca="1">AVERAGE(OFFSET($GY$3,0,0,'Données projet'!$E$18+1,1))-AVERAGE(OFFSET($H$3,0,0,'Données projet'!$E$18+1,1))</f>
        <v>272.69564942740931</v>
      </c>
      <c r="HA37" s="60">
        <f t="shared" si="52"/>
        <v>316.57989180609252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>
        <f>EXP(-LN(2)/35)*HG36+(1-EXP(-LN(2)/35))/(LN(2)/35)*HC37*HD37*VLOOKUP('Données projet'!$B$18,Paramètres!$A$1:$I$89,3,0)*0.475*44/12</f>
        <v>0</v>
      </c>
      <c r="HH37" s="23">
        <f>EXP(-LN(2)/25)*HH36+(1-EXP(-LN(2)/25))/(LN(2)/25)*Calculateur!HC37*Calculateur!HE37*VLOOKUP('Données projet'!$B$18,Paramètres!$A$1:$I$89,3,0)*0.475*44/12</f>
        <v>0</v>
      </c>
      <c r="HI37" s="23">
        <f>EXP(-LN(2)/2)*HI36+(1-EXP(-LN(2)/2))/(LN(2)/2)*HC37*HF37*VLOOKUP('Données projet'!$B$18,Paramètres!$A$1:$I$89,3,0)*0.475*44/12</f>
        <v>0</v>
      </c>
      <c r="HJ37" s="24">
        <f t="shared" si="30"/>
        <v>0</v>
      </c>
    </row>
    <row r="38" spans="1:218" s="5" customFormat="1" x14ac:dyDescent="0.25">
      <c r="A38" s="11">
        <f t="shared" si="31"/>
        <v>35</v>
      </c>
      <c r="B38" s="75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8">
        <f t="shared" si="1"/>
        <v>183.33333333333334</v>
      </c>
      <c r="I38" s="7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175</v>
      </c>
      <c r="L38" s="13">
        <f>VLOOKUP(A38,'Données projet'!$A$35:$I$55,9,0)</f>
        <v>10.8</v>
      </c>
      <c r="M38" s="13">
        <f t="array" ref="M38">INDEX(L:L,MIN(IF(ISNUMBER(L38:L234),ROW(L38:L234),"")))</f>
        <v>10.8</v>
      </c>
      <c r="N38" s="14">
        <f>IF('Données projet'!$A$36&gt;35,N37+M38-V37,IF(A38&lt;'Données projet'!$A$36,$K$205^A38,IF(A38='Données projet'!$A$36,'Données projet'!$B$36,N37+M38-V37)))</f>
        <v>175.00000000000009</v>
      </c>
      <c r="O38" s="14">
        <f>N38*VLOOKUP('Données projet'!$B$9,Paramètres!$A$1:$I$89,3,0)*VLOOKUP('Données projet'!$B$9,Paramètres!$A$1:$I$89,5,0)</f>
        <v>158.34000000000006</v>
      </c>
      <c r="P38" s="14">
        <f t="shared" si="33"/>
        <v>40.467870812652819</v>
      </c>
      <c r="Q38" s="22">
        <f t="shared" si="53"/>
        <v>346.25704166537042</v>
      </c>
      <c r="R38" s="60">
        <f t="shared" si="0"/>
        <v>589.9075743899449</v>
      </c>
      <c r="S38" s="60">
        <f ca="1">AVERAGE(OFFSET($R$3,0,0,'Données projet'!$E$9+1,1))-AVERAGE(OFFSET($H$3,0,0,'Données projet'!$E$9+1,1))</f>
        <v>570.08763950759544</v>
      </c>
      <c r="T38" s="60">
        <f t="shared" si="34"/>
        <v>297.32483725004136</v>
      </c>
      <c r="U38" s="16">
        <f>IF(ISNA(VLOOKUP(A38,'Données projet'!$A$35:$I$55,3,0)),0,VLOOKUP(A38,'Données projet'!$A$35:$I$55,3,0))</f>
        <v>2</v>
      </c>
      <c r="V38" s="16">
        <f>IF(ISNA(VLOOKUP(A38,'Données projet'!$A$35:$I$55,4,0)),0,VLOOKUP(A38,'Données projet'!$A$35:$I$55,4,0))</f>
        <v>56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206.4</v>
      </c>
      <c r="AG38" s="13">
        <f>VLOOKUP(A38,'Données projet'!$A$61:$I$81,9,0)</f>
        <v>12.919999999999998</v>
      </c>
      <c r="AH38" s="13">
        <f t="array" ref="AH38">INDEX(AG:AG,MIN(IF(ISNUMBER(AG38:AG234),ROW(AG38:AG234),"")))</f>
        <v>12.919999999999998</v>
      </c>
      <c r="AI38" s="14">
        <f>IF('Données projet'!$A$62&gt;35,AI37+AH38-AQ37,IF(A38&lt;'Données projet'!$A$62,$AF$205^A38,IF(A38='Données projet'!$A$62,'Données projet'!$B$62,AI37+AH38-AQ37)))</f>
        <v>206.39999999999989</v>
      </c>
      <c r="AJ38" s="14">
        <f>AI38*VLOOKUP('Données projet'!$B$10,Paramètres!$A$1:$I$89,3,0)*VLOOKUP('Données projet'!$B$10,Paramètres!$A$1:$I$89,5,0)</f>
        <v>164.21183999999994</v>
      </c>
      <c r="AK38" s="14">
        <f t="shared" si="35"/>
        <v>41.79106629541738</v>
      </c>
      <c r="AL38" s="22">
        <f t="shared" si="4"/>
        <v>358.78839513118515</v>
      </c>
      <c r="AM38" s="60">
        <f t="shared" si="5"/>
        <v>602.43892785575963</v>
      </c>
      <c r="AN38" s="60">
        <f ca="1">AVERAGE(OFFSET($AM$3,0,0,'Données projet'!$E$10+1,1))-AVERAGE(OFFSET($H$3,0,0,'Données projet'!$E$10+1,1))</f>
        <v>394.49874384716014</v>
      </c>
      <c r="AO38" s="60">
        <f t="shared" si="36"/>
        <v>423.72519584013378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172.4</v>
      </c>
      <c r="BB38" s="13">
        <f>VLOOKUP(A38,'Données projet'!$A$87:$I$107,9,0)</f>
        <v>10.780000000000001</v>
      </c>
      <c r="BC38" s="13">
        <f t="array" ref="BC38">INDEX(BB:BB,MIN(IF(ISNUMBER(BB38:BB234),ROW(BB38:BB234),"")))</f>
        <v>10.780000000000001</v>
      </c>
      <c r="BD38" s="13">
        <f>IF('Données projet'!$A$88&gt;35,BD37+BC38-BL37,IF(A38&lt;'Données projet'!$A$88,$BA$205^A38,IF(A38='Données projet'!$A$88,'Données projet'!$B$88,BD37+BC38-BL37)))</f>
        <v>172.4</v>
      </c>
      <c r="BE38" s="14">
        <f>BD38*VLOOKUP('Données projet'!$B$11,Paramètres!$A$1:$I$89,3,0)*VLOOKUP('Données projet'!$B$11,Paramètres!$A$1:$I$89,5,0)</f>
        <v>150.60864000000004</v>
      </c>
      <c r="BF38" s="14">
        <f t="shared" si="37"/>
        <v>38.716868630535288</v>
      </c>
      <c r="BG38" s="22">
        <f t="shared" si="7"/>
        <v>329.74192753151567</v>
      </c>
      <c r="BH38" s="60">
        <f t="shared" si="8"/>
        <v>573.3924602560902</v>
      </c>
      <c r="BI38" s="60">
        <f ca="1">AVERAGE(OFFSET($BH$3,0,0,'Données projet'!$E$11+1,1))-AVERAGE(OFFSET($H$3,0,0,'Données projet'!$E$11+1,1))</f>
        <v>363.28611056308665</v>
      </c>
      <c r="BJ38" s="60">
        <f t="shared" si="38"/>
        <v>389.43647559455974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159.61538461538461</v>
      </c>
      <c r="BW38" s="13">
        <f>VLOOKUP(A38,'Données projet'!$A$113:$I$133,9,0)</f>
        <v>7.1794871794871797</v>
      </c>
      <c r="BX38" s="13">
        <f t="array" ref="BX38">INDEX(BW:BW,MIN(IF(ISNUMBER(BW38:BW234),ROW(BW38:BW234),"")))</f>
        <v>7.1794871794871797</v>
      </c>
      <c r="BY38" s="13">
        <f>IF('Données projet'!$A$114&gt;35,BY37+BX38-CG37,IF(A38&lt;'Données projet'!$A$114,$BV$205^A38,IF(A38='Données projet'!$A$114,'Données projet'!$B$114,BY37+BX38-CG37)))</f>
        <v>159.61538461538461</v>
      </c>
      <c r="BZ38" s="14">
        <f>BY38*VLOOKUP('Données projet'!$B$12,Paramètres!$A$1:$I$89,3,0)*VLOOKUP('Données projet'!$B$12,Paramètres!$A$1:$I$89,5,0)</f>
        <v>151.89000000000001</v>
      </c>
      <c r="CA38" s="14">
        <f t="shared" si="39"/>
        <v>39.007781402191782</v>
      </c>
      <c r="CB38" s="22">
        <f t="shared" si="10"/>
        <v>332.48030260881734</v>
      </c>
      <c r="CC38" s="60">
        <f t="shared" si="11"/>
        <v>576.13083533339181</v>
      </c>
      <c r="CD38" s="60">
        <f ca="1">AVERAGE(OFFSET($CC$3,0,0,'Données projet'!$E$12+1,1))-AVERAGE(OFFSET($H$3,0,0,'Données projet'!$E$12+1,1))</f>
        <v>441.15969139782891</v>
      </c>
      <c r="CE38" s="60">
        <f t="shared" si="40"/>
        <v>315.06466790224783</v>
      </c>
      <c r="CF38" s="16">
        <f>IF(ISNA(VLOOKUP(A38,'Données projet'!$A$113:$I$133,3,0)),0,VLOOKUP(A38,'Données projet'!$A$113:$I$133,3,0))</f>
        <v>2</v>
      </c>
      <c r="CG38" s="16">
        <f>IF(ISNA(VLOOKUP(A38,'Données projet'!$A$113:$I$133,4,0)),0,VLOOKUP(A38,'Données projet'!$A$113:$I$133,4,0))</f>
        <v>33.333333333333336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206.4</v>
      </c>
      <c r="CR38" s="13">
        <f>VLOOKUP(A38,'Données projet'!$A$139:$I$159,9,0)</f>
        <v>12.919999999999998</v>
      </c>
      <c r="CS38" s="13">
        <f t="array" ref="CS38">INDEX(CR:CR,MIN(IF(ISNUMBER(CR38:CR234),ROW(CR38:CR234),"")))</f>
        <v>12.919999999999998</v>
      </c>
      <c r="CT38" s="13">
        <f>IF('Données projet'!$A$140&gt;35,CT37+CS38-DB37,IF(A38&lt;'Données projet'!$A$140,$CQ$205^A38,IF(A38='Données projet'!$A$140,'Données projet'!$B$140,CT37+CS38-DB37)))</f>
        <v>206.39999999999989</v>
      </c>
      <c r="CU38" s="18">
        <f>CT38*VLOOKUP('Données projet'!$B$13,Paramètres!$A$1:$I$89,3,0)*VLOOKUP('Données projet'!$B$13,Paramètres!$A$1:$I$89,5,0)</f>
        <v>151.33247999999992</v>
      </c>
      <c r="CV38" s="14">
        <f t="shared" si="41"/>
        <v>38.881240443489794</v>
      </c>
      <c r="CW38" s="22">
        <f t="shared" si="13"/>
        <v>331.28889643907786</v>
      </c>
      <c r="CX38" s="60">
        <f t="shared" si="14"/>
        <v>574.93942916365233</v>
      </c>
      <c r="CY38" s="60">
        <f ca="1">AVERAGE(OFFSET($CX$3,0,0,'Données projet'!$E$13+1,1))-AVERAGE(OFFSET($H$3,0,0,'Données projet'!$E$13+1,1))</f>
        <v>368.35775920359396</v>
      </c>
      <c r="CZ38" s="60">
        <f t="shared" si="42"/>
        <v>395.5218438652638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11.5</v>
      </c>
      <c r="DO38" s="13">
        <f>IF('Données projet'!$A$166&gt;35,DO37+DN38-DW37,IF(A38&lt;'Données projet'!$A$166,$DL$205^A38,IF(A38='Données projet'!$A$166,'Données projet'!$B$166,DO37+DN38-DW37)))</f>
        <v>164.99999999999997</v>
      </c>
      <c r="DP38" s="18">
        <f>DO38*VLOOKUP('Données projet'!$B$14,Paramètres!$A$1:$I$89,3,0)*VLOOKUP('Données projet'!$B$14,Paramètres!$A$1:$I$89,5,0)</f>
        <v>128.69999999999999</v>
      </c>
      <c r="DQ38" s="14">
        <f t="shared" si="43"/>
        <v>33.695792019186115</v>
      </c>
      <c r="DR38" s="22">
        <f t="shared" si="16"/>
        <v>282.83933776674911</v>
      </c>
      <c r="DS38" s="60">
        <f t="shared" si="17"/>
        <v>526.48987049132359</v>
      </c>
      <c r="DT38" s="60">
        <f ca="1">AVERAGE(OFFSET($DS$3,0,0,'Données projet'!$E$14+1,1))-AVERAGE(OFFSET($H$3,0,0,'Données projet'!$E$14+1,1))</f>
        <v>312.59632808777332</v>
      </c>
      <c r="DU38" s="60">
        <f t="shared" si="44"/>
        <v>302.59481222418219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14.166666666666666</v>
      </c>
      <c r="EJ38" s="13">
        <f>IF('Données projet'!$A$192&gt;35,EJ37+EI38-ER37,IF(A38&lt;'Données projet'!$A$192,$EG$205^A38,IF(A38='Données projet'!$A$192,'Données projet'!$B$192,EJ37+EI38-ER37)))</f>
        <v>159.83333333333331</v>
      </c>
      <c r="EK38" s="18">
        <f>EJ38*VLOOKUP('Données projet'!$B$15,Paramètres!$A$1:$I$89,3,0)*VLOOKUP('Données projet'!$B$15,Paramètres!$A$1:$I$89,5,0)</f>
        <v>137.137</v>
      </c>
      <c r="EL38" s="14">
        <f t="shared" si="45"/>
        <v>35.64034577929781</v>
      </c>
      <c r="EM38" s="22">
        <f t="shared" si="19"/>
        <v>300.92054389894366</v>
      </c>
      <c r="EN38" s="60">
        <f t="shared" si="20"/>
        <v>544.57107662351814</v>
      </c>
      <c r="EO38" s="60">
        <f ca="1">AVERAGE(OFFSET($EN$3,0,0,'Données projet'!$E$15+1,1))-AVERAGE(OFFSET($H$3,0,0,'Données projet'!$E$15+1,1))</f>
        <v>478.11504516179713</v>
      </c>
      <c r="EP38" s="60">
        <f t="shared" si="46"/>
        <v>249.93713224442419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0</v>
      </c>
      <c r="EW38" s="23">
        <f>EXP(-LN(2)/25)*EW37+(1-EXP(-LN(2)/25))/(LN(2)/25)*Calculateur!ER38*Calculateur!ET38*VLOOKUP('Données projet'!$B$15,Paramètres!$A$1:$I$89,3,0)*0.475*44/12</f>
        <v>0</v>
      </c>
      <c r="EX38" s="23">
        <f>EXP(-LN(2)/2)*EX37+(1-EXP(-LN(2)/2))/(LN(2)/2)*ER38*EU38*VLOOKUP('Données projet'!$B$15,Paramètres!$A$1:$I$89,3,0)*0.475*44/12</f>
        <v>0</v>
      </c>
      <c r="EY38" s="24">
        <f t="shared" si="21"/>
        <v>0</v>
      </c>
      <c r="EZ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>
        <f>VLOOKUP(A38,'Données projet'!$A$217:$I$237,2,0)</f>
        <v>175</v>
      </c>
      <c r="FC38" s="13">
        <f>VLOOKUP(A38,'Données projet'!$A$217:$I$237,9,0)</f>
        <v>10.8</v>
      </c>
      <c r="FD38" s="13">
        <f t="array" ref="FD38">INDEX(FC:FC,MIN(IF(ISNUMBER(FC38:FC234),ROW(FC38:FC234),"")))</f>
        <v>10.8</v>
      </c>
      <c r="FE38" s="13">
        <f>IF('Données projet'!$A$218&gt;35,FE37+FD38-FM37,IF(A38&lt;'Données projet'!$A$218,$FB$205^A38,IF(A38='Données projet'!$A$218,'Données projet'!$B$218,FE37+FD38-FM37)))</f>
        <v>175.00000000000009</v>
      </c>
      <c r="FF38" s="18">
        <f>FE38*VLOOKUP('Données projet'!$B$16,Paramètres!$A$1:$I$89,3,0)*VLOOKUP('Données projet'!$B$16,Paramètres!$A$1:$I$89,5,0)</f>
        <v>169.2600000000001</v>
      </c>
      <c r="FG38" s="14">
        <f t="shared" si="47"/>
        <v>42.924246146122314</v>
      </c>
      <c r="FH38" s="22">
        <f t="shared" si="22"/>
        <v>369.55422870449644</v>
      </c>
      <c r="FI38" s="60">
        <f t="shared" si="23"/>
        <v>613.20476142907091</v>
      </c>
      <c r="FJ38" s="60">
        <f ca="1">AVERAGE(OFFSET($FI$3,0,0,'Données projet'!$E$16+1,1))-AVERAGE(OFFSET($H$3,0,0,'Données projet'!$E$16+1,1))</f>
        <v>603.52431522262032</v>
      </c>
      <c r="FK38" s="60">
        <f t="shared" si="48"/>
        <v>313.56299786481338</v>
      </c>
      <c r="FL38" s="16">
        <f>IF(ISNA(VLOOKUP(A38,'Données projet'!$A$217:$I$237,3,0)),0,VLOOKUP(A38,'Données projet'!$A$217:$I$237,3,0))</f>
        <v>2</v>
      </c>
      <c r="FM38" s="16">
        <f>IF(ISNA(VLOOKUP(A38,'Données projet'!$A$217:$I$237,4,0)),0,VLOOKUP(A38,'Données projet'!$A$217:$I$237,4,0))</f>
        <v>56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>
        <f>EXP(-LN(2)/35)*FQ37+(1-EXP(-LN(2)/35))/(LN(2)/35)*FM38*FN38*VLOOKUP('Données projet'!$B$16,Paramètres!$A$1:$I$89,3,0)*0.475*44/12</f>
        <v>0</v>
      </c>
      <c r="FR38" s="23">
        <f>EXP(-LN(2)/25)*FR37+(1-EXP(-LN(2)/25))/(LN(2)/25)*Calculateur!FM38*Calculateur!FO38*VLOOKUP('Données projet'!$B$16,Paramètres!$A$1:$I$89,3,0)*0.475*44/12</f>
        <v>0</v>
      </c>
      <c r="FS38" s="23">
        <f>EXP(-LN(2)/2)*FS37+(1-EXP(-LN(2)/2))/(LN(2)/2)*FM38*FP38*VLOOKUP('Données projet'!$B$16,Paramètres!$A$1:$I$89,3,0)*0.475*44/12</f>
        <v>0</v>
      </c>
      <c r="FT38" s="24">
        <f t="shared" si="24"/>
        <v>0</v>
      </c>
      <c r="FU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>
        <f>VLOOKUP(A38,'Données projet'!$A$243:$I$263,2,0)</f>
        <v>188.46153846153845</v>
      </c>
      <c r="FX38" s="13">
        <f>VLOOKUP(A38,'Données projet'!$A$243:$I$263,9,0)</f>
        <v>8.717948717948719</v>
      </c>
      <c r="FY38" s="13">
        <f t="array" ref="FY38">INDEX(FX:FX,MIN(IF(ISNUMBER(FX38:FX234),ROW(FX38:FX234),"")))</f>
        <v>8.717948717948719</v>
      </c>
      <c r="FZ38" s="13">
        <f>IF('Données projet'!$A$244&gt;35,FZ37+FY38-GH37,IF(A38&lt;'Données projet'!$A$244,$FW$205^A38,IF(A38='Données projet'!$A$244,'Données projet'!$B$244,FZ37+FY38-GH37)))</f>
        <v>188.46153846153851</v>
      </c>
      <c r="GA38" s="18">
        <f>FZ38*VLOOKUP('Données projet'!$B$17,Paramètres!$A$1:$I$89,3,0)*VLOOKUP('Données projet'!$B$17,Paramètres!$A$1:$I$89,5,0)</f>
        <v>126.42000000000004</v>
      </c>
      <c r="GB38" s="14">
        <f t="shared" si="49"/>
        <v>33.167786817172477</v>
      </c>
      <c r="GC38" s="22">
        <f t="shared" si="25"/>
        <v>277.94872870657542</v>
      </c>
      <c r="GD38" s="60">
        <f t="shared" si="26"/>
        <v>521.5992614311499</v>
      </c>
      <c r="GE38" s="60">
        <f ca="1">AVERAGE(OFFSET($GD$3,0,0,'Données projet'!$E$17+1,1))-AVERAGE(OFFSET($H$3,0,0,'Données projet'!$E$17+1,1))</f>
        <v>396.0878652679051</v>
      </c>
      <c r="GF38" s="60">
        <f t="shared" si="50"/>
        <v>327.26339199235406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>
        <f>EXP(-LN(2)/35)*GL37+(1-EXP(-LN(2)/35))/(LN(2)/35)*GH38*GI38*VLOOKUP('Données projet'!$B$17,Paramètres!$A$1:$I$89,3,0)*0.475*44/12</f>
        <v>0</v>
      </c>
      <c r="GM38" s="23">
        <f>EXP(-LN(2)/25)*GM37+(1-EXP(-LN(2)/25))/(LN(2)/25)*Calculateur!GH38*Calculateur!GJ38*VLOOKUP('Données projet'!$B$17,Paramètres!$A$1:$I$89,3,0)*0.475*44/12</f>
        <v>0</v>
      </c>
      <c r="GN38" s="23">
        <f>EXP(-LN(2)/2)*GN37+(1-EXP(-LN(2)/2))/(LN(2)/2)*GH38*GK38*VLOOKUP('Données projet'!$B$17,Paramètres!$A$1:$I$89,3,0)*0.475*44/12</f>
        <v>0</v>
      </c>
      <c r="GO38" s="23">
        <f t="shared" si="27"/>
        <v>0</v>
      </c>
      <c r="GP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>
        <f>VLOOKUP(A38,'Données projet'!$A$269:$I$289,2,0)</f>
        <v>190</v>
      </c>
      <c r="GS38" s="13">
        <f>VLOOKUP(A38,'Données projet'!$A$269:$I$289,9,0)</f>
        <v>8.8000000000000007</v>
      </c>
      <c r="GT38" s="13">
        <f t="array" ref="GT38">INDEX(GS:GS,MIN(IF(ISNUMBER(GS38:GS234),ROW(GS38:GS234),"")))</f>
        <v>8.8000000000000007</v>
      </c>
      <c r="GU38" s="13">
        <f>IF('Données projet'!$A$270&gt;35,GU37+GT38-HC37,IF(A38&lt;'Données projet'!$A$270,$GR$205^A38,IF(A38='Données projet'!$A$270,'Données projet'!$B$270,GU37+GT38-HC37)))</f>
        <v>190.00000000000006</v>
      </c>
      <c r="GV38" s="18">
        <f>GU38*VLOOKUP('Données projet'!$B$18,Paramètres!$A$1:$I$89,3,0)*VLOOKUP('Données projet'!$B$18,Paramètres!$A$1:$I$89,5,0)</f>
        <v>154.12800000000007</v>
      </c>
      <c r="GW38" s="14">
        <f t="shared" si="51"/>
        <v>39.51520107536119</v>
      </c>
      <c r="GX38" s="22">
        <f t="shared" si="28"/>
        <v>337.26190853958752</v>
      </c>
      <c r="GY38" s="60">
        <f t="shared" si="29"/>
        <v>580.912441264162</v>
      </c>
      <c r="GZ38" s="60">
        <f ca="1">AVERAGE(OFFSET($GY$3,0,0,'Données projet'!$E$18+1,1))-AVERAGE(OFFSET($H$3,0,0,'Données projet'!$E$18+1,1))</f>
        <v>272.69564942740931</v>
      </c>
      <c r="HA38" s="60">
        <f t="shared" si="52"/>
        <v>316.57989180609252</v>
      </c>
      <c r="HB38" s="16">
        <f>IF(ISNA(VLOOKUP(A38,'Données projet'!$A$269:$I$289,3,0)),0,VLOOKUP(A38,'Données projet'!$A$269:$I$289,3,0))</f>
        <v>2</v>
      </c>
      <c r="HC38" s="16">
        <f>IF(ISNA(VLOOKUP(A38,'Données projet'!$A$269:$I$289,4,0)),0,VLOOKUP(A38,'Données projet'!$A$269:$I$289,4,0))</f>
        <v>76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>
        <f>EXP(-LN(2)/35)*HG37+(1-EXP(-LN(2)/35))/(LN(2)/35)*HC38*HD38*VLOOKUP('Données projet'!$B$18,Paramètres!$A$1:$I$89,3,0)*0.475*44/12</f>
        <v>0</v>
      </c>
      <c r="HH38" s="23">
        <f>EXP(-LN(2)/25)*HH37+(1-EXP(-LN(2)/25))/(LN(2)/25)*Calculateur!HC38*Calculateur!HE38*VLOOKUP('Données projet'!$B$18,Paramètres!$A$1:$I$89,3,0)*0.475*44/12</f>
        <v>0</v>
      </c>
      <c r="HI38" s="23">
        <f>EXP(-LN(2)/2)*HI37+(1-EXP(-LN(2)/2))/(LN(2)/2)*HC38*HF38*VLOOKUP('Données projet'!$B$18,Paramètres!$A$1:$I$89,3,0)*0.475*44/12</f>
        <v>0</v>
      </c>
      <c r="HJ38" s="24">
        <f t="shared" si="30"/>
        <v>0</v>
      </c>
    </row>
    <row r="39" spans="1:218" s="5" customFormat="1" x14ac:dyDescent="0.25">
      <c r="A39" s="11">
        <f t="shared" si="31"/>
        <v>36</v>
      </c>
      <c r="B39" s="75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8">
        <f t="shared" si="1"/>
        <v>183.33333333333334</v>
      </c>
      <c r="I39" s="7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11.2</v>
      </c>
      <c r="N39" s="14">
        <f>IF('Données projet'!$A$36&gt;35,N38+M39-V38,IF(A39&lt;'Données projet'!$A$36,$K$205^A39,IF(A39='Données projet'!$A$36,'Données projet'!$B$36,N38+M39-V38)))</f>
        <v>130.20000000000007</v>
      </c>
      <c r="O39" s="14">
        <f>N39*VLOOKUP('Données projet'!$B$9,Paramètres!$A$1:$I$89,3,0)*VLOOKUP('Données projet'!$B$9,Paramètres!$A$1:$I$89,5,0)</f>
        <v>117.80496000000005</v>
      </c>
      <c r="P39" s="14">
        <f t="shared" si="33"/>
        <v>31.162493487829593</v>
      </c>
      <c r="Q39" s="22">
        <f t="shared" si="53"/>
        <v>259.45164815796994</v>
      </c>
      <c r="R39" s="60">
        <f t="shared" si="0"/>
        <v>503.96406639900437</v>
      </c>
      <c r="S39" s="60">
        <f ca="1">AVERAGE(OFFSET($R$3,0,0,'Données projet'!$E$9+1,1))-AVERAGE(OFFSET($H$3,0,0,'Données projet'!$E$9+1,1))</f>
        <v>570.08763950759544</v>
      </c>
      <c r="T39" s="60">
        <f t="shared" si="34"/>
        <v>297.32483725004136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11.340000000000003</v>
      </c>
      <c r="AI39" s="14">
        <f>IF('Données projet'!$A$62&gt;35,AI38+AH39-AQ38,IF(A39&lt;'Données projet'!$A$62,$AF$205^A39,IF(A39='Données projet'!$A$62,'Données projet'!$B$62,AI38+AH39-AQ38)))</f>
        <v>217.7399999999999</v>
      </c>
      <c r="AJ39" s="14">
        <f>AI39*VLOOKUP('Données projet'!$B$10,Paramètres!$A$1:$I$89,3,0)*VLOOKUP('Données projet'!$B$10,Paramètres!$A$1:$I$89,5,0)</f>
        <v>173.23394399999992</v>
      </c>
      <c r="AK39" s="14">
        <f t="shared" si="35"/>
        <v>43.813523178063591</v>
      </c>
      <c r="AL39" s="22">
        <f t="shared" si="4"/>
        <v>378.02433866846064</v>
      </c>
      <c r="AM39" s="60">
        <f t="shared" si="5"/>
        <v>622.53675690949513</v>
      </c>
      <c r="AN39" s="60">
        <f ca="1">AVERAGE(OFFSET($AM$3,0,0,'Données projet'!$E$10+1,1))-AVERAGE(OFFSET($H$3,0,0,'Données projet'!$E$10+1,1))</f>
        <v>394.49874384716014</v>
      </c>
      <c r="AO39" s="60">
        <f t="shared" si="36"/>
        <v>423.72519584013378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9.4399999999999977</v>
      </c>
      <c r="BD39" s="13">
        <f>IF('Données projet'!$A$88&gt;35,BD38+BC39-BL38,IF(A39&lt;'Données projet'!$A$88,$BA$205^A39,IF(A39='Données projet'!$A$88,'Données projet'!$B$88,BD38+BC39-BL38)))</f>
        <v>181.84</v>
      </c>
      <c r="BE39" s="14">
        <f>BD39*VLOOKUP('Données projet'!$B$11,Paramètres!$A$1:$I$89,3,0)*VLOOKUP('Données projet'!$B$11,Paramètres!$A$1:$I$89,5,0)</f>
        <v>158.85542400000003</v>
      </c>
      <c r="BF39" s="14">
        <f t="shared" si="37"/>
        <v>40.584245324611537</v>
      </c>
      <c r="BG39" s="22">
        <f t="shared" si="7"/>
        <v>347.35742407369844</v>
      </c>
      <c r="BH39" s="60">
        <f t="shared" si="8"/>
        <v>591.86984231473286</v>
      </c>
      <c r="BI39" s="60">
        <f ca="1">AVERAGE(OFFSET($BH$3,0,0,'Données projet'!$E$11+1,1))-AVERAGE(OFFSET($H$3,0,0,'Données projet'!$E$11+1,1))</f>
        <v>363.28611056308665</v>
      </c>
      <c r="BJ39" s="60">
        <f t="shared" si="38"/>
        <v>389.43647559455974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6.7948717948717956</v>
      </c>
      <c r="BY39" s="13">
        <f>IF('Données projet'!$A$114&gt;35,BY38+BX39-CG38,IF(A39&lt;'Données projet'!$A$114,$BV$205^A39,IF(A39='Données projet'!$A$114,'Données projet'!$B$114,BY38+BX39-CG38)))</f>
        <v>133.07692307692307</v>
      </c>
      <c r="BZ39" s="14">
        <f>BY39*VLOOKUP('Données projet'!$B$12,Paramètres!$A$1:$I$89,3,0)*VLOOKUP('Données projet'!$B$12,Paramètres!$A$1:$I$89,5,0)</f>
        <v>126.636</v>
      </c>
      <c r="CA39" s="14">
        <f t="shared" si="39"/>
        <v>33.217855596652925</v>
      </c>
      <c r="CB39" s="22">
        <f t="shared" si="10"/>
        <v>278.41213183083715</v>
      </c>
      <c r="CC39" s="60">
        <f t="shared" si="11"/>
        <v>522.92455007187164</v>
      </c>
      <c r="CD39" s="60">
        <f ca="1">AVERAGE(OFFSET($CC$3,0,0,'Données projet'!$E$12+1,1))-AVERAGE(OFFSET($H$3,0,0,'Données projet'!$E$12+1,1))</f>
        <v>441.15969139782891</v>
      </c>
      <c r="CE39" s="60">
        <f t="shared" si="40"/>
        <v>315.06466790224783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11.340000000000003</v>
      </c>
      <c r="CT39" s="13">
        <f>IF('Données projet'!$A$140&gt;35,CT38+CS39-DB38,IF(A39&lt;'Données projet'!$A$140,$CQ$205^A39,IF(A39='Données projet'!$A$140,'Données projet'!$B$140,CT38+CS39-DB38)))</f>
        <v>217.7399999999999</v>
      </c>
      <c r="CU39" s="18">
        <f>CT39*VLOOKUP('Données projet'!$B$13,Paramètres!$A$1:$I$89,3,0)*VLOOKUP('Données projet'!$B$13,Paramètres!$A$1:$I$89,5,0)</f>
        <v>159.64696799999993</v>
      </c>
      <c r="CV39" s="14">
        <f t="shared" si="41"/>
        <v>40.762877819882384</v>
      </c>
      <c r="CW39" s="22">
        <f t="shared" si="13"/>
        <v>349.04714813629499</v>
      </c>
      <c r="CX39" s="60">
        <f t="shared" si="14"/>
        <v>593.55956637732947</v>
      </c>
      <c r="CY39" s="60">
        <f ca="1">AVERAGE(OFFSET($CX$3,0,0,'Données projet'!$E$13+1,1))-AVERAGE(OFFSET($H$3,0,0,'Données projet'!$E$13+1,1))</f>
        <v>368.35775920359396</v>
      </c>
      <c r="CZ39" s="60">
        <f t="shared" si="42"/>
        <v>395.5218438652638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11.5</v>
      </c>
      <c r="DO39" s="13">
        <f>IF('Données projet'!$A$166&gt;35,DO38+DN39-DW38,IF(A39&lt;'Données projet'!$A$166,$DL$205^A39,IF(A39='Données projet'!$A$166,'Données projet'!$B$166,DO38+DN39-DW38)))</f>
        <v>176.49999999999997</v>
      </c>
      <c r="DP39" s="18">
        <f>DO39*VLOOKUP('Données projet'!$B$14,Paramètres!$A$1:$I$89,3,0)*VLOOKUP('Données projet'!$B$14,Paramètres!$A$1:$I$89,5,0)</f>
        <v>137.66999999999999</v>
      </c>
      <c r="DQ39" s="14">
        <f t="shared" si="43"/>
        <v>35.762714965854656</v>
      </c>
      <c r="DR39" s="22">
        <f t="shared" si="16"/>
        <v>302.06197856553018</v>
      </c>
      <c r="DS39" s="60">
        <f t="shared" si="17"/>
        <v>546.57439680656466</v>
      </c>
      <c r="DT39" s="60">
        <f ca="1">AVERAGE(OFFSET($DS$3,0,0,'Données projet'!$E$14+1,1))-AVERAGE(OFFSET($H$3,0,0,'Données projet'!$E$14+1,1))</f>
        <v>312.59632808777332</v>
      </c>
      <c r="DU39" s="60">
        <f t="shared" si="44"/>
        <v>302.59481222418219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>
        <f>VLOOKUP(A39,'Données projet'!$A$191:$I$211,2,0)</f>
        <v>174</v>
      </c>
      <c r="EH39" s="13">
        <f>VLOOKUP(A39,'Données projet'!$A$191:$I$211,9,0)</f>
        <v>14.166666666666666</v>
      </c>
      <c r="EI39" s="13">
        <f t="array" ref="EI39">INDEX(EH:EH,MIN(IF(ISNUMBER(EH39:EH235),ROW(EH39:EH235),"")))</f>
        <v>14.166666666666666</v>
      </c>
      <c r="EJ39" s="13">
        <f>IF('Données projet'!$A$192&gt;35,EJ38+EI39-ER38,IF(A39&lt;'Données projet'!$A$192,$EG$205^A39,IF(A39='Données projet'!$A$192,'Données projet'!$B$192,EJ38+EI39-ER38)))</f>
        <v>173.99999999999997</v>
      </c>
      <c r="EK39" s="18">
        <f>EJ39*VLOOKUP('Données projet'!$B$15,Paramètres!$A$1:$I$89,3,0)*VLOOKUP('Données projet'!$B$15,Paramètres!$A$1:$I$89,5,0)</f>
        <v>149.29199999999997</v>
      </c>
      <c r="EL39" s="14">
        <f t="shared" si="45"/>
        <v>38.417645803815411</v>
      </c>
      <c r="EM39" s="22">
        <f t="shared" si="19"/>
        <v>326.9276331083118</v>
      </c>
      <c r="EN39" s="60">
        <f t="shared" si="20"/>
        <v>571.44005134934628</v>
      </c>
      <c r="EO39" s="60">
        <f ca="1">AVERAGE(OFFSET($EN$3,0,0,'Données projet'!$E$15+1,1))-AVERAGE(OFFSET($H$3,0,0,'Données projet'!$E$15+1,1))</f>
        <v>478.11504516179713</v>
      </c>
      <c r="EP39" s="60">
        <f t="shared" si="46"/>
        <v>249.93713224442419</v>
      </c>
      <c r="EQ39" s="16">
        <f>IF(ISNA(VLOOKUP(A39,'Données projet'!$A$191:$I$211,3,0)),0,VLOOKUP(A39,'Données projet'!$A$191:$I$211,3,0))</f>
        <v>3</v>
      </c>
      <c r="ER39" s="16">
        <f>IF(ISNA(VLOOKUP(A39,'Données projet'!$A$191:$I$211,4,0)),0,VLOOKUP(A39,'Données projet'!$A$191:$I$211,4,0))</f>
        <v>60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0</v>
      </c>
      <c r="EW39" s="23">
        <f>EXP(-LN(2)/25)*EW38+(1-EXP(-LN(2)/25))/(LN(2)/25)*Calculateur!ER39*Calculateur!ET39*VLOOKUP('Données projet'!$B$15,Paramètres!$A$1:$I$89,3,0)*0.475*44/12</f>
        <v>0</v>
      </c>
      <c r="EX39" s="23">
        <f>EXP(-LN(2)/2)*EX38+(1-EXP(-LN(2)/2))/(LN(2)/2)*ER39*EU39*VLOOKUP('Données projet'!$B$15,Paramètres!$A$1:$I$89,3,0)*0.475*44/12</f>
        <v>0</v>
      </c>
      <c r="EY39" s="24">
        <f t="shared" si="21"/>
        <v>0</v>
      </c>
      <c r="EZ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11.2</v>
      </c>
      <c r="FE39" s="13">
        <f>IF('Données projet'!$A$218&gt;35,FE38+FD39-FM38,IF(A39&lt;'Données projet'!$A$218,$FB$205^A39,IF(A39='Données projet'!$A$218,'Données projet'!$B$218,FE38+FD39-FM38)))</f>
        <v>130.20000000000007</v>
      </c>
      <c r="FF39" s="18">
        <f>FE39*VLOOKUP('Données projet'!$B$16,Paramètres!$A$1:$I$89,3,0)*VLOOKUP('Données projet'!$B$16,Paramètres!$A$1:$I$89,5,0)</f>
        <v>125.92944000000007</v>
      </c>
      <c r="FG39" s="14">
        <f t="shared" si="47"/>
        <v>33.054038034052077</v>
      </c>
      <c r="FH39" s="22">
        <f t="shared" si="22"/>
        <v>276.89622424264081</v>
      </c>
      <c r="FI39" s="60">
        <f t="shared" si="23"/>
        <v>521.40864248367529</v>
      </c>
      <c r="FJ39" s="60">
        <f ca="1">AVERAGE(OFFSET($FI$3,0,0,'Données projet'!$E$16+1,1))-AVERAGE(OFFSET($H$3,0,0,'Données projet'!$E$16+1,1))</f>
        <v>603.52431522262032</v>
      </c>
      <c r="FK39" s="60">
        <f t="shared" si="48"/>
        <v>313.56299786481338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>
        <f>EXP(-LN(2)/35)*FQ38+(1-EXP(-LN(2)/35))/(LN(2)/35)*FM39*FN39*VLOOKUP('Données projet'!$B$16,Paramètres!$A$1:$I$89,3,0)*0.475*44/12</f>
        <v>0</v>
      </c>
      <c r="FR39" s="23">
        <f>EXP(-LN(2)/25)*FR38+(1-EXP(-LN(2)/25))/(LN(2)/25)*Calculateur!FM39*Calculateur!FO39*VLOOKUP('Données projet'!$B$16,Paramètres!$A$1:$I$89,3,0)*0.475*44/12</f>
        <v>0</v>
      </c>
      <c r="FS39" s="23">
        <f>EXP(-LN(2)/2)*FS38+(1-EXP(-LN(2)/2))/(LN(2)/2)*FM39*FP39*VLOOKUP('Données projet'!$B$16,Paramètres!$A$1:$I$89,3,0)*0.475*44/12</f>
        <v>0</v>
      </c>
      <c r="FT39" s="24">
        <f t="shared" si="24"/>
        <v>0</v>
      </c>
      <c r="FU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7.9487179487179507</v>
      </c>
      <c r="FZ39" s="13">
        <f>IF('Données projet'!$A$244&gt;35,FZ38+FY39-GH38,IF(A39&lt;'Données projet'!$A$244,$FW$205^A39,IF(A39='Données projet'!$A$244,'Données projet'!$B$244,FZ38+FY39-GH38)))</f>
        <v>196.41025641025647</v>
      </c>
      <c r="GA39" s="18">
        <f>FZ39*VLOOKUP('Données projet'!$B$17,Paramètres!$A$1:$I$89,3,0)*VLOOKUP('Données projet'!$B$17,Paramètres!$A$1:$I$89,5,0)</f>
        <v>131.75200000000004</v>
      </c>
      <c r="GB39" s="14">
        <f t="shared" si="49"/>
        <v>34.400879137880764</v>
      </c>
      <c r="GC39" s="22">
        <f t="shared" si="25"/>
        <v>289.38293116514234</v>
      </c>
      <c r="GD39" s="60">
        <f t="shared" si="26"/>
        <v>533.89534940617682</v>
      </c>
      <c r="GE39" s="60">
        <f ca="1">AVERAGE(OFFSET($GD$3,0,0,'Données projet'!$E$17+1,1))-AVERAGE(OFFSET($H$3,0,0,'Données projet'!$E$17+1,1))</f>
        <v>396.0878652679051</v>
      </c>
      <c r="GF39" s="60">
        <f t="shared" si="50"/>
        <v>327.26339199235406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>
        <f>EXP(-LN(2)/35)*GL38+(1-EXP(-LN(2)/35))/(LN(2)/35)*GH39*GI39*VLOOKUP('Données projet'!$B$17,Paramètres!$A$1:$I$89,3,0)*0.475*44/12</f>
        <v>0</v>
      </c>
      <c r="GM39" s="23">
        <f>EXP(-LN(2)/25)*GM38+(1-EXP(-LN(2)/25))/(LN(2)/25)*Calculateur!GH39*Calculateur!GJ39*VLOOKUP('Données projet'!$B$17,Paramètres!$A$1:$I$89,3,0)*0.475*44/12</f>
        <v>0</v>
      </c>
      <c r="GN39" s="23">
        <f>EXP(-LN(2)/2)*GN38+(1-EXP(-LN(2)/2))/(LN(2)/2)*GH39*GK39*VLOOKUP('Données projet'!$B$17,Paramètres!$A$1:$I$89,3,0)*0.475*44/12</f>
        <v>0</v>
      </c>
      <c r="GO39" s="23">
        <f t="shared" si="27"/>
        <v>0</v>
      </c>
      <c r="GP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7.6</v>
      </c>
      <c r="GU39" s="13">
        <f>IF('Données projet'!$A$270&gt;35,GU38+GT39-HC38,IF(A39&lt;'Données projet'!$A$270,$GR$205^A39,IF(A39='Données projet'!$A$270,'Données projet'!$B$270,GU38+GT39-HC38)))</f>
        <v>121.60000000000005</v>
      </c>
      <c r="GV39" s="18">
        <f>GU39*VLOOKUP('Données projet'!$B$18,Paramètres!$A$1:$I$89,3,0)*VLOOKUP('Données projet'!$B$18,Paramètres!$A$1:$I$89,5,0)</f>
        <v>98.641920000000042</v>
      </c>
      <c r="GW39" s="14">
        <f t="shared" si="51"/>
        <v>26.638196684151392</v>
      </c>
      <c r="GX39" s="22">
        <f t="shared" si="28"/>
        <v>218.19620322489709</v>
      </c>
      <c r="GY39" s="60">
        <f t="shared" si="29"/>
        <v>462.70862146593151</v>
      </c>
      <c r="GZ39" s="60">
        <f ca="1">AVERAGE(OFFSET($GY$3,0,0,'Données projet'!$E$18+1,1))-AVERAGE(OFFSET($H$3,0,0,'Données projet'!$E$18+1,1))</f>
        <v>272.69564942740931</v>
      </c>
      <c r="HA39" s="60">
        <f t="shared" si="52"/>
        <v>316.57989180609252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>
        <f>EXP(-LN(2)/35)*HG38+(1-EXP(-LN(2)/35))/(LN(2)/35)*HC39*HD39*VLOOKUP('Données projet'!$B$18,Paramètres!$A$1:$I$89,3,0)*0.475*44/12</f>
        <v>0</v>
      </c>
      <c r="HH39" s="23">
        <f>EXP(-LN(2)/25)*HH38+(1-EXP(-LN(2)/25))/(LN(2)/25)*Calculateur!HC39*Calculateur!HE39*VLOOKUP('Données projet'!$B$18,Paramètres!$A$1:$I$89,3,0)*0.475*44/12</f>
        <v>0</v>
      </c>
      <c r="HI39" s="23">
        <f>EXP(-LN(2)/2)*HI38+(1-EXP(-LN(2)/2))/(LN(2)/2)*HC39*HF39*VLOOKUP('Données projet'!$B$18,Paramètres!$A$1:$I$89,3,0)*0.475*44/12</f>
        <v>0</v>
      </c>
      <c r="HJ39" s="24">
        <f t="shared" si="30"/>
        <v>0</v>
      </c>
    </row>
    <row r="40" spans="1:218" s="5" customFormat="1" x14ac:dyDescent="0.25">
      <c r="A40" s="11">
        <f t="shared" si="31"/>
        <v>37</v>
      </c>
      <c r="B40" s="75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8">
        <f t="shared" si="1"/>
        <v>183.33333333333334</v>
      </c>
      <c r="I40" s="7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11.2</v>
      </c>
      <c r="N40" s="14">
        <f>IF('Données projet'!$A$36&gt;35,N39+M40-V39,IF(A40&lt;'Données projet'!$A$36,$K$205^A40,IF(A40='Données projet'!$A$36,'Données projet'!$B$36,N39+M40-V39)))</f>
        <v>141.40000000000006</v>
      </c>
      <c r="O40" s="14">
        <f>N40*VLOOKUP('Données projet'!$B$9,Paramètres!$A$1:$I$89,3,0)*VLOOKUP('Données projet'!$B$9,Paramètres!$A$1:$I$89,5,0)</f>
        <v>127.93872000000005</v>
      </c>
      <c r="P40" s="14">
        <f t="shared" si="33"/>
        <v>33.519615889545641</v>
      </c>
      <c r="Q40" s="22">
        <f t="shared" si="53"/>
        <v>281.20660167429202</v>
      </c>
      <c r="R40" s="60">
        <f t="shared" si="0"/>
        <v>526.56595364496309</v>
      </c>
      <c r="S40" s="60">
        <f ca="1">AVERAGE(OFFSET($R$3,0,0,'Données projet'!$E$9+1,1))-AVERAGE(OFFSET($H$3,0,0,'Données projet'!$E$9+1,1))</f>
        <v>570.08763950759544</v>
      </c>
      <c r="T40" s="60">
        <f t="shared" si="34"/>
        <v>297.32483725004136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11.340000000000003</v>
      </c>
      <c r="AI40" s="14">
        <f>IF('Données projet'!$A$62&gt;35,AI39+AH40-AQ39,IF(A40&lt;'Données projet'!$A$62,$AF$205^A40,IF(A40='Données projet'!$A$62,'Données projet'!$B$62,AI39+AH40-AQ39)))</f>
        <v>229.0799999999999</v>
      </c>
      <c r="AJ40" s="14">
        <f>AI40*VLOOKUP('Données projet'!$B$10,Paramètres!$A$1:$I$89,3,0)*VLOOKUP('Données projet'!$B$10,Paramètres!$A$1:$I$89,5,0)</f>
        <v>182.25604799999994</v>
      </c>
      <c r="AK40" s="14">
        <f t="shared" si="35"/>
        <v>45.823750842861273</v>
      </c>
      <c r="AL40" s="22">
        <f t="shared" si="4"/>
        <v>397.23898298464991</v>
      </c>
      <c r="AM40" s="60">
        <f t="shared" si="5"/>
        <v>642.59833495532098</v>
      </c>
      <c r="AN40" s="60">
        <f ca="1">AVERAGE(OFFSET($AM$3,0,0,'Données projet'!$E$10+1,1))-AVERAGE(OFFSET($H$3,0,0,'Données projet'!$E$10+1,1))</f>
        <v>394.49874384716014</v>
      </c>
      <c r="AO40" s="60">
        <f t="shared" si="36"/>
        <v>423.72519584013378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9.4399999999999977</v>
      </c>
      <c r="BD40" s="13">
        <f>IF('Données projet'!$A$88&gt;35,BD39+BC40-BL39,IF(A40&lt;'Données projet'!$A$88,$BA$205^A40,IF(A40='Données projet'!$A$88,'Données projet'!$B$88,BD39+BC40-BL39)))</f>
        <v>191.28</v>
      </c>
      <c r="BE40" s="14">
        <f>BD40*VLOOKUP('Données projet'!$B$11,Paramètres!$A$1:$I$89,3,0)*VLOOKUP('Données projet'!$B$11,Paramètres!$A$1:$I$89,5,0)</f>
        <v>167.10220800000002</v>
      </c>
      <c r="BF40" s="14">
        <f t="shared" si="37"/>
        <v>42.440366591968385</v>
      </c>
      <c r="BG40" s="22">
        <f t="shared" si="7"/>
        <v>364.95331741434489</v>
      </c>
      <c r="BH40" s="60">
        <f t="shared" si="8"/>
        <v>610.31266938501597</v>
      </c>
      <c r="BI40" s="60">
        <f ca="1">AVERAGE(OFFSET($BH$3,0,0,'Données projet'!$E$11+1,1))-AVERAGE(OFFSET($H$3,0,0,'Données projet'!$E$11+1,1))</f>
        <v>363.28611056308665</v>
      </c>
      <c r="BJ40" s="60">
        <f t="shared" si="38"/>
        <v>389.43647559455974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6.7948717948717956</v>
      </c>
      <c r="BY40" s="13">
        <f>IF('Données projet'!$A$114&gt;35,BY39+BX40-CG39,IF(A40&lt;'Données projet'!$A$114,$BV$205^A40,IF(A40='Données projet'!$A$114,'Données projet'!$B$114,BY39+BX40-CG39)))</f>
        <v>139.87179487179486</v>
      </c>
      <c r="BZ40" s="14">
        <f>BY40*VLOOKUP('Données projet'!$B$12,Paramètres!$A$1:$I$89,3,0)*VLOOKUP('Données projet'!$B$12,Paramètres!$A$1:$I$89,5,0)</f>
        <v>133.102</v>
      </c>
      <c r="CA40" s="14">
        <f t="shared" si="39"/>
        <v>34.712153760745615</v>
      </c>
      <c r="CB40" s="22">
        <f t="shared" si="10"/>
        <v>292.27631779996528</v>
      </c>
      <c r="CC40" s="60">
        <f t="shared" si="11"/>
        <v>537.63566977063635</v>
      </c>
      <c r="CD40" s="60">
        <f ca="1">AVERAGE(OFFSET($CC$3,0,0,'Données projet'!$E$12+1,1))-AVERAGE(OFFSET($H$3,0,0,'Données projet'!$E$12+1,1))</f>
        <v>441.15969139782891</v>
      </c>
      <c r="CE40" s="60">
        <f t="shared" si="40"/>
        <v>315.06466790224783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11.340000000000003</v>
      </c>
      <c r="CT40" s="13">
        <f>IF('Données projet'!$A$140&gt;35,CT39+CS40-DB39,IF(A40&lt;'Données projet'!$A$140,$CQ$205^A40,IF(A40='Données projet'!$A$140,'Données projet'!$B$140,CT39+CS40-DB39)))</f>
        <v>229.0799999999999</v>
      </c>
      <c r="CU40" s="18">
        <f>CT40*VLOOKUP('Données projet'!$B$13,Paramètres!$A$1:$I$89,3,0)*VLOOKUP('Données projet'!$B$13,Paramètres!$A$1:$I$89,5,0)</f>
        <v>167.96145599999994</v>
      </c>
      <c r="CV40" s="14">
        <f t="shared" si="41"/>
        <v>42.633137473671702</v>
      </c>
      <c r="CW40" s="22">
        <f t="shared" si="13"/>
        <v>366.78558363331143</v>
      </c>
      <c r="CX40" s="60">
        <f t="shared" si="14"/>
        <v>612.1449356039825</v>
      </c>
      <c r="CY40" s="60">
        <f ca="1">AVERAGE(OFFSET($CX$3,0,0,'Données projet'!$E$13+1,1))-AVERAGE(OFFSET($H$3,0,0,'Données projet'!$E$13+1,1))</f>
        <v>368.35775920359396</v>
      </c>
      <c r="CZ40" s="60">
        <f t="shared" si="42"/>
        <v>395.5218438652638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>
        <f>VLOOKUP(A40,'Données projet'!$A$165:$I$185,2,0)</f>
        <v>188</v>
      </c>
      <c r="DM40" s="13">
        <f>VLOOKUP(A40,'Données projet'!$A$165:$I$185,9,0)</f>
        <v>11.5</v>
      </c>
      <c r="DN40" s="13">
        <f t="array" ref="DN40">INDEX(DM:DM,MIN(IF(ISNUMBER(DM40:DM236),ROW(DM40:DM236),"")))</f>
        <v>11.5</v>
      </c>
      <c r="DO40" s="13">
        <f>IF('Données projet'!$A$166&gt;35,DO39+DN40-DW39,IF(A40&lt;'Données projet'!$A$166,$DL$205^A40,IF(A40='Données projet'!$A$166,'Données projet'!$B$166,DO39+DN40-DW39)))</f>
        <v>187.99999999999997</v>
      </c>
      <c r="DP40" s="18">
        <f>DO40*VLOOKUP('Données projet'!$B$14,Paramètres!$A$1:$I$89,3,0)*VLOOKUP('Données projet'!$B$14,Paramètres!$A$1:$I$89,5,0)</f>
        <v>146.63999999999999</v>
      </c>
      <c r="DQ40" s="14">
        <f t="shared" si="43"/>
        <v>37.814009712703026</v>
      </c>
      <c r="DR40" s="22">
        <f t="shared" si="16"/>
        <v>321.25740024962437</v>
      </c>
      <c r="DS40" s="60">
        <f t="shared" si="17"/>
        <v>566.61675222029544</v>
      </c>
      <c r="DT40" s="60">
        <f ca="1">AVERAGE(OFFSET($DS$3,0,0,'Données projet'!$E$14+1,1))-AVERAGE(OFFSET($H$3,0,0,'Données projet'!$E$14+1,1))</f>
        <v>312.59632808777332</v>
      </c>
      <c r="DU40" s="60">
        <f t="shared" si="44"/>
        <v>302.59481222418219</v>
      </c>
      <c r="DV40" s="16">
        <f>IF(ISNA(VLOOKUP(A40,'Données projet'!$A$165:$I$185,3,0)),0,VLOOKUP(A40,'Données projet'!$A$165:$I$185,3,0))</f>
        <v>3</v>
      </c>
      <c r="DW40" s="16">
        <f>IF(ISNA(VLOOKUP(A40,'Données projet'!$A$165:$I$185,4,0)),0,VLOOKUP(A40,'Données projet'!$A$165:$I$185,4,0))</f>
        <v>36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15.166666666666666</v>
      </c>
      <c r="EJ40" s="13">
        <f>IF('Données projet'!$A$192&gt;35,EJ39+EI40-ER39,IF(A40&lt;'Données projet'!$A$192,$EG$205^A40,IF(A40='Données projet'!$A$192,'Données projet'!$B$192,EJ39+EI40-ER39)))</f>
        <v>129.16666666666663</v>
      </c>
      <c r="EK40" s="18">
        <f>EJ40*VLOOKUP('Données projet'!$B$15,Paramètres!$A$1:$I$89,3,0)*VLOOKUP('Données projet'!$B$15,Paramètres!$A$1:$I$89,5,0)</f>
        <v>110.82499999999999</v>
      </c>
      <c r="EL40" s="14">
        <f t="shared" si="45"/>
        <v>29.525276397875576</v>
      </c>
      <c r="EM40" s="22">
        <f t="shared" si="19"/>
        <v>244.44339805963327</v>
      </c>
      <c r="EN40" s="60">
        <f t="shared" si="20"/>
        <v>489.80275003030437</v>
      </c>
      <c r="EO40" s="60">
        <f ca="1">AVERAGE(OFFSET($EN$3,0,0,'Données projet'!$E$15+1,1))-AVERAGE(OFFSET($H$3,0,0,'Données projet'!$E$15+1,1))</f>
        <v>478.11504516179713</v>
      </c>
      <c r="EP40" s="60">
        <f t="shared" si="46"/>
        <v>249.93713224442419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0</v>
      </c>
      <c r="EW40" s="23">
        <f>EXP(-LN(2)/25)*EW39+(1-EXP(-LN(2)/25))/(LN(2)/25)*Calculateur!ER40*Calculateur!ET40*VLOOKUP('Données projet'!$B$15,Paramètres!$A$1:$I$89,3,0)*0.475*44/12</f>
        <v>0</v>
      </c>
      <c r="EX40" s="23">
        <f>EXP(-LN(2)/2)*EX39+(1-EXP(-LN(2)/2))/(LN(2)/2)*ER40*EU40*VLOOKUP('Données projet'!$B$15,Paramètres!$A$1:$I$89,3,0)*0.475*44/12</f>
        <v>0</v>
      </c>
      <c r="EY40" s="24">
        <f t="shared" si="21"/>
        <v>0</v>
      </c>
      <c r="EZ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11.2</v>
      </c>
      <c r="FE40" s="13">
        <f>IF('Données projet'!$A$218&gt;35,FE39+FD40-FM39,IF(A40&lt;'Données projet'!$A$218,$FB$205^A40,IF(A40='Données projet'!$A$218,'Données projet'!$B$218,FE39+FD40-FM39)))</f>
        <v>141.40000000000006</v>
      </c>
      <c r="FF40" s="18">
        <f>FE40*VLOOKUP('Données projet'!$B$16,Paramètres!$A$1:$I$89,3,0)*VLOOKUP('Données projet'!$B$16,Paramètres!$A$1:$I$89,5,0)</f>
        <v>136.76208000000005</v>
      </c>
      <c r="FG40" s="14">
        <f t="shared" si="47"/>
        <v>35.554236342883392</v>
      </c>
      <c r="FH40" s="22">
        <f t="shared" si="22"/>
        <v>300.11758429718867</v>
      </c>
      <c r="FI40" s="60">
        <f t="shared" si="23"/>
        <v>545.47693626785974</v>
      </c>
      <c r="FJ40" s="60">
        <f ca="1">AVERAGE(OFFSET($FI$3,0,0,'Données projet'!$E$16+1,1))-AVERAGE(OFFSET($H$3,0,0,'Données projet'!$E$16+1,1))</f>
        <v>603.52431522262032</v>
      </c>
      <c r="FK40" s="60">
        <f t="shared" si="48"/>
        <v>313.56299786481338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>
        <f>EXP(-LN(2)/35)*FQ39+(1-EXP(-LN(2)/35))/(LN(2)/35)*FM40*FN40*VLOOKUP('Données projet'!$B$16,Paramètres!$A$1:$I$89,3,0)*0.475*44/12</f>
        <v>0</v>
      </c>
      <c r="FR40" s="23">
        <f>EXP(-LN(2)/25)*FR39+(1-EXP(-LN(2)/25))/(LN(2)/25)*Calculateur!FM40*Calculateur!FO40*VLOOKUP('Données projet'!$B$16,Paramètres!$A$1:$I$89,3,0)*0.475*44/12</f>
        <v>0</v>
      </c>
      <c r="FS40" s="23">
        <f>EXP(-LN(2)/2)*FS39+(1-EXP(-LN(2)/2))/(LN(2)/2)*FM40*FP40*VLOOKUP('Données projet'!$B$16,Paramètres!$A$1:$I$89,3,0)*0.475*44/12</f>
        <v>0</v>
      </c>
      <c r="FT40" s="24">
        <f t="shared" si="24"/>
        <v>0</v>
      </c>
      <c r="FU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7.9487179487179507</v>
      </c>
      <c r="FZ40" s="13">
        <f>IF('Données projet'!$A$244&gt;35,FZ39+FY40-GH39,IF(A40&lt;'Données projet'!$A$244,$FW$205^A40,IF(A40='Données projet'!$A$244,'Données projet'!$B$244,FZ39+FY40-GH39)))</f>
        <v>204.35897435897442</v>
      </c>
      <c r="GA40" s="18">
        <f>FZ40*VLOOKUP('Données projet'!$B$17,Paramètres!$A$1:$I$89,3,0)*VLOOKUP('Données projet'!$B$17,Paramètres!$A$1:$I$89,5,0)</f>
        <v>137.08400000000003</v>
      </c>
      <c r="GB40" s="14">
        <f t="shared" si="49"/>
        <v>35.628174713483716</v>
      </c>
      <c r="GC40" s="22">
        <f t="shared" si="25"/>
        <v>300.80703762598421</v>
      </c>
      <c r="GD40" s="60">
        <f t="shared" si="26"/>
        <v>546.16638959665534</v>
      </c>
      <c r="GE40" s="60">
        <f ca="1">AVERAGE(OFFSET($GD$3,0,0,'Données projet'!$E$17+1,1))-AVERAGE(OFFSET($H$3,0,0,'Données projet'!$E$17+1,1))</f>
        <v>396.0878652679051</v>
      </c>
      <c r="GF40" s="60">
        <f t="shared" si="50"/>
        <v>327.26339199235406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>
        <f>EXP(-LN(2)/35)*GL39+(1-EXP(-LN(2)/35))/(LN(2)/35)*GH40*GI40*VLOOKUP('Données projet'!$B$17,Paramètres!$A$1:$I$89,3,0)*0.475*44/12</f>
        <v>0</v>
      </c>
      <c r="GM40" s="23">
        <f>EXP(-LN(2)/25)*GM39+(1-EXP(-LN(2)/25))/(LN(2)/25)*Calculateur!GH40*Calculateur!GJ40*VLOOKUP('Données projet'!$B$17,Paramètres!$A$1:$I$89,3,0)*0.475*44/12</f>
        <v>0</v>
      </c>
      <c r="GN40" s="23">
        <f>EXP(-LN(2)/2)*GN39+(1-EXP(-LN(2)/2))/(LN(2)/2)*GH40*GK40*VLOOKUP('Données projet'!$B$17,Paramètres!$A$1:$I$89,3,0)*0.475*44/12</f>
        <v>0</v>
      </c>
      <c r="GO40" s="23">
        <f t="shared" si="27"/>
        <v>0</v>
      </c>
      <c r="GP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7.6</v>
      </c>
      <c r="GU40" s="13">
        <f>IF('Données projet'!$A$270&gt;35,GU39+GT40-HC39,IF(A40&lt;'Données projet'!$A$270,$GR$205^A40,IF(A40='Données projet'!$A$270,'Données projet'!$B$270,GU39+GT40-HC39)))</f>
        <v>129.20000000000005</v>
      </c>
      <c r="GV40" s="18">
        <f>GU40*VLOOKUP('Données projet'!$B$18,Paramètres!$A$1:$I$89,3,0)*VLOOKUP('Données projet'!$B$18,Paramètres!$A$1:$I$89,5,0)</f>
        <v>104.80704000000004</v>
      </c>
      <c r="GW40" s="14">
        <f t="shared" si="51"/>
        <v>28.104060486002457</v>
      </c>
      <c r="GX40" s="22">
        <f t="shared" si="28"/>
        <v>231.48683334645435</v>
      </c>
      <c r="GY40" s="60">
        <f t="shared" si="29"/>
        <v>476.84618531712545</v>
      </c>
      <c r="GZ40" s="60">
        <f ca="1">AVERAGE(OFFSET($GY$3,0,0,'Données projet'!$E$18+1,1))-AVERAGE(OFFSET($H$3,0,0,'Données projet'!$E$18+1,1))</f>
        <v>272.69564942740931</v>
      </c>
      <c r="HA40" s="60">
        <f t="shared" si="52"/>
        <v>316.57989180609252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>
        <f>EXP(-LN(2)/35)*HG39+(1-EXP(-LN(2)/35))/(LN(2)/35)*HC40*HD40*VLOOKUP('Données projet'!$B$18,Paramètres!$A$1:$I$89,3,0)*0.475*44/12</f>
        <v>0</v>
      </c>
      <c r="HH40" s="23">
        <f>EXP(-LN(2)/25)*HH39+(1-EXP(-LN(2)/25))/(LN(2)/25)*Calculateur!HC40*Calculateur!HE40*VLOOKUP('Données projet'!$B$18,Paramètres!$A$1:$I$89,3,0)*0.475*44/12</f>
        <v>0</v>
      </c>
      <c r="HI40" s="23">
        <f>EXP(-LN(2)/2)*HI39+(1-EXP(-LN(2)/2))/(LN(2)/2)*HC40*HF40*VLOOKUP('Données projet'!$B$18,Paramètres!$A$1:$I$89,3,0)*0.475*44/12</f>
        <v>0</v>
      </c>
      <c r="HJ40" s="24">
        <f t="shared" si="30"/>
        <v>0</v>
      </c>
    </row>
    <row r="41" spans="1:218" s="5" customFormat="1" x14ac:dyDescent="0.25">
      <c r="A41" s="11">
        <f t="shared" si="31"/>
        <v>38</v>
      </c>
      <c r="B41" s="75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8">
        <f t="shared" si="1"/>
        <v>183.33333333333334</v>
      </c>
      <c r="I41" s="7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11.2</v>
      </c>
      <c r="N41" s="14">
        <f>IF('Données projet'!$A$36&gt;35,N40+M41-V40,IF(A41&lt;'Données projet'!$A$36,$K$205^A41,IF(A41='Données projet'!$A$36,'Données projet'!$B$36,N40+M41-V40)))</f>
        <v>152.60000000000005</v>
      </c>
      <c r="O41" s="14">
        <f>N41*VLOOKUP('Données projet'!$B$9,Paramètres!$A$1:$I$89,3,0)*VLOOKUP('Données projet'!$B$9,Paramètres!$A$1:$I$89,5,0)</f>
        <v>138.07248000000004</v>
      </c>
      <c r="P41" s="14">
        <f t="shared" si="33"/>
        <v>35.85508207677799</v>
      </c>
      <c r="Q41" s="22">
        <f t="shared" si="53"/>
        <v>302.92383728372175</v>
      </c>
      <c r="R41" s="60">
        <f t="shared" si="0"/>
        <v>549.11543057728045</v>
      </c>
      <c r="S41" s="60">
        <f ca="1">AVERAGE(OFFSET($R$3,0,0,'Données projet'!$E$9+1,1))-AVERAGE(OFFSET($H$3,0,0,'Données projet'!$E$9+1,1))</f>
        <v>570.08763950759544</v>
      </c>
      <c r="T41" s="60">
        <f t="shared" si="34"/>
        <v>297.32483725004136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11.340000000000003</v>
      </c>
      <c r="AI41" s="14">
        <f>IF('Données projet'!$A$62&gt;35,AI40+AH41-AQ40,IF(A41&lt;'Données projet'!$A$62,$AF$205^A41,IF(A41='Données projet'!$A$62,'Données projet'!$B$62,AI40+AH41-AQ40)))</f>
        <v>240.4199999999999</v>
      </c>
      <c r="AJ41" s="14">
        <f>AI41*VLOOKUP('Données projet'!$B$10,Paramètres!$A$1:$I$89,3,0)*VLOOKUP('Données projet'!$B$10,Paramètres!$A$1:$I$89,5,0)</f>
        <v>191.27815199999995</v>
      </c>
      <c r="AK41" s="14">
        <f t="shared" si="35"/>
        <v>47.822423751245466</v>
      </c>
      <c r="AL41" s="22">
        <f t="shared" si="4"/>
        <v>416.43350276675238</v>
      </c>
      <c r="AM41" s="60">
        <f t="shared" si="5"/>
        <v>662.62509606031108</v>
      </c>
      <c r="AN41" s="60">
        <f ca="1">AVERAGE(OFFSET($AM$3,0,0,'Données projet'!$E$10+1,1))-AVERAGE(OFFSET($H$3,0,0,'Données projet'!$E$10+1,1))</f>
        <v>394.49874384716014</v>
      </c>
      <c r="AO41" s="60">
        <f t="shared" si="36"/>
        <v>423.72519584013378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9.4399999999999977</v>
      </c>
      <c r="BD41" s="13">
        <f>IF('Données projet'!$A$88&gt;35,BD40+BC41-BL40,IF(A41&lt;'Données projet'!$A$88,$BA$205^A41,IF(A41='Données projet'!$A$88,'Données projet'!$B$88,BD40+BC41-BL40)))</f>
        <v>200.72</v>
      </c>
      <c r="BE41" s="14">
        <f>BD41*VLOOKUP('Données projet'!$B$11,Paramètres!$A$1:$I$89,3,0)*VLOOKUP('Données projet'!$B$11,Paramètres!$A$1:$I$89,5,0)</f>
        <v>175.34899200000004</v>
      </c>
      <c r="BF41" s="14">
        <f t="shared" si="37"/>
        <v>44.285851301313052</v>
      </c>
      <c r="BG41" s="22">
        <f t="shared" si="7"/>
        <v>382.53068541645354</v>
      </c>
      <c r="BH41" s="60">
        <f t="shared" si="8"/>
        <v>628.72227871001223</v>
      </c>
      <c r="BI41" s="60">
        <f ca="1">AVERAGE(OFFSET($BH$3,0,0,'Données projet'!$E$11+1,1))-AVERAGE(OFFSET($H$3,0,0,'Données projet'!$E$11+1,1))</f>
        <v>363.28611056308665</v>
      </c>
      <c r="BJ41" s="60">
        <f t="shared" si="38"/>
        <v>389.43647559455974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6.7948717948717956</v>
      </c>
      <c r="BY41" s="13">
        <f>IF('Données projet'!$A$114&gt;35,BY40+BX41-CG40,IF(A41&lt;'Données projet'!$A$114,$BV$205^A41,IF(A41='Données projet'!$A$114,'Données projet'!$B$114,BY40+BX41-CG40)))</f>
        <v>146.66666666666666</v>
      </c>
      <c r="BZ41" s="14">
        <f>BY41*VLOOKUP('Données projet'!$B$12,Paramètres!$A$1:$I$89,3,0)*VLOOKUP('Données projet'!$B$12,Paramètres!$A$1:$I$89,5,0)</f>
        <v>139.56799999999998</v>
      </c>
      <c r="CA41" s="14">
        <f t="shared" si="39"/>
        <v>36.198022567902299</v>
      </c>
      <c r="CB41" s="22">
        <f t="shared" si="10"/>
        <v>306.12582263909644</v>
      </c>
      <c r="CC41" s="60">
        <f t="shared" si="11"/>
        <v>552.31741593265519</v>
      </c>
      <c r="CD41" s="60">
        <f ca="1">AVERAGE(OFFSET($CC$3,0,0,'Données projet'!$E$12+1,1))-AVERAGE(OFFSET($H$3,0,0,'Données projet'!$E$12+1,1))</f>
        <v>441.15969139782891</v>
      </c>
      <c r="CE41" s="60">
        <f t="shared" si="40"/>
        <v>315.06466790224783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11.340000000000003</v>
      </c>
      <c r="CT41" s="13">
        <f>IF('Données projet'!$A$140&gt;35,CT40+CS41-DB40,IF(A41&lt;'Données projet'!$A$140,$CQ$205^A41,IF(A41='Données projet'!$A$140,'Données projet'!$B$140,CT40+CS41-DB40)))</f>
        <v>240.4199999999999</v>
      </c>
      <c r="CU41" s="18">
        <f>CT41*VLOOKUP('Données projet'!$B$13,Paramètres!$A$1:$I$89,3,0)*VLOOKUP('Données projet'!$B$13,Paramètres!$A$1:$I$89,5,0)</f>
        <v>176.27594399999992</v>
      </c>
      <c r="CV41" s="14">
        <f t="shared" si="41"/>
        <v>44.492646904932492</v>
      </c>
      <c r="CW41" s="22">
        <f t="shared" si="13"/>
        <v>384.50529582609062</v>
      </c>
      <c r="CX41" s="60">
        <f t="shared" si="14"/>
        <v>630.69688911964931</v>
      </c>
      <c r="CY41" s="60">
        <f ca="1">AVERAGE(OFFSET($CX$3,0,0,'Données projet'!$E$13+1,1))-AVERAGE(OFFSET($H$3,0,0,'Données projet'!$E$13+1,1))</f>
        <v>368.35775920359396</v>
      </c>
      <c r="CZ41" s="60">
        <f t="shared" si="42"/>
        <v>395.5218438652638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11.142857142857142</v>
      </c>
      <c r="DO41" s="13">
        <f>IF('Données projet'!$A$166&gt;35,DO40+DN41-DW40,IF(A41&lt;'Données projet'!$A$166,$DL$205^A41,IF(A41='Données projet'!$A$166,'Données projet'!$B$166,DO40+DN41-DW40)))</f>
        <v>163.14285714285711</v>
      </c>
      <c r="DP41" s="18">
        <f>DO41*VLOOKUP('Données projet'!$B$14,Paramètres!$A$1:$I$89,3,0)*VLOOKUP('Données projet'!$B$14,Paramètres!$A$1:$I$89,5,0)</f>
        <v>127.25142857142855</v>
      </c>
      <c r="DQ41" s="14">
        <f t="shared" si="43"/>
        <v>33.360457439554281</v>
      </c>
      <c r="DR41" s="22">
        <f t="shared" si="16"/>
        <v>279.73236813579507</v>
      </c>
      <c r="DS41" s="60">
        <f t="shared" si="17"/>
        <v>525.92396142935377</v>
      </c>
      <c r="DT41" s="60">
        <f ca="1">AVERAGE(OFFSET($DS$3,0,0,'Données projet'!$E$14+1,1))-AVERAGE(OFFSET($H$3,0,0,'Données projet'!$E$14+1,1))</f>
        <v>312.59632808777332</v>
      </c>
      <c r="DU41" s="60">
        <f t="shared" si="44"/>
        <v>302.59481222418219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15.166666666666666</v>
      </c>
      <c r="EJ41" s="13">
        <f>IF('Données projet'!$A$192&gt;35,EJ40+EI41-ER40,IF(A41&lt;'Données projet'!$A$192,$EG$205^A41,IF(A41='Données projet'!$A$192,'Données projet'!$B$192,EJ40+EI41-ER40)))</f>
        <v>144.33333333333329</v>
      </c>
      <c r="EK41" s="18">
        <f>EJ41*VLOOKUP('Données projet'!$B$15,Paramètres!$A$1:$I$89,3,0)*VLOOKUP('Données projet'!$B$15,Paramètres!$A$1:$I$89,5,0)</f>
        <v>123.83799999999997</v>
      </c>
      <c r="EL41" s="14">
        <f t="shared" si="45"/>
        <v>32.568503009939569</v>
      </c>
      <c r="EM41" s="22">
        <f t="shared" si="19"/>
        <v>272.40799274231136</v>
      </c>
      <c r="EN41" s="60">
        <f t="shared" si="20"/>
        <v>518.59958603587006</v>
      </c>
      <c r="EO41" s="60">
        <f ca="1">AVERAGE(OFFSET($EN$3,0,0,'Données projet'!$E$15+1,1))-AVERAGE(OFFSET($H$3,0,0,'Données projet'!$E$15+1,1))</f>
        <v>478.11504516179713</v>
      </c>
      <c r="EP41" s="60">
        <f t="shared" si="46"/>
        <v>249.93713224442419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0</v>
      </c>
      <c r="EW41" s="23">
        <f>EXP(-LN(2)/25)*EW40+(1-EXP(-LN(2)/25))/(LN(2)/25)*Calculateur!ER41*Calculateur!ET41*VLOOKUP('Données projet'!$B$15,Paramètres!$A$1:$I$89,3,0)*0.475*44/12</f>
        <v>0</v>
      </c>
      <c r="EX41" s="23">
        <f>EXP(-LN(2)/2)*EX40+(1-EXP(-LN(2)/2))/(LN(2)/2)*ER41*EU41*VLOOKUP('Données projet'!$B$15,Paramètres!$A$1:$I$89,3,0)*0.475*44/12</f>
        <v>0</v>
      </c>
      <c r="EY41" s="24">
        <f t="shared" si="21"/>
        <v>0</v>
      </c>
      <c r="EZ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11.2</v>
      </c>
      <c r="FE41" s="13">
        <f>IF('Données projet'!$A$218&gt;35,FE40+FD41-FM40,IF(A41&lt;'Données projet'!$A$218,$FB$205^A41,IF(A41='Données projet'!$A$218,'Données projet'!$B$218,FE40+FD41-FM40)))</f>
        <v>152.60000000000005</v>
      </c>
      <c r="FF41" s="18">
        <f>FE41*VLOOKUP('Données projet'!$B$16,Paramètres!$A$1:$I$89,3,0)*VLOOKUP('Données projet'!$B$16,Paramètres!$A$1:$I$89,5,0)</f>
        <v>147.59472000000005</v>
      </c>
      <c r="FG41" s="14">
        <f t="shared" si="47"/>
        <v>38.031463918082679</v>
      </c>
      <c r="FH41" s="22">
        <f t="shared" si="22"/>
        <v>323.29893699066071</v>
      </c>
      <c r="FI41" s="60">
        <f t="shared" si="23"/>
        <v>569.4905302842194</v>
      </c>
      <c r="FJ41" s="60">
        <f ca="1">AVERAGE(OFFSET($FI$3,0,0,'Données projet'!$E$16+1,1))-AVERAGE(OFFSET($H$3,0,0,'Données projet'!$E$16+1,1))</f>
        <v>603.52431522262032</v>
      </c>
      <c r="FK41" s="60">
        <f t="shared" si="48"/>
        <v>313.56299786481338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>
        <f>EXP(-LN(2)/35)*FQ40+(1-EXP(-LN(2)/35))/(LN(2)/35)*FM41*FN41*VLOOKUP('Données projet'!$B$16,Paramètres!$A$1:$I$89,3,0)*0.475*44/12</f>
        <v>0</v>
      </c>
      <c r="FR41" s="23">
        <f>EXP(-LN(2)/25)*FR40+(1-EXP(-LN(2)/25))/(LN(2)/25)*Calculateur!FM41*Calculateur!FO41*VLOOKUP('Données projet'!$B$16,Paramètres!$A$1:$I$89,3,0)*0.475*44/12</f>
        <v>0</v>
      </c>
      <c r="FS41" s="23">
        <f>EXP(-LN(2)/2)*FS40+(1-EXP(-LN(2)/2))/(LN(2)/2)*FM41*FP41*VLOOKUP('Données projet'!$B$16,Paramètres!$A$1:$I$89,3,0)*0.475*44/12</f>
        <v>0</v>
      </c>
      <c r="FT41" s="24">
        <f t="shared" si="24"/>
        <v>0</v>
      </c>
      <c r="FU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7.9487179487179507</v>
      </c>
      <c r="FZ41" s="13">
        <f>IF('Données projet'!$A$244&gt;35,FZ40+FY41-GH40,IF(A41&lt;'Données projet'!$A$244,$FW$205^A41,IF(A41='Données projet'!$A$244,'Données projet'!$B$244,FZ40+FY41-GH40)))</f>
        <v>212.30769230769238</v>
      </c>
      <c r="GA41" s="18">
        <f>FZ41*VLOOKUP('Données projet'!$B$17,Paramètres!$A$1:$I$89,3,0)*VLOOKUP('Données projet'!$B$17,Paramètres!$A$1:$I$89,5,0)</f>
        <v>142.41600000000005</v>
      </c>
      <c r="GB41" s="14">
        <f t="shared" si="49"/>
        <v>36.849924818088418</v>
      </c>
      <c r="GC41" s="22">
        <f t="shared" si="25"/>
        <v>312.22148572483741</v>
      </c>
      <c r="GD41" s="60">
        <f t="shared" si="26"/>
        <v>558.41307901839616</v>
      </c>
      <c r="GE41" s="60">
        <f ca="1">AVERAGE(OFFSET($GD$3,0,0,'Données projet'!$E$17+1,1))-AVERAGE(OFFSET($H$3,0,0,'Données projet'!$E$17+1,1))</f>
        <v>396.0878652679051</v>
      </c>
      <c r="GF41" s="60">
        <f t="shared" si="50"/>
        <v>327.26339199235406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>
        <f>EXP(-LN(2)/35)*GL40+(1-EXP(-LN(2)/35))/(LN(2)/35)*GH41*GI41*VLOOKUP('Données projet'!$B$17,Paramètres!$A$1:$I$89,3,0)*0.475*44/12</f>
        <v>0</v>
      </c>
      <c r="GM41" s="23">
        <f>EXP(-LN(2)/25)*GM40+(1-EXP(-LN(2)/25))/(LN(2)/25)*Calculateur!GH41*Calculateur!GJ41*VLOOKUP('Données projet'!$B$17,Paramètres!$A$1:$I$89,3,0)*0.475*44/12</f>
        <v>0</v>
      </c>
      <c r="GN41" s="23">
        <f>EXP(-LN(2)/2)*GN40+(1-EXP(-LN(2)/2))/(LN(2)/2)*GH41*GK41*VLOOKUP('Données projet'!$B$17,Paramètres!$A$1:$I$89,3,0)*0.475*44/12</f>
        <v>0</v>
      </c>
      <c r="GO41" s="23">
        <f t="shared" si="27"/>
        <v>0</v>
      </c>
      <c r="GP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7.6</v>
      </c>
      <c r="GU41" s="13">
        <f>IF('Données projet'!$A$270&gt;35,GU40+GT41-HC40,IF(A41&lt;'Données projet'!$A$270,$GR$205^A41,IF(A41='Données projet'!$A$270,'Données projet'!$B$270,GU40+GT41-HC40)))</f>
        <v>136.80000000000004</v>
      </c>
      <c r="GV41" s="18">
        <f>GU41*VLOOKUP('Données projet'!$B$18,Paramètres!$A$1:$I$89,3,0)*VLOOKUP('Données projet'!$B$18,Paramètres!$A$1:$I$89,5,0)</f>
        <v>110.97216000000004</v>
      </c>
      <c r="GW41" s="14">
        <f t="shared" si="51"/>
        <v>29.559915623187329</v>
      </c>
      <c r="GX41" s="22">
        <f t="shared" si="28"/>
        <v>244.76003171038471</v>
      </c>
      <c r="GY41" s="60">
        <f t="shared" si="29"/>
        <v>490.95162500394343</v>
      </c>
      <c r="GZ41" s="60">
        <f ca="1">AVERAGE(OFFSET($GY$3,0,0,'Données projet'!$E$18+1,1))-AVERAGE(OFFSET($H$3,0,0,'Données projet'!$E$18+1,1))</f>
        <v>272.69564942740931</v>
      </c>
      <c r="HA41" s="60">
        <f t="shared" si="52"/>
        <v>316.57989180609252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>
        <f>EXP(-LN(2)/35)*HG40+(1-EXP(-LN(2)/35))/(LN(2)/35)*HC41*HD41*VLOOKUP('Données projet'!$B$18,Paramètres!$A$1:$I$89,3,0)*0.475*44/12</f>
        <v>0</v>
      </c>
      <c r="HH41" s="23">
        <f>EXP(-LN(2)/25)*HH40+(1-EXP(-LN(2)/25))/(LN(2)/25)*Calculateur!HC41*Calculateur!HE41*VLOOKUP('Données projet'!$B$18,Paramètres!$A$1:$I$89,3,0)*0.475*44/12</f>
        <v>0</v>
      </c>
      <c r="HI41" s="23">
        <f>EXP(-LN(2)/2)*HI40+(1-EXP(-LN(2)/2))/(LN(2)/2)*HC41*HF41*VLOOKUP('Données projet'!$B$18,Paramètres!$A$1:$I$89,3,0)*0.475*44/12</f>
        <v>0</v>
      </c>
      <c r="HJ41" s="24">
        <f t="shared" si="30"/>
        <v>0</v>
      </c>
    </row>
    <row r="42" spans="1:218" s="5" customFormat="1" x14ac:dyDescent="0.25">
      <c r="A42" s="11">
        <f t="shared" si="31"/>
        <v>39</v>
      </c>
      <c r="B42" s="75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8">
        <f t="shared" si="1"/>
        <v>183.33333333333334</v>
      </c>
      <c r="I42" s="7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11.2</v>
      </c>
      <c r="N42" s="14">
        <f>IF('Données projet'!$A$36&gt;35,N41+M42-V41,IF(A42&lt;'Données projet'!$A$36,$K$205^A42,IF(A42='Données projet'!$A$36,'Données projet'!$B$36,N41+M42-V41)))</f>
        <v>163.80000000000004</v>
      </c>
      <c r="O42" s="14">
        <f>N42*VLOOKUP('Données projet'!$B$9,Paramètres!$A$1:$I$89,3,0)*VLOOKUP('Données projet'!$B$9,Paramètres!$A$1:$I$89,5,0)</f>
        <v>148.20624000000004</v>
      </c>
      <c r="P42" s="14">
        <f t="shared" si="33"/>
        <v>38.170662245893794</v>
      </c>
      <c r="Q42" s="22">
        <f t="shared" si="53"/>
        <v>324.60643807826506</v>
      </c>
      <c r="R42" s="60">
        <f t="shared" si="0"/>
        <v>571.6158351683722</v>
      </c>
      <c r="S42" s="60">
        <f ca="1">AVERAGE(OFFSET($R$3,0,0,'Données projet'!$E$9+1,1))-AVERAGE(OFFSET($H$3,0,0,'Données projet'!$E$9+1,1))</f>
        <v>570.08763950759544</v>
      </c>
      <c r="T42" s="60">
        <f t="shared" si="34"/>
        <v>297.32483725004136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11.340000000000003</v>
      </c>
      <c r="AI42" s="14">
        <f>IF('Données projet'!$A$62&gt;35,AI41+AH42-AQ41,IF(A42&lt;'Données projet'!$A$62,$AF$205^A42,IF(A42='Données projet'!$A$62,'Données projet'!$B$62,AI41+AH42-AQ41)))</f>
        <v>251.75999999999991</v>
      </c>
      <c r="AJ42" s="14">
        <f>AI42*VLOOKUP('Données projet'!$B$10,Paramètres!$A$1:$I$89,3,0)*VLOOKUP('Données projet'!$B$10,Paramètres!$A$1:$I$89,5,0)</f>
        <v>200.30025599999993</v>
      </c>
      <c r="AK42" s="14">
        <f t="shared" si="35"/>
        <v>49.810149143959919</v>
      </c>
      <c r="AL42" s="22">
        <f t="shared" si="4"/>
        <v>435.60895562573</v>
      </c>
      <c r="AM42" s="60">
        <f t="shared" si="5"/>
        <v>682.61835271583709</v>
      </c>
      <c r="AN42" s="60">
        <f ca="1">AVERAGE(OFFSET($AM$3,0,0,'Données projet'!$E$10+1,1))-AVERAGE(OFFSET($H$3,0,0,'Données projet'!$E$10+1,1))</f>
        <v>394.49874384716014</v>
      </c>
      <c r="AO42" s="60">
        <f t="shared" si="36"/>
        <v>423.72519584013378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9.4399999999999977</v>
      </c>
      <c r="BD42" s="13">
        <f>IF('Données projet'!$A$88&gt;35,BD41+BC42-BL41,IF(A42&lt;'Données projet'!$A$88,$BA$205^A42,IF(A42='Données projet'!$A$88,'Données projet'!$B$88,BD41+BC42-BL41)))</f>
        <v>210.16</v>
      </c>
      <c r="BE42" s="14">
        <f>BD42*VLOOKUP('Données projet'!$B$11,Paramètres!$A$1:$I$89,3,0)*VLOOKUP('Données projet'!$B$11,Paramètres!$A$1:$I$89,5,0)</f>
        <v>183.59577600000003</v>
      </c>
      <c r="BF42" s="14">
        <f t="shared" si="37"/>
        <v>46.121256820129133</v>
      </c>
      <c r="BG42" s="22">
        <f t="shared" si="7"/>
        <v>400.09049882839162</v>
      </c>
      <c r="BH42" s="60">
        <f t="shared" si="8"/>
        <v>647.09989591849876</v>
      </c>
      <c r="BI42" s="60">
        <f ca="1">AVERAGE(OFFSET($BH$3,0,0,'Données projet'!$E$11+1,1))-AVERAGE(OFFSET($H$3,0,0,'Données projet'!$E$11+1,1))</f>
        <v>363.28611056308665</v>
      </c>
      <c r="BJ42" s="60">
        <f t="shared" si="38"/>
        <v>389.43647559455974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6.7948717948717956</v>
      </c>
      <c r="BY42" s="13">
        <f>IF('Données projet'!$A$114&gt;35,BY41+BX42-CG41,IF(A42&lt;'Données projet'!$A$114,$BV$205^A42,IF(A42='Données projet'!$A$114,'Données projet'!$B$114,BY41+BX42-CG41)))</f>
        <v>153.46153846153845</v>
      </c>
      <c r="BZ42" s="14">
        <f>BY42*VLOOKUP('Données projet'!$B$12,Paramètres!$A$1:$I$89,3,0)*VLOOKUP('Données projet'!$B$12,Paramètres!$A$1:$I$89,5,0)</f>
        <v>146.03399999999999</v>
      </c>
      <c r="CA42" s="14">
        <f t="shared" si="39"/>
        <v>37.675897140446111</v>
      </c>
      <c r="CB42" s="22">
        <f t="shared" si="10"/>
        <v>319.96140418627698</v>
      </c>
      <c r="CC42" s="60">
        <f t="shared" si="11"/>
        <v>566.97080127638412</v>
      </c>
      <c r="CD42" s="60">
        <f ca="1">AVERAGE(OFFSET($CC$3,0,0,'Données projet'!$E$12+1,1))-AVERAGE(OFFSET($H$3,0,0,'Données projet'!$E$12+1,1))</f>
        <v>441.15969139782891</v>
      </c>
      <c r="CE42" s="60">
        <f t="shared" si="40"/>
        <v>315.06466790224783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11.340000000000003</v>
      </c>
      <c r="CT42" s="13">
        <f>IF('Données projet'!$A$140&gt;35,CT41+CS42-DB41,IF(A42&lt;'Données projet'!$A$140,$CQ$205^A42,IF(A42='Données projet'!$A$140,'Données projet'!$B$140,CT41+CS42-DB41)))</f>
        <v>251.75999999999991</v>
      </c>
      <c r="CU42" s="18">
        <f>CT42*VLOOKUP('Données projet'!$B$13,Paramètres!$A$1:$I$89,3,0)*VLOOKUP('Données projet'!$B$13,Paramètres!$A$1:$I$89,5,0)</f>
        <v>184.59043199999994</v>
      </c>
      <c r="CV42" s="14">
        <f t="shared" si="41"/>
        <v>46.341971073486597</v>
      </c>
      <c r="CW42" s="22">
        <f t="shared" si="13"/>
        <v>402.20726868632238</v>
      </c>
      <c r="CX42" s="60">
        <f t="shared" si="14"/>
        <v>649.21666577642952</v>
      </c>
      <c r="CY42" s="60">
        <f ca="1">AVERAGE(OFFSET($CX$3,0,0,'Données projet'!$E$13+1,1))-AVERAGE(OFFSET($H$3,0,0,'Données projet'!$E$13+1,1))</f>
        <v>368.35775920359396</v>
      </c>
      <c r="CZ42" s="60">
        <f t="shared" si="42"/>
        <v>395.5218438652638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11.142857142857142</v>
      </c>
      <c r="DO42" s="13">
        <f>IF('Données projet'!$A$166&gt;35,DO41+DN42-DW41,IF(A42&lt;'Données projet'!$A$166,$DL$205^A42,IF(A42='Données projet'!$A$166,'Données projet'!$B$166,DO41+DN42-DW41)))</f>
        <v>174.28571428571425</v>
      </c>
      <c r="DP42" s="18">
        <f>DO42*VLOOKUP('Données projet'!$B$14,Paramètres!$A$1:$I$89,3,0)*VLOOKUP('Données projet'!$B$14,Paramètres!$A$1:$I$89,5,0)</f>
        <v>135.94285714285712</v>
      </c>
      <c r="DQ42" s="14">
        <f t="shared" si="43"/>
        <v>35.365986273808367</v>
      </c>
      <c r="DR42" s="22">
        <f t="shared" si="16"/>
        <v>298.36290228402572</v>
      </c>
      <c r="DS42" s="60">
        <f t="shared" si="17"/>
        <v>545.37229937413281</v>
      </c>
      <c r="DT42" s="60">
        <f ca="1">AVERAGE(OFFSET($DS$3,0,0,'Données projet'!$E$14+1,1))-AVERAGE(OFFSET($H$3,0,0,'Données projet'!$E$14+1,1))</f>
        <v>312.59632808777332</v>
      </c>
      <c r="DU42" s="60">
        <f t="shared" si="44"/>
        <v>302.59481222418219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15.166666666666666</v>
      </c>
      <c r="EJ42" s="13">
        <f>IF('Données projet'!$A$192&gt;35,EJ41+EI42-ER41,IF(A42&lt;'Données projet'!$A$192,$EG$205^A42,IF(A42='Données projet'!$A$192,'Données projet'!$B$192,EJ41+EI42-ER41)))</f>
        <v>159.49999999999994</v>
      </c>
      <c r="EK42" s="18">
        <f>EJ42*VLOOKUP('Données projet'!$B$15,Paramètres!$A$1:$I$89,3,0)*VLOOKUP('Données projet'!$B$15,Paramètres!$A$1:$I$89,5,0)</f>
        <v>136.85099999999997</v>
      </c>
      <c r="EL42" s="14">
        <f t="shared" si="45"/>
        <v>35.574661452157265</v>
      </c>
      <c r="EM42" s="22">
        <f t="shared" si="19"/>
        <v>300.30802702917384</v>
      </c>
      <c r="EN42" s="60">
        <f t="shared" si="20"/>
        <v>547.31742411928099</v>
      </c>
      <c r="EO42" s="60">
        <f ca="1">AVERAGE(OFFSET($EN$3,0,0,'Données projet'!$E$15+1,1))-AVERAGE(OFFSET($H$3,0,0,'Données projet'!$E$15+1,1))</f>
        <v>478.11504516179713</v>
      </c>
      <c r="EP42" s="60">
        <f t="shared" si="46"/>
        <v>249.93713224442419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0</v>
      </c>
      <c r="EW42" s="23">
        <f>EXP(-LN(2)/25)*EW41+(1-EXP(-LN(2)/25))/(LN(2)/25)*Calculateur!ER42*Calculateur!ET42*VLOOKUP('Données projet'!$B$15,Paramètres!$A$1:$I$89,3,0)*0.475*44/12</f>
        <v>0</v>
      </c>
      <c r="EX42" s="23">
        <f>EXP(-LN(2)/2)*EX41+(1-EXP(-LN(2)/2))/(LN(2)/2)*ER42*EU42*VLOOKUP('Données projet'!$B$15,Paramètres!$A$1:$I$89,3,0)*0.475*44/12</f>
        <v>0</v>
      </c>
      <c r="EY42" s="24">
        <f t="shared" si="21"/>
        <v>0</v>
      </c>
      <c r="EZ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11.2</v>
      </c>
      <c r="FE42" s="13">
        <f>IF('Données projet'!$A$218&gt;35,FE41+FD42-FM41,IF(A42&lt;'Données projet'!$A$218,$FB$205^A42,IF(A42='Données projet'!$A$218,'Données projet'!$B$218,FE41+FD42-FM41)))</f>
        <v>163.80000000000004</v>
      </c>
      <c r="FF42" s="18">
        <f>FE42*VLOOKUP('Données projet'!$B$16,Paramètres!$A$1:$I$89,3,0)*VLOOKUP('Données projet'!$B$16,Paramètres!$A$1:$I$89,5,0)</f>
        <v>158.42736000000005</v>
      </c>
      <c r="FG42" s="14">
        <f t="shared" si="47"/>
        <v>40.487598405868248</v>
      </c>
      <c r="FH42" s="22">
        <f t="shared" si="22"/>
        <v>346.44355255688725</v>
      </c>
      <c r="FI42" s="60">
        <f t="shared" si="23"/>
        <v>593.4529496469944</v>
      </c>
      <c r="FJ42" s="60">
        <f ca="1">AVERAGE(OFFSET($FI$3,0,0,'Données projet'!$E$16+1,1))-AVERAGE(OFFSET($H$3,0,0,'Données projet'!$E$16+1,1))</f>
        <v>603.52431522262032</v>
      </c>
      <c r="FK42" s="60">
        <f t="shared" si="48"/>
        <v>313.56299786481338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>
        <f>EXP(-LN(2)/35)*FQ41+(1-EXP(-LN(2)/35))/(LN(2)/35)*FM42*FN42*VLOOKUP('Données projet'!$B$16,Paramètres!$A$1:$I$89,3,0)*0.475*44/12</f>
        <v>0</v>
      </c>
      <c r="FR42" s="23">
        <f>EXP(-LN(2)/25)*FR41+(1-EXP(-LN(2)/25))/(LN(2)/25)*Calculateur!FM42*Calculateur!FO42*VLOOKUP('Données projet'!$B$16,Paramètres!$A$1:$I$89,3,0)*0.475*44/12</f>
        <v>0</v>
      </c>
      <c r="FS42" s="23">
        <f>EXP(-LN(2)/2)*FS41+(1-EXP(-LN(2)/2))/(LN(2)/2)*FM42*FP42*VLOOKUP('Données projet'!$B$16,Paramètres!$A$1:$I$89,3,0)*0.475*44/12</f>
        <v>0</v>
      </c>
      <c r="FT42" s="24">
        <f t="shared" si="24"/>
        <v>0</v>
      </c>
      <c r="FU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7.9487179487179507</v>
      </c>
      <c r="FZ42" s="13">
        <f>IF('Données projet'!$A$244&gt;35,FZ41+FY42-GH41,IF(A42&lt;'Données projet'!$A$244,$FW$205^A42,IF(A42='Données projet'!$A$244,'Données projet'!$B$244,FZ41+FY42-GH41)))</f>
        <v>220.25641025641033</v>
      </c>
      <c r="GA42" s="18">
        <f>FZ42*VLOOKUP('Données projet'!$B$17,Paramètres!$A$1:$I$89,3,0)*VLOOKUP('Données projet'!$B$17,Paramètres!$A$1:$I$89,5,0)</f>
        <v>147.74800000000008</v>
      </c>
      <c r="GB42" s="14">
        <f t="shared" si="49"/>
        <v>38.066360844681896</v>
      </c>
      <c r="GC42" s="22">
        <f t="shared" si="25"/>
        <v>323.62667847115443</v>
      </c>
      <c r="GD42" s="60">
        <f t="shared" si="26"/>
        <v>570.63607556126158</v>
      </c>
      <c r="GE42" s="60">
        <f ca="1">AVERAGE(OFFSET($GD$3,0,0,'Données projet'!$E$17+1,1))-AVERAGE(OFFSET($H$3,0,0,'Données projet'!$E$17+1,1))</f>
        <v>396.0878652679051</v>
      </c>
      <c r="GF42" s="60">
        <f t="shared" si="50"/>
        <v>327.26339199235406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>
        <f>EXP(-LN(2)/35)*GL41+(1-EXP(-LN(2)/35))/(LN(2)/35)*GH42*GI42*VLOOKUP('Données projet'!$B$17,Paramètres!$A$1:$I$89,3,0)*0.475*44/12</f>
        <v>0</v>
      </c>
      <c r="GM42" s="23">
        <f>EXP(-LN(2)/25)*GM41+(1-EXP(-LN(2)/25))/(LN(2)/25)*Calculateur!GH42*Calculateur!GJ42*VLOOKUP('Données projet'!$B$17,Paramètres!$A$1:$I$89,3,0)*0.475*44/12</f>
        <v>0</v>
      </c>
      <c r="GN42" s="23">
        <f>EXP(-LN(2)/2)*GN41+(1-EXP(-LN(2)/2))/(LN(2)/2)*GH42*GK42*VLOOKUP('Données projet'!$B$17,Paramètres!$A$1:$I$89,3,0)*0.475*44/12</f>
        <v>0</v>
      </c>
      <c r="GO42" s="23">
        <f t="shared" si="27"/>
        <v>0</v>
      </c>
      <c r="GP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7.6</v>
      </c>
      <c r="GU42" s="13">
        <f>IF('Données projet'!$A$270&gt;35,GU41+GT42-HC41,IF(A42&lt;'Données projet'!$A$270,$GR$205^A42,IF(A42='Données projet'!$A$270,'Données projet'!$B$270,GU41+GT42-HC41)))</f>
        <v>144.40000000000003</v>
      </c>
      <c r="GV42" s="18">
        <f>GU42*VLOOKUP('Données projet'!$B$18,Paramètres!$A$1:$I$89,3,0)*VLOOKUP('Données projet'!$B$18,Paramètres!$A$1:$I$89,5,0)</f>
        <v>117.13728000000003</v>
      </c>
      <c r="GW42" s="14">
        <f t="shared" si="51"/>
        <v>31.006381507018595</v>
      </c>
      <c r="GX42" s="22">
        <f t="shared" si="28"/>
        <v>258.01687712472409</v>
      </c>
      <c r="GY42" s="60">
        <f t="shared" si="29"/>
        <v>505.02627421483123</v>
      </c>
      <c r="GZ42" s="60">
        <f ca="1">AVERAGE(OFFSET($GY$3,0,0,'Données projet'!$E$18+1,1))-AVERAGE(OFFSET($H$3,0,0,'Données projet'!$E$18+1,1))</f>
        <v>272.69564942740931</v>
      </c>
      <c r="HA42" s="60">
        <f t="shared" si="52"/>
        <v>316.57989180609252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>
        <f>EXP(-LN(2)/35)*HG41+(1-EXP(-LN(2)/35))/(LN(2)/35)*HC42*HD42*VLOOKUP('Données projet'!$B$18,Paramètres!$A$1:$I$89,3,0)*0.475*44/12</f>
        <v>0</v>
      </c>
      <c r="HH42" s="23">
        <f>EXP(-LN(2)/25)*HH41+(1-EXP(-LN(2)/25))/(LN(2)/25)*Calculateur!HC42*Calculateur!HE42*VLOOKUP('Données projet'!$B$18,Paramètres!$A$1:$I$89,3,0)*0.475*44/12</f>
        <v>0</v>
      </c>
      <c r="HI42" s="23">
        <f>EXP(-LN(2)/2)*HI41+(1-EXP(-LN(2)/2))/(LN(2)/2)*HC42*HF42*VLOOKUP('Données projet'!$B$18,Paramètres!$A$1:$I$89,3,0)*0.475*44/12</f>
        <v>0</v>
      </c>
      <c r="HJ42" s="24">
        <f t="shared" si="30"/>
        <v>0</v>
      </c>
    </row>
    <row r="43" spans="1:218" s="5" customFormat="1" x14ac:dyDescent="0.25">
      <c r="A43" s="11">
        <f t="shared" si="31"/>
        <v>40</v>
      </c>
      <c r="B43" s="75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8">
        <f t="shared" si="1"/>
        <v>183.33333333333334</v>
      </c>
      <c r="I43" s="7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175</v>
      </c>
      <c r="L43" s="13">
        <f>VLOOKUP(A43,'Données projet'!$A$35:$I$55,9,0)</f>
        <v>11.2</v>
      </c>
      <c r="M43" s="13">
        <f t="array" ref="M43">INDEX(L:L,MIN(IF(ISNUMBER(L43:L239),ROW(L43:L239),"")))</f>
        <v>11.2</v>
      </c>
      <c r="N43" s="14">
        <f>IF('Données projet'!$A$36&gt;35,N42+M43-V42,IF(A43&lt;'Données projet'!$A$36,$K$205^A43,IF(A43='Données projet'!$A$36,'Données projet'!$B$36,N42+M43-V42)))</f>
        <v>175.00000000000003</v>
      </c>
      <c r="O43" s="14">
        <f>N43*VLOOKUP('Données projet'!$B$9,Paramètres!$A$1:$I$89,3,0)*VLOOKUP('Données projet'!$B$9,Paramètres!$A$1:$I$89,5,0)</f>
        <v>158.34000000000003</v>
      </c>
      <c r="P43" s="14">
        <f t="shared" si="33"/>
        <v>40.467870812652819</v>
      </c>
      <c r="Q43" s="22">
        <f t="shared" si="53"/>
        <v>346.25704166537042</v>
      </c>
      <c r="R43" s="60">
        <f t="shared" si="0"/>
        <v>594.07005548449126</v>
      </c>
      <c r="S43" s="60">
        <f ca="1">AVERAGE(OFFSET($R$3,0,0,'Données projet'!$E$9+1,1))-AVERAGE(OFFSET($H$3,0,0,'Données projet'!$E$9+1,1))</f>
        <v>570.08763950759544</v>
      </c>
      <c r="T43" s="60">
        <f t="shared" si="34"/>
        <v>297.32483725004136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263.10000000000002</v>
      </c>
      <c r="AG43" s="13">
        <f>VLOOKUP(A43,'Données projet'!$A$61:$I$81,9,0)</f>
        <v>11.340000000000003</v>
      </c>
      <c r="AH43" s="13">
        <f t="array" ref="AH43">INDEX(AG:AG,MIN(IF(ISNUMBER(AG43:AG239),ROW(AG43:AG239),"")))</f>
        <v>11.340000000000003</v>
      </c>
      <c r="AI43" s="14">
        <f>IF('Données projet'!$A$62&gt;35,AI42+AH43-AQ42,IF(A43&lt;'Données projet'!$A$62,$AF$205^A43,IF(A43='Données projet'!$A$62,'Données projet'!$B$62,AI42+AH43-AQ42)))</f>
        <v>263.09999999999991</v>
      </c>
      <c r="AJ43" s="14">
        <f>AI43*VLOOKUP('Données projet'!$B$10,Paramètres!$A$1:$I$89,3,0)*VLOOKUP('Données projet'!$B$10,Paramètres!$A$1:$I$89,5,0)</f>
        <v>209.32235999999995</v>
      </c>
      <c r="AK43" s="14">
        <f t="shared" si="35"/>
        <v>51.78747646553299</v>
      </c>
      <c r="AL43" s="22">
        <f t="shared" si="4"/>
        <v>454.7662985108031</v>
      </c>
      <c r="AM43" s="60">
        <f t="shared" si="5"/>
        <v>702.57931232992394</v>
      </c>
      <c r="AN43" s="60">
        <f ca="1">AVERAGE(OFFSET($AM$3,0,0,'Données projet'!$E$10+1,1))-AVERAGE(OFFSET($H$3,0,0,'Données projet'!$E$10+1,1))</f>
        <v>394.49874384716014</v>
      </c>
      <c r="AO43" s="60">
        <f t="shared" si="36"/>
        <v>423.72519584013378</v>
      </c>
      <c r="AP43" s="16">
        <f>IF(ISNA(VLOOKUP(A43,'Données projet'!$A$61:$I$81,3,0)),0,VLOOKUP(A43,'Données projet'!$A$61:$I$81,3,0))</f>
        <v>3</v>
      </c>
      <c r="AQ43" s="16">
        <f>IF(ISNA(VLOOKUP(A43,'Données projet'!$A$61:$I$81,4,0)),0,VLOOKUP(A43,'Données projet'!$A$61:$I$81,4,0))</f>
        <v>70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219.6</v>
      </c>
      <c r="BB43" s="13">
        <f>VLOOKUP(A43,'Données projet'!$A$87:$I$107,9,0)</f>
        <v>9.4399999999999977</v>
      </c>
      <c r="BC43" s="13">
        <f t="array" ref="BC43">INDEX(BB:BB,MIN(IF(ISNUMBER(BB43:BB239),ROW(BB43:BB239),"")))</f>
        <v>9.4399999999999977</v>
      </c>
      <c r="BD43" s="13">
        <f>IF('Données projet'!$A$88&gt;35,BD42+BC43-BL42,IF(A43&lt;'Données projet'!$A$88,$BA$205^A43,IF(A43='Données projet'!$A$88,'Données projet'!$B$88,BD42+BC43-BL42)))</f>
        <v>219.6</v>
      </c>
      <c r="BE43" s="14">
        <f>BD43*VLOOKUP('Données projet'!$B$11,Paramètres!$A$1:$I$89,3,0)*VLOOKUP('Données projet'!$B$11,Paramètres!$A$1:$I$89,5,0)</f>
        <v>191.84256000000002</v>
      </c>
      <c r="BF43" s="14">
        <f t="shared" si="37"/>
        <v>47.947087613384845</v>
      </c>
      <c r="BG43" s="22">
        <f t="shared" si="7"/>
        <v>417.63363625997863</v>
      </c>
      <c r="BH43" s="60">
        <f t="shared" si="8"/>
        <v>665.44665007909941</v>
      </c>
      <c r="BI43" s="60">
        <f ca="1">AVERAGE(OFFSET($BH$3,0,0,'Données projet'!$E$11+1,1))-AVERAGE(OFFSET($H$3,0,0,'Données projet'!$E$11+1,1))</f>
        <v>363.28611056308665</v>
      </c>
      <c r="BJ43" s="60">
        <f t="shared" si="38"/>
        <v>389.43647559455974</v>
      </c>
      <c r="BK43" s="16">
        <f>IF(ISNA(VLOOKUP(A43,'Données projet'!$A$87:$I$107,3,0)),0,VLOOKUP(A43,'Données projet'!$A$87:$I$107,3,0))</f>
        <v>3</v>
      </c>
      <c r="BL43" s="16">
        <f>IF(ISNA(VLOOKUP(A43,'Données projet'!$A$87:$I$107,4,0)),0,VLOOKUP(A43,'Données projet'!$A$87:$I$107,4,0))</f>
        <v>56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160.25641025641025</v>
      </c>
      <c r="BW43" s="13">
        <f>VLOOKUP(A43,'Données projet'!$A$113:$I$133,9,0)</f>
        <v>6.7948717948717956</v>
      </c>
      <c r="BX43" s="13">
        <f t="array" ref="BX43">INDEX(BW:BW,MIN(IF(ISNUMBER(BW43:BW239),ROW(BW43:BW239),"")))</f>
        <v>6.7948717948717956</v>
      </c>
      <c r="BY43" s="13">
        <f>IF('Données projet'!$A$114&gt;35,BY42+BX43-CG42,IF(A43&lt;'Données projet'!$A$114,$BV$205^A43,IF(A43='Données projet'!$A$114,'Données projet'!$B$114,BY42+BX43-CG42)))</f>
        <v>160.25641025641025</v>
      </c>
      <c r="BZ43" s="14">
        <f>BY43*VLOOKUP('Données projet'!$B$12,Paramètres!$A$1:$I$89,3,0)*VLOOKUP('Données projet'!$B$12,Paramètres!$A$1:$I$89,5,0)</f>
        <v>152.5</v>
      </c>
      <c r="CA43" s="14">
        <f t="shared" si="39"/>
        <v>39.146171889962673</v>
      </c>
      <c r="CB43" s="22">
        <f t="shared" si="10"/>
        <v>333.78374937501832</v>
      </c>
      <c r="CC43" s="60">
        <f t="shared" si="11"/>
        <v>581.59676319413916</v>
      </c>
      <c r="CD43" s="60">
        <f ca="1">AVERAGE(OFFSET($CC$3,0,0,'Données projet'!$E$12+1,1))-AVERAGE(OFFSET($H$3,0,0,'Données projet'!$E$12+1,1))</f>
        <v>441.15969139782891</v>
      </c>
      <c r="CE43" s="60">
        <f t="shared" si="40"/>
        <v>315.06466790224783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263.10000000000002</v>
      </c>
      <c r="CR43" s="13">
        <f>VLOOKUP(A43,'Données projet'!$A$139:$I$159,9,0)</f>
        <v>11.340000000000003</v>
      </c>
      <c r="CS43" s="13">
        <f t="array" ref="CS43">INDEX(CR:CR,MIN(IF(ISNUMBER(CR43:CR239),ROW(CR43:CR239),"")))</f>
        <v>11.340000000000003</v>
      </c>
      <c r="CT43" s="13">
        <f>IF('Données projet'!$A$140&gt;35,CT42+CS43-DB42,IF(A43&lt;'Données projet'!$A$140,$CQ$205^A43,IF(A43='Données projet'!$A$140,'Données projet'!$B$140,CT42+CS43-DB42)))</f>
        <v>263.09999999999991</v>
      </c>
      <c r="CU43" s="18">
        <f>CT43*VLOOKUP('Données projet'!$B$13,Paramètres!$A$1:$I$89,3,0)*VLOOKUP('Données projet'!$B$13,Paramètres!$A$1:$I$89,5,0)</f>
        <v>192.90491999999995</v>
      </c>
      <c r="CV43" s="14">
        <f t="shared" si="41"/>
        <v>48.181621167171684</v>
      </c>
      <c r="CW43" s="22">
        <f t="shared" si="13"/>
        <v>419.89239253282386</v>
      </c>
      <c r="CX43" s="60">
        <f t="shared" si="14"/>
        <v>667.7054063519447</v>
      </c>
      <c r="CY43" s="60">
        <f ca="1">AVERAGE(OFFSET($CX$3,0,0,'Données projet'!$E$13+1,1))-AVERAGE(OFFSET($H$3,0,0,'Données projet'!$E$13+1,1))</f>
        <v>368.35775920359396</v>
      </c>
      <c r="CZ43" s="60">
        <f t="shared" si="42"/>
        <v>395.5218438652638</v>
      </c>
      <c r="DA43" s="16">
        <f>IF(ISNA(VLOOKUP(A43,'Données projet'!$A$139:$I$159,3,0)),0,VLOOKUP(A43,'Données projet'!$A$139:$I$159,3,0))</f>
        <v>3</v>
      </c>
      <c r="DB43" s="16">
        <f>IF(ISNA(VLOOKUP(A43,'Données projet'!$A$139:$I$159,4,0)),0,VLOOKUP(A43,'Données projet'!$A$139:$I$159,4,0))</f>
        <v>70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11.142857142857142</v>
      </c>
      <c r="DO43" s="13">
        <f>IF('Données projet'!$A$166&gt;35,DO42+DN43-DW42,IF(A43&lt;'Données projet'!$A$166,$DL$205^A43,IF(A43='Données projet'!$A$166,'Données projet'!$B$166,DO42+DN43-DW42)))</f>
        <v>185.42857142857139</v>
      </c>
      <c r="DP43" s="18">
        <f>DO43*VLOOKUP('Données projet'!$B$14,Paramètres!$A$1:$I$89,3,0)*VLOOKUP('Données projet'!$B$14,Paramètres!$A$1:$I$89,5,0)</f>
        <v>144.63428571428568</v>
      </c>
      <c r="DQ43" s="14">
        <f t="shared" si="43"/>
        <v>37.356634728420524</v>
      </c>
      <c r="DR43" s="22">
        <f t="shared" si="16"/>
        <v>316.96751977104663</v>
      </c>
      <c r="DS43" s="60">
        <f t="shared" si="17"/>
        <v>564.78053359016747</v>
      </c>
      <c r="DT43" s="60">
        <f ca="1">AVERAGE(OFFSET($DS$3,0,0,'Données projet'!$E$14+1,1))-AVERAGE(OFFSET($H$3,0,0,'Données projet'!$E$14+1,1))</f>
        <v>312.59632808777332</v>
      </c>
      <c r="DU43" s="60">
        <f t="shared" si="44"/>
        <v>302.59481222418219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</v>
      </c>
      <c r="EE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15.166666666666666</v>
      </c>
      <c r="EJ43" s="13">
        <f>IF('Données projet'!$A$192&gt;35,EJ42+EI43-ER42,IF(A43&lt;'Données projet'!$A$192,$EG$205^A43,IF(A43='Données projet'!$A$192,'Données projet'!$B$192,EJ42+EI43-ER42)))</f>
        <v>174.6666666666666</v>
      </c>
      <c r="EK43" s="18">
        <f>EJ43*VLOOKUP('Données projet'!$B$15,Paramètres!$A$1:$I$89,3,0)*VLOOKUP('Données projet'!$B$15,Paramètres!$A$1:$I$89,5,0)</f>
        <v>149.86399999999995</v>
      </c>
      <c r="EL43" s="14">
        <f t="shared" si="45"/>
        <v>38.547677501412096</v>
      </c>
      <c r="EM43" s="22">
        <f t="shared" si="19"/>
        <v>328.1503383149593</v>
      </c>
      <c r="EN43" s="60">
        <f t="shared" si="20"/>
        <v>575.96335213408008</v>
      </c>
      <c r="EO43" s="60">
        <f ca="1">AVERAGE(OFFSET($EN$3,0,0,'Données projet'!$E$15+1,1))-AVERAGE(OFFSET($H$3,0,0,'Données projet'!$E$15+1,1))</f>
        <v>478.11504516179713</v>
      </c>
      <c r="EP43" s="60">
        <f t="shared" si="46"/>
        <v>249.93713224442419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0</v>
      </c>
      <c r="EW43" s="23">
        <f>EXP(-LN(2)/25)*EW42+(1-EXP(-LN(2)/25))/(LN(2)/25)*Calculateur!ER43*Calculateur!ET43*VLOOKUP('Données projet'!$B$15,Paramètres!$A$1:$I$89,3,0)*0.475*44/12</f>
        <v>0</v>
      </c>
      <c r="EX43" s="23">
        <f>EXP(-LN(2)/2)*EX42+(1-EXP(-LN(2)/2))/(LN(2)/2)*ER43*EU43*VLOOKUP('Données projet'!$B$15,Paramètres!$A$1:$I$89,3,0)*0.475*44/12</f>
        <v>0</v>
      </c>
      <c r="EY43" s="24">
        <f t="shared" si="21"/>
        <v>0</v>
      </c>
      <c r="EZ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>
        <f>VLOOKUP(A43,'Données projet'!$A$217:$I$237,2,0)</f>
        <v>175</v>
      </c>
      <c r="FC43" s="13">
        <f>VLOOKUP(A43,'Données projet'!$A$217:$I$237,9,0)</f>
        <v>11.2</v>
      </c>
      <c r="FD43" s="13">
        <f t="array" ref="FD43">INDEX(FC:FC,MIN(IF(ISNUMBER(FC43:FC239),ROW(FC43:FC239),"")))</f>
        <v>11.2</v>
      </c>
      <c r="FE43" s="13">
        <f>IF('Données projet'!$A$218&gt;35,FE42+FD43-FM42,IF(A43&lt;'Données projet'!$A$218,$FB$205^A43,IF(A43='Données projet'!$A$218,'Données projet'!$B$218,FE42+FD43-FM42)))</f>
        <v>175.00000000000003</v>
      </c>
      <c r="FF43" s="18">
        <f>FE43*VLOOKUP('Données projet'!$B$16,Paramètres!$A$1:$I$89,3,0)*VLOOKUP('Données projet'!$B$16,Paramètres!$A$1:$I$89,5,0)</f>
        <v>169.26000000000002</v>
      </c>
      <c r="FG43" s="14">
        <f t="shared" si="47"/>
        <v>42.924246146122272</v>
      </c>
      <c r="FH43" s="22">
        <f t="shared" si="22"/>
        <v>369.55422870449632</v>
      </c>
      <c r="FI43" s="60">
        <f t="shared" si="23"/>
        <v>617.36724252361716</v>
      </c>
      <c r="FJ43" s="60">
        <f ca="1">AVERAGE(OFFSET($FI$3,0,0,'Données projet'!$E$16+1,1))-AVERAGE(OFFSET($H$3,0,0,'Données projet'!$E$16+1,1))</f>
        <v>603.52431522262032</v>
      </c>
      <c r="FK43" s="60">
        <f t="shared" si="48"/>
        <v>313.56299786481338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>
        <f>EXP(-LN(2)/35)*FQ42+(1-EXP(-LN(2)/35))/(LN(2)/35)*FM43*FN43*VLOOKUP('Données projet'!$B$16,Paramètres!$A$1:$I$89,3,0)*0.475*44/12</f>
        <v>0</v>
      </c>
      <c r="FR43" s="23">
        <f>EXP(-LN(2)/25)*FR42+(1-EXP(-LN(2)/25))/(LN(2)/25)*Calculateur!FM43*Calculateur!FO43*VLOOKUP('Données projet'!$B$16,Paramètres!$A$1:$I$89,3,0)*0.475*44/12</f>
        <v>0</v>
      </c>
      <c r="FS43" s="23">
        <f>EXP(-LN(2)/2)*FS42+(1-EXP(-LN(2)/2))/(LN(2)/2)*FM43*FP43*VLOOKUP('Données projet'!$B$16,Paramètres!$A$1:$I$89,3,0)*0.475*44/12</f>
        <v>0</v>
      </c>
      <c r="FT43" s="24">
        <f t="shared" si="24"/>
        <v>0</v>
      </c>
      <c r="FU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>
        <f>VLOOKUP(A43,'Données projet'!$A$243:$I$263,2,0)</f>
        <v>228.2051282051282</v>
      </c>
      <c r="FX43" s="13">
        <f>VLOOKUP(A43,'Données projet'!$A$243:$I$263,9,0)</f>
        <v>7.9487179487179507</v>
      </c>
      <c r="FY43" s="13">
        <f t="array" ref="FY43">INDEX(FX:FX,MIN(IF(ISNUMBER(FX43:FX239),ROW(FX43:FX239),"")))</f>
        <v>7.9487179487179507</v>
      </c>
      <c r="FZ43" s="13">
        <f>IF('Données projet'!$A$244&gt;35,FZ42+FY43-GH42,IF(A43&lt;'Données projet'!$A$244,$FW$205^A43,IF(A43='Données projet'!$A$244,'Données projet'!$B$244,FZ42+FY43-GH42)))</f>
        <v>228.20512820512829</v>
      </c>
      <c r="GA43" s="18">
        <f>FZ43*VLOOKUP('Données projet'!$B$17,Paramètres!$A$1:$I$89,3,0)*VLOOKUP('Données projet'!$B$17,Paramètres!$A$1:$I$89,5,0)</f>
        <v>153.08000000000007</v>
      </c>
      <c r="GB43" s="14">
        <f t="shared" si="49"/>
        <v>39.277696538385037</v>
      </c>
      <c r="GC43" s="22">
        <f t="shared" si="25"/>
        <v>335.02298813768738</v>
      </c>
      <c r="GD43" s="60">
        <f t="shared" si="26"/>
        <v>582.83600195680822</v>
      </c>
      <c r="GE43" s="60">
        <f ca="1">AVERAGE(OFFSET($GD$3,0,0,'Données projet'!$E$17+1,1))-AVERAGE(OFFSET($H$3,0,0,'Données projet'!$E$17+1,1))</f>
        <v>396.0878652679051</v>
      </c>
      <c r="GF43" s="60">
        <f t="shared" si="50"/>
        <v>327.26339199235406</v>
      </c>
      <c r="GG43" s="16">
        <f>IF(ISNA(VLOOKUP(A43,'Données projet'!$A$243:$I$263,3,0)),0,VLOOKUP(A43,'Données projet'!$A$243:$I$263,3,0))</f>
        <v>3</v>
      </c>
      <c r="GH43" s="16">
        <f>IF(ISNA(VLOOKUP(A43,'Données projet'!$A$243:$I$263,4,0)),0,VLOOKUP(A43,'Données projet'!$A$243:$I$263,4,0))</f>
        <v>39.743589743589745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>
        <f>EXP(-LN(2)/35)*GL42+(1-EXP(-LN(2)/35))/(LN(2)/35)*GH43*GI43*VLOOKUP('Données projet'!$B$17,Paramètres!$A$1:$I$89,3,0)*0.475*44/12</f>
        <v>0</v>
      </c>
      <c r="GM43" s="23">
        <f>EXP(-LN(2)/25)*GM42+(1-EXP(-LN(2)/25))/(LN(2)/25)*Calculateur!GH43*Calculateur!GJ43*VLOOKUP('Données projet'!$B$17,Paramètres!$A$1:$I$89,3,0)*0.475*44/12</f>
        <v>0</v>
      </c>
      <c r="GN43" s="23">
        <f>EXP(-LN(2)/2)*GN42+(1-EXP(-LN(2)/2))/(LN(2)/2)*GH43*GK43*VLOOKUP('Données projet'!$B$17,Paramètres!$A$1:$I$89,3,0)*0.475*44/12</f>
        <v>0</v>
      </c>
      <c r="GO43" s="23">
        <f t="shared" si="27"/>
        <v>0</v>
      </c>
      <c r="GP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>
        <f>VLOOKUP(A43,'Données projet'!$A$269:$I$289,2,0)</f>
        <v>152</v>
      </c>
      <c r="GS43" s="13">
        <f>VLOOKUP(A43,'Données projet'!$A$269:$I$289,9,0)</f>
        <v>7.6</v>
      </c>
      <c r="GT43" s="13">
        <f t="array" ref="GT43">INDEX(GS:GS,MIN(IF(ISNUMBER(GS43:GS239),ROW(GS43:GS239),"")))</f>
        <v>7.6</v>
      </c>
      <c r="GU43" s="13">
        <f>IF('Données projet'!$A$270&gt;35,GU42+GT43-HC42,IF(A43&lt;'Données projet'!$A$270,$GR$205^A43,IF(A43='Données projet'!$A$270,'Données projet'!$B$270,GU42+GT43-HC42)))</f>
        <v>152.00000000000003</v>
      </c>
      <c r="GV43" s="18">
        <f>GU43*VLOOKUP('Données projet'!$B$18,Paramètres!$A$1:$I$89,3,0)*VLOOKUP('Données projet'!$B$18,Paramètres!$A$1:$I$89,5,0)</f>
        <v>123.30240000000003</v>
      </c>
      <c r="GW43" s="14">
        <f t="shared" si="51"/>
        <v>32.444008665071891</v>
      </c>
      <c r="GX43" s="22">
        <f t="shared" si="28"/>
        <v>271.25832842500023</v>
      </c>
      <c r="GY43" s="60">
        <f t="shared" si="29"/>
        <v>519.07134224412107</v>
      </c>
      <c r="GZ43" s="60">
        <f ca="1">AVERAGE(OFFSET($GY$3,0,0,'Données projet'!$E$18+1,1))-AVERAGE(OFFSET($H$3,0,0,'Données projet'!$E$18+1,1))</f>
        <v>272.69564942740931</v>
      </c>
      <c r="HA43" s="60">
        <f t="shared" si="52"/>
        <v>316.57989180609252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>
        <f>EXP(-LN(2)/35)*HG42+(1-EXP(-LN(2)/35))/(LN(2)/35)*HC43*HD43*VLOOKUP('Données projet'!$B$18,Paramètres!$A$1:$I$89,3,0)*0.475*44/12</f>
        <v>0</v>
      </c>
      <c r="HH43" s="23">
        <f>EXP(-LN(2)/25)*HH42+(1-EXP(-LN(2)/25))/(LN(2)/25)*Calculateur!HC43*Calculateur!HE43*VLOOKUP('Données projet'!$B$18,Paramètres!$A$1:$I$89,3,0)*0.475*44/12</f>
        <v>0</v>
      </c>
      <c r="HI43" s="23">
        <f>EXP(-LN(2)/2)*HI42+(1-EXP(-LN(2)/2))/(LN(2)/2)*HC43*HF43*VLOOKUP('Données projet'!$B$18,Paramètres!$A$1:$I$89,3,0)*0.475*44/12</f>
        <v>0</v>
      </c>
      <c r="HJ43" s="24">
        <f t="shared" si="30"/>
        <v>0</v>
      </c>
    </row>
    <row r="44" spans="1:218" s="5" customFormat="1" x14ac:dyDescent="0.25">
      <c r="A44" s="11">
        <f t="shared" si="31"/>
        <v>41</v>
      </c>
      <c r="B44" s="75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8">
        <f t="shared" si="1"/>
        <v>183.33333333333334</v>
      </c>
      <c r="I44" s="7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11.4</v>
      </c>
      <c r="N44" s="14">
        <f>IF('Données projet'!$A$36&gt;35,N43+M44-V43,IF(A44&lt;'Données projet'!$A$36,$K$205^A44,IF(A44='Données projet'!$A$36,'Données projet'!$B$36,N43+M44-V43)))</f>
        <v>186.40000000000003</v>
      </c>
      <c r="O44" s="14">
        <f>N44*VLOOKUP('Données projet'!$B$9,Paramètres!$A$1:$I$89,3,0)*VLOOKUP('Données projet'!$B$9,Paramètres!$A$1:$I$89,5,0)</f>
        <v>168.65472000000003</v>
      </c>
      <c r="P44" s="14">
        <f t="shared" si="33"/>
        <v>42.78858644059585</v>
      </c>
      <c r="Q44" s="22">
        <f t="shared" si="53"/>
        <v>368.2637587173711</v>
      </c>
      <c r="R44" s="60">
        <f t="shared" si="0"/>
        <v>616.86644831187505</v>
      </c>
      <c r="S44" s="60">
        <f ca="1">AVERAGE(OFFSET($R$3,0,0,'Données projet'!$E$9+1,1))-AVERAGE(OFFSET($H$3,0,0,'Données projet'!$E$9+1,1))</f>
        <v>570.08763950759544</v>
      </c>
      <c r="T44" s="60">
        <f t="shared" si="34"/>
        <v>297.32483725004136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9.8199999999999932</v>
      </c>
      <c r="AI44" s="14">
        <f>IF('Données projet'!$A$62&gt;35,AI43+AH44-AQ43,IF(A44&lt;'Données projet'!$A$62,$AF$205^A44,IF(A44='Données projet'!$A$62,'Données projet'!$B$62,AI43+AH44-AQ43)))</f>
        <v>202.9199999999999</v>
      </c>
      <c r="AJ44" s="14">
        <f>AI44*VLOOKUP('Données projet'!$B$10,Paramètres!$A$1:$I$89,3,0)*VLOOKUP('Données projet'!$B$10,Paramètres!$A$1:$I$89,5,0)</f>
        <v>161.44315199999994</v>
      </c>
      <c r="AK44" s="14">
        <f t="shared" si="35"/>
        <v>41.167852065682119</v>
      </c>
      <c r="AL44" s="22">
        <f t="shared" si="4"/>
        <v>352.88083208106292</v>
      </c>
      <c r="AM44" s="60">
        <f t="shared" si="5"/>
        <v>601.48352167556686</v>
      </c>
      <c r="AN44" s="60">
        <f ca="1">AVERAGE(OFFSET($AM$3,0,0,'Données projet'!$E$10+1,1))-AVERAGE(OFFSET($H$3,0,0,'Données projet'!$E$10+1,1))</f>
        <v>394.49874384716014</v>
      </c>
      <c r="AO44" s="60">
        <f t="shared" si="36"/>
        <v>423.72519584013378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8.2000000000000064</v>
      </c>
      <c r="BD44" s="13">
        <f>IF('Données projet'!$A$88&gt;35,BD43+BC44-BL43,IF(A44&lt;'Données projet'!$A$88,$BA$205^A44,IF(A44='Données projet'!$A$88,'Données projet'!$B$88,BD43+BC44-BL43)))</f>
        <v>171.8</v>
      </c>
      <c r="BE44" s="14">
        <f>BD44*VLOOKUP('Données projet'!$B$11,Paramètres!$A$1:$I$89,3,0)*VLOOKUP('Données projet'!$B$11,Paramètres!$A$1:$I$89,5,0)</f>
        <v>150.08448000000001</v>
      </c>
      <c r="BF44" s="14">
        <f t="shared" si="37"/>
        <v>38.597783374841299</v>
      </c>
      <c r="BG44" s="22">
        <f t="shared" si="7"/>
        <v>328.62160871118198</v>
      </c>
      <c r="BH44" s="60">
        <f t="shared" si="8"/>
        <v>577.22429830568592</v>
      </c>
      <c r="BI44" s="60">
        <f ca="1">AVERAGE(OFFSET($BH$3,0,0,'Données projet'!$E$11+1,1))-AVERAGE(OFFSET($H$3,0,0,'Données projet'!$E$11+1,1))</f>
        <v>363.28611056308665</v>
      </c>
      <c r="BJ44" s="60">
        <f t="shared" si="38"/>
        <v>389.43647559455974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6.2820512820512819</v>
      </c>
      <c r="BY44" s="13">
        <f>IF('Données projet'!$A$114&gt;35,BY43+BX44-CG43,IF(A44&lt;'Données projet'!$A$114,$BV$205^A44,IF(A44='Données projet'!$A$114,'Données projet'!$B$114,BY43+BX44-CG43)))</f>
        <v>166.53846153846152</v>
      </c>
      <c r="BZ44" s="14">
        <f>BY44*VLOOKUP('Données projet'!$B$12,Paramètres!$A$1:$I$89,3,0)*VLOOKUP('Données projet'!$B$12,Paramètres!$A$1:$I$89,5,0)</f>
        <v>158.47799999999998</v>
      </c>
      <c r="CA44" s="14">
        <f t="shared" si="39"/>
        <v>40.499033326567876</v>
      </c>
      <c r="CB44" s="22">
        <f t="shared" si="10"/>
        <v>346.55166637710568</v>
      </c>
      <c r="CC44" s="60">
        <f t="shared" si="11"/>
        <v>595.15435597160968</v>
      </c>
      <c r="CD44" s="60">
        <f ca="1">AVERAGE(OFFSET($CC$3,0,0,'Données projet'!$E$12+1,1))-AVERAGE(OFFSET($H$3,0,0,'Données projet'!$E$12+1,1))</f>
        <v>441.15969139782891</v>
      </c>
      <c r="CE44" s="60">
        <f t="shared" si="40"/>
        <v>315.06466790224783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9.8199999999999932</v>
      </c>
      <c r="CT44" s="13">
        <f>IF('Données projet'!$A$140&gt;35,CT43+CS44-DB43,IF(A44&lt;'Données projet'!$A$140,$CQ$205^A44,IF(A44='Données projet'!$A$140,'Données projet'!$B$140,CT43+CS44-DB43)))</f>
        <v>202.9199999999999</v>
      </c>
      <c r="CU44" s="18">
        <f>CT44*VLOOKUP('Données projet'!$B$13,Paramètres!$A$1:$I$89,3,0)*VLOOKUP('Données projet'!$B$13,Paramètres!$A$1:$I$89,5,0)</f>
        <v>148.78094399999992</v>
      </c>
      <c r="CV44" s="14">
        <f t="shared" si="41"/>
        <v>38.301419336680702</v>
      </c>
      <c r="CW44" s="22">
        <f t="shared" si="13"/>
        <v>325.83511614471871</v>
      </c>
      <c r="CX44" s="60">
        <f t="shared" si="14"/>
        <v>574.43780573922265</v>
      </c>
      <c r="CY44" s="60">
        <f ca="1">AVERAGE(OFFSET($CX$3,0,0,'Données projet'!$E$13+1,1))-AVERAGE(OFFSET($H$3,0,0,'Données projet'!$E$13+1,1))</f>
        <v>368.35775920359396</v>
      </c>
      <c r="CZ44" s="60">
        <f t="shared" si="42"/>
        <v>395.5218438652638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11.142857142857142</v>
      </c>
      <c r="DO44" s="13">
        <f>IF('Données projet'!$A$166&gt;35,DO43+DN44-DW43,IF(A44&lt;'Données projet'!$A$166,$DL$205^A44,IF(A44='Données projet'!$A$166,'Données projet'!$B$166,DO43+DN44-DW43)))</f>
        <v>196.57142857142853</v>
      </c>
      <c r="DP44" s="18">
        <f>DO44*VLOOKUP('Données projet'!$B$14,Paramètres!$A$1:$I$89,3,0)*VLOOKUP('Données projet'!$B$14,Paramètres!$A$1:$I$89,5,0)</f>
        <v>153.32571428571427</v>
      </c>
      <c r="DQ44" s="14">
        <f t="shared" si="43"/>
        <v>39.33339883761419</v>
      </c>
      <c r="DR44" s="22">
        <f t="shared" si="16"/>
        <v>335.54795535646372</v>
      </c>
      <c r="DS44" s="60">
        <f t="shared" si="17"/>
        <v>584.15064495096772</v>
      </c>
      <c r="DT44" s="60">
        <f ca="1">AVERAGE(OFFSET($DS$3,0,0,'Données projet'!$E$14+1,1))-AVERAGE(OFFSET($H$3,0,0,'Données projet'!$E$14+1,1))</f>
        <v>312.59632808777332</v>
      </c>
      <c r="DU44" s="60">
        <f t="shared" si="44"/>
        <v>302.59481222418219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</v>
      </c>
      <c r="EE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15.166666666666666</v>
      </c>
      <c r="EJ44" s="13">
        <f>IF('Données projet'!$A$192&gt;35,EJ43+EI44-ER43,IF(A44&lt;'Données projet'!$A$192,$EG$205^A44,IF(A44='Données projet'!$A$192,'Données projet'!$B$192,EJ43+EI44-ER43)))</f>
        <v>189.83333333333326</v>
      </c>
      <c r="EK44" s="18">
        <f>EJ44*VLOOKUP('Données projet'!$B$15,Paramètres!$A$1:$I$89,3,0)*VLOOKUP('Données projet'!$B$15,Paramètres!$A$1:$I$89,5,0)</f>
        <v>162.87699999999995</v>
      </c>
      <c r="EL44" s="14">
        <f t="shared" si="45"/>
        <v>41.490756193100523</v>
      </c>
      <c r="EM44" s="22">
        <f t="shared" si="19"/>
        <v>355.94050870298332</v>
      </c>
      <c r="EN44" s="60">
        <f t="shared" si="20"/>
        <v>604.54319829748727</v>
      </c>
      <c r="EO44" s="60">
        <f ca="1">AVERAGE(OFFSET($EN$3,0,0,'Données projet'!$E$15+1,1))-AVERAGE(OFFSET($H$3,0,0,'Données projet'!$E$15+1,1))</f>
        <v>478.11504516179713</v>
      </c>
      <c r="EP44" s="60">
        <f t="shared" si="46"/>
        <v>249.93713224442419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0</v>
      </c>
      <c r="EW44" s="23">
        <f>EXP(-LN(2)/25)*EW43+(1-EXP(-LN(2)/25))/(LN(2)/25)*Calculateur!ER44*Calculateur!ET44*VLOOKUP('Données projet'!$B$15,Paramètres!$A$1:$I$89,3,0)*0.475*44/12</f>
        <v>0</v>
      </c>
      <c r="EX44" s="23">
        <f>EXP(-LN(2)/2)*EX43+(1-EXP(-LN(2)/2))/(LN(2)/2)*ER44*EU44*VLOOKUP('Données projet'!$B$15,Paramètres!$A$1:$I$89,3,0)*0.475*44/12</f>
        <v>0</v>
      </c>
      <c r="EY44" s="24">
        <f t="shared" si="21"/>
        <v>0</v>
      </c>
      <c r="EZ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11.4</v>
      </c>
      <c r="FE44" s="13">
        <f>IF('Données projet'!$A$218&gt;35,FE43+FD44-FM43,IF(A44&lt;'Données projet'!$A$218,$FB$205^A44,IF(A44='Données projet'!$A$218,'Données projet'!$B$218,FE43+FD44-FM43)))</f>
        <v>186.40000000000003</v>
      </c>
      <c r="FF44" s="18">
        <f>FE44*VLOOKUP('Données projet'!$B$16,Paramètres!$A$1:$I$89,3,0)*VLOOKUP('Données projet'!$B$16,Paramètres!$A$1:$I$89,5,0)</f>
        <v>180.28608000000006</v>
      </c>
      <c r="FG44" s="14">
        <f t="shared" si="47"/>
        <v>45.38582781198636</v>
      </c>
      <c r="FH44" s="22">
        <f t="shared" si="22"/>
        <v>393.04523943920964</v>
      </c>
      <c r="FI44" s="60">
        <f t="shared" si="23"/>
        <v>641.64792903371358</v>
      </c>
      <c r="FJ44" s="60">
        <f ca="1">AVERAGE(OFFSET($FI$3,0,0,'Données projet'!$E$16+1,1))-AVERAGE(OFFSET($H$3,0,0,'Données projet'!$E$16+1,1))</f>
        <v>603.52431522262032</v>
      </c>
      <c r="FK44" s="60">
        <f t="shared" si="48"/>
        <v>313.56299786481338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>
        <f>EXP(-LN(2)/35)*FQ43+(1-EXP(-LN(2)/35))/(LN(2)/35)*FM44*FN44*VLOOKUP('Données projet'!$B$16,Paramètres!$A$1:$I$89,3,0)*0.475*44/12</f>
        <v>0</v>
      </c>
      <c r="FR44" s="23">
        <f>EXP(-LN(2)/25)*FR43+(1-EXP(-LN(2)/25))/(LN(2)/25)*Calculateur!FM44*Calculateur!FO44*VLOOKUP('Données projet'!$B$16,Paramètres!$A$1:$I$89,3,0)*0.475*44/12</f>
        <v>0</v>
      </c>
      <c r="FS44" s="23">
        <f>EXP(-LN(2)/2)*FS43+(1-EXP(-LN(2)/2))/(LN(2)/2)*FM44*FP44*VLOOKUP('Données projet'!$B$16,Paramètres!$A$1:$I$89,3,0)*0.475*44/12</f>
        <v>0</v>
      </c>
      <c r="FT44" s="24">
        <f t="shared" si="24"/>
        <v>0</v>
      </c>
      <c r="FU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7.5641025641025639</v>
      </c>
      <c r="FZ44" s="13">
        <f>IF('Données projet'!$A$244&gt;35,FZ43+FY44-GH43,IF(A44&lt;'Données projet'!$A$244,$FW$205^A44,IF(A44='Données projet'!$A$244,'Données projet'!$B$244,FZ43+FY44-GH43)))</f>
        <v>196.02564102564111</v>
      </c>
      <c r="GA44" s="18">
        <f>FZ44*VLOOKUP('Données projet'!$B$17,Paramètres!$A$1:$I$89,3,0)*VLOOKUP('Données projet'!$B$17,Paramètres!$A$1:$I$89,5,0)</f>
        <v>131.49400000000006</v>
      </c>
      <c r="GB44" s="14">
        <f t="shared" si="49"/>
        <v>34.341348948072792</v>
      </c>
      <c r="GC44" s="22">
        <f t="shared" si="25"/>
        <v>288.82989941789356</v>
      </c>
      <c r="GD44" s="60">
        <f t="shared" si="26"/>
        <v>537.43258901239756</v>
      </c>
      <c r="GE44" s="60">
        <f ca="1">AVERAGE(OFFSET($GD$3,0,0,'Données projet'!$E$17+1,1))-AVERAGE(OFFSET($H$3,0,0,'Données projet'!$E$17+1,1))</f>
        <v>396.0878652679051</v>
      </c>
      <c r="GF44" s="60">
        <f t="shared" si="50"/>
        <v>327.26339199235406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>
        <f>EXP(-LN(2)/35)*GL43+(1-EXP(-LN(2)/35))/(LN(2)/35)*GH44*GI44*VLOOKUP('Données projet'!$B$17,Paramètres!$A$1:$I$89,3,0)*0.475*44/12</f>
        <v>0</v>
      </c>
      <c r="GM44" s="23">
        <f>EXP(-LN(2)/25)*GM43+(1-EXP(-LN(2)/25))/(LN(2)/25)*Calculateur!GH44*Calculateur!GJ44*VLOOKUP('Données projet'!$B$17,Paramètres!$A$1:$I$89,3,0)*0.475*44/12</f>
        <v>0</v>
      </c>
      <c r="GN44" s="23">
        <f>EXP(-LN(2)/2)*GN43+(1-EXP(-LN(2)/2))/(LN(2)/2)*GH44*GK44*VLOOKUP('Données projet'!$B$17,Paramètres!$A$1:$I$89,3,0)*0.475*44/12</f>
        <v>0</v>
      </c>
      <c r="GO44" s="23">
        <f t="shared" si="27"/>
        <v>0</v>
      </c>
      <c r="GP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7.6</v>
      </c>
      <c r="GU44" s="13">
        <f>IF('Données projet'!$A$270&gt;35,GU43+GT44-HC43,IF(A44&lt;'Données projet'!$A$270,$GR$205^A44,IF(A44='Données projet'!$A$270,'Données projet'!$B$270,GU43+GT44-HC43)))</f>
        <v>159.60000000000002</v>
      </c>
      <c r="GV44" s="18">
        <f>GU44*VLOOKUP('Données projet'!$B$18,Paramètres!$A$1:$I$89,3,0)*VLOOKUP('Données projet'!$B$18,Paramètres!$A$1:$I$89,5,0)</f>
        <v>129.46752000000004</v>
      </c>
      <c r="GW44" s="14">
        <f t="shared" si="51"/>
        <v>33.873289462262882</v>
      </c>
      <c r="GX44" s="22">
        <f t="shared" si="28"/>
        <v>284.48524314677451</v>
      </c>
      <c r="GY44" s="60">
        <f t="shared" si="29"/>
        <v>533.08793274127845</v>
      </c>
      <c r="GZ44" s="60">
        <f ca="1">AVERAGE(OFFSET($GY$3,0,0,'Données projet'!$E$18+1,1))-AVERAGE(OFFSET($H$3,0,0,'Données projet'!$E$18+1,1))</f>
        <v>272.69564942740931</v>
      </c>
      <c r="HA44" s="60">
        <f t="shared" si="52"/>
        <v>316.57989180609252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>
        <f>EXP(-LN(2)/35)*HG43+(1-EXP(-LN(2)/35))/(LN(2)/35)*HC44*HD44*VLOOKUP('Données projet'!$B$18,Paramètres!$A$1:$I$89,3,0)*0.475*44/12</f>
        <v>0</v>
      </c>
      <c r="HH44" s="23">
        <f>EXP(-LN(2)/25)*HH43+(1-EXP(-LN(2)/25))/(LN(2)/25)*Calculateur!HC44*Calculateur!HE44*VLOOKUP('Données projet'!$B$18,Paramètres!$A$1:$I$89,3,0)*0.475*44/12</f>
        <v>0</v>
      </c>
      <c r="HI44" s="23">
        <f>EXP(-LN(2)/2)*HI43+(1-EXP(-LN(2)/2))/(LN(2)/2)*HC44*HF44*VLOOKUP('Données projet'!$B$18,Paramètres!$A$1:$I$89,3,0)*0.475*44/12</f>
        <v>0</v>
      </c>
      <c r="HJ44" s="24">
        <f t="shared" si="30"/>
        <v>0</v>
      </c>
    </row>
    <row r="45" spans="1:218" s="5" customFormat="1" x14ac:dyDescent="0.25">
      <c r="A45" s="11">
        <f t="shared" si="31"/>
        <v>42</v>
      </c>
      <c r="B45" s="75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8">
        <f t="shared" si="1"/>
        <v>183.33333333333334</v>
      </c>
      <c r="I45" s="7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11.4</v>
      </c>
      <c r="N45" s="14">
        <f>IF('Données projet'!$A$36&gt;35,N44+M45-V44,IF(A45&lt;'Données projet'!$A$36,$K$205^A45,IF(A45='Données projet'!$A$36,'Données projet'!$B$36,N44+M45-V44)))</f>
        <v>197.80000000000004</v>
      </c>
      <c r="O45" s="14">
        <f>N45*VLOOKUP('Données projet'!$B$9,Paramètres!$A$1:$I$89,3,0)*VLOOKUP('Données projet'!$B$9,Paramètres!$A$1:$I$89,5,0)</f>
        <v>178.96944000000002</v>
      </c>
      <c r="P45" s="14">
        <f t="shared" si="33"/>
        <v>45.092828990632619</v>
      </c>
      <c r="Q45" s="22">
        <f t="shared" si="53"/>
        <v>390.24178515868516</v>
      </c>
      <c r="R45" s="60">
        <f t="shared" si="0"/>
        <v>639.62045141931992</v>
      </c>
      <c r="S45" s="60">
        <f ca="1">AVERAGE(OFFSET($R$3,0,0,'Données projet'!$E$9+1,1))-AVERAGE(OFFSET($H$3,0,0,'Données projet'!$E$9+1,1))</f>
        <v>570.08763950759544</v>
      </c>
      <c r="T45" s="60">
        <f t="shared" si="34"/>
        <v>297.32483725004136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9.8199999999999932</v>
      </c>
      <c r="AI45" s="14">
        <f>IF('Données projet'!$A$62&gt;35,AI44+AH45-AQ44,IF(A45&lt;'Données projet'!$A$62,$AF$205^A45,IF(A45='Données projet'!$A$62,'Données projet'!$B$62,AI44+AH45-AQ44)))</f>
        <v>212.7399999999999</v>
      </c>
      <c r="AJ45" s="14">
        <f>AI45*VLOOKUP('Données projet'!$B$10,Paramètres!$A$1:$I$89,3,0)*VLOOKUP('Données projet'!$B$10,Paramètres!$A$1:$I$89,5,0)</f>
        <v>169.25594399999991</v>
      </c>
      <c r="AK45" s="14">
        <f t="shared" si="35"/>
        <v>42.923337274383478</v>
      </c>
      <c r="AL45" s="22">
        <f t="shared" si="4"/>
        <v>369.54558155288436</v>
      </c>
      <c r="AM45" s="60">
        <f t="shared" si="5"/>
        <v>618.92424781351906</v>
      </c>
      <c r="AN45" s="60">
        <f ca="1">AVERAGE(OFFSET($AM$3,0,0,'Données projet'!$E$10+1,1))-AVERAGE(OFFSET($H$3,0,0,'Données projet'!$E$10+1,1))</f>
        <v>394.49874384716014</v>
      </c>
      <c r="AO45" s="60">
        <f t="shared" si="36"/>
        <v>423.72519584013378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8.2000000000000064</v>
      </c>
      <c r="BD45" s="13">
        <f>IF('Données projet'!$A$88&gt;35,BD44+BC45-BL44,IF(A45&lt;'Données projet'!$A$88,$BA$205^A45,IF(A45='Données projet'!$A$88,'Données projet'!$B$88,BD44+BC45-BL44)))</f>
        <v>180.00000000000003</v>
      </c>
      <c r="BE45" s="14">
        <f>BD45*VLOOKUP('Données projet'!$B$11,Paramètres!$A$1:$I$89,3,0)*VLOOKUP('Données projet'!$B$11,Paramètres!$A$1:$I$89,5,0)</f>
        <v>157.24800000000005</v>
      </c>
      <c r="BF45" s="14">
        <f t="shared" si="37"/>
        <v>40.221168744348645</v>
      </c>
      <c r="BG45" s="22">
        <f t="shared" si="7"/>
        <v>343.92546889640727</v>
      </c>
      <c r="BH45" s="60">
        <f t="shared" si="8"/>
        <v>593.30413515704197</v>
      </c>
      <c r="BI45" s="60">
        <f ca="1">AVERAGE(OFFSET($BH$3,0,0,'Données projet'!$E$11+1,1))-AVERAGE(OFFSET($H$3,0,0,'Données projet'!$E$11+1,1))</f>
        <v>363.28611056308665</v>
      </c>
      <c r="BJ45" s="60">
        <f t="shared" si="38"/>
        <v>389.43647559455974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6.2820512820512819</v>
      </c>
      <c r="BY45" s="13">
        <f>IF('Données projet'!$A$114&gt;35,BY44+BX45-CG44,IF(A45&lt;'Données projet'!$A$114,$BV$205^A45,IF(A45='Données projet'!$A$114,'Données projet'!$B$114,BY44+BX45-CG44)))</f>
        <v>172.82051282051279</v>
      </c>
      <c r="BZ45" s="14">
        <f>BY45*VLOOKUP('Données projet'!$B$12,Paramètres!$A$1:$I$89,3,0)*VLOOKUP('Données projet'!$B$12,Paramètres!$A$1:$I$89,5,0)</f>
        <v>164.45599999999996</v>
      </c>
      <c r="CA45" s="14">
        <f t="shared" si="39"/>
        <v>41.84596620708853</v>
      </c>
      <c r="CB45" s="22">
        <f t="shared" si="10"/>
        <v>359.30925781067913</v>
      </c>
      <c r="CC45" s="60">
        <f t="shared" si="11"/>
        <v>608.68792407131389</v>
      </c>
      <c r="CD45" s="60">
        <f ca="1">AVERAGE(OFFSET($CC$3,0,0,'Données projet'!$E$12+1,1))-AVERAGE(OFFSET($H$3,0,0,'Données projet'!$E$12+1,1))</f>
        <v>441.15969139782891</v>
      </c>
      <c r="CE45" s="60">
        <f t="shared" si="40"/>
        <v>315.06466790224783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9.8199999999999932</v>
      </c>
      <c r="CT45" s="13">
        <f>IF('Données projet'!$A$140&gt;35,CT44+CS45-DB44,IF(A45&lt;'Données projet'!$A$140,$CQ$205^A45,IF(A45='Données projet'!$A$140,'Données projet'!$B$140,CT44+CS45-DB44)))</f>
        <v>212.7399999999999</v>
      </c>
      <c r="CU45" s="18">
        <f>CT45*VLOOKUP('Données projet'!$B$13,Paramètres!$A$1:$I$89,3,0)*VLOOKUP('Données projet'!$B$13,Paramètres!$A$1:$I$89,5,0)</f>
        <v>155.98096799999993</v>
      </c>
      <c r="CV45" s="14">
        <f t="shared" si="41"/>
        <v>39.934673726794031</v>
      </c>
      <c r="CW45" s="22">
        <f t="shared" si="13"/>
        <v>341.21974267416618</v>
      </c>
      <c r="CX45" s="60">
        <f t="shared" si="14"/>
        <v>590.59840893480089</v>
      </c>
      <c r="CY45" s="60">
        <f ca="1">AVERAGE(OFFSET($CX$3,0,0,'Données projet'!$E$13+1,1))-AVERAGE(OFFSET($H$3,0,0,'Données projet'!$E$13+1,1))</f>
        <v>368.35775920359396</v>
      </c>
      <c r="CZ45" s="60">
        <f t="shared" si="42"/>
        <v>395.5218438652638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11.142857142857142</v>
      </c>
      <c r="DO45" s="13">
        <f>IF('Données projet'!$A$166&gt;35,DO44+DN45-DW44,IF(A45&lt;'Données projet'!$A$166,$DL$205^A45,IF(A45='Données projet'!$A$166,'Données projet'!$B$166,DO44+DN45-DW44)))</f>
        <v>207.71428571428567</v>
      </c>
      <c r="DP45" s="18">
        <f>DO45*VLOOKUP('Données projet'!$B$14,Paramètres!$A$1:$I$89,3,0)*VLOOKUP('Données projet'!$B$14,Paramètres!$A$1:$I$89,5,0)</f>
        <v>162.01714285714283</v>
      </c>
      <c r="DQ45" s="14">
        <f t="shared" si="43"/>
        <v>41.297155335096676</v>
      </c>
      <c r="DR45" s="22">
        <f t="shared" si="16"/>
        <v>354.10573601815048</v>
      </c>
      <c r="DS45" s="60">
        <f t="shared" si="17"/>
        <v>603.48440227878518</v>
      </c>
      <c r="DT45" s="60">
        <f ca="1">AVERAGE(OFFSET($DS$3,0,0,'Données projet'!$E$14+1,1))-AVERAGE(OFFSET($H$3,0,0,'Données projet'!$E$14+1,1))</f>
        <v>312.59632808777332</v>
      </c>
      <c r="DU45" s="60">
        <f t="shared" si="44"/>
        <v>302.59481222418219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</v>
      </c>
      <c r="EE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>
        <f>VLOOKUP(A45,'Données projet'!$A$191:$I$211,2,0)</f>
        <v>205</v>
      </c>
      <c r="EH45" s="13">
        <f>VLOOKUP(A45,'Données projet'!$A$191:$I$211,9,0)</f>
        <v>15.166666666666666</v>
      </c>
      <c r="EI45" s="13">
        <f t="array" ref="EI45">INDEX(EH:EH,MIN(IF(ISNUMBER(EH45:EH241),ROW(EH45:EH241),"")))</f>
        <v>15.166666666666666</v>
      </c>
      <c r="EJ45" s="13">
        <f>IF('Données projet'!$A$192&gt;35,EJ44+EI45-ER44,IF(A45&lt;'Données projet'!$A$192,$EG$205^A45,IF(A45='Données projet'!$A$192,'Données projet'!$B$192,EJ44+EI45-ER44)))</f>
        <v>204.99999999999991</v>
      </c>
      <c r="EK45" s="18">
        <f>EJ45*VLOOKUP('Données projet'!$B$15,Paramètres!$A$1:$I$89,3,0)*VLOOKUP('Données projet'!$B$15,Paramètres!$A$1:$I$89,5,0)</f>
        <v>175.88999999999993</v>
      </c>
      <c r="EL45" s="14">
        <f t="shared" si="45"/>
        <v>44.406561291935212</v>
      </c>
      <c r="EM45" s="22">
        <f t="shared" si="19"/>
        <v>383.6831775834537</v>
      </c>
      <c r="EN45" s="60">
        <f t="shared" si="20"/>
        <v>633.06184384408846</v>
      </c>
      <c r="EO45" s="60">
        <f ca="1">AVERAGE(OFFSET($EN$3,0,0,'Données projet'!$E$15+1,1))-AVERAGE(OFFSET($H$3,0,0,'Données projet'!$E$15+1,1))</f>
        <v>478.11504516179713</v>
      </c>
      <c r="EP45" s="60">
        <f t="shared" si="46"/>
        <v>249.93713224442419</v>
      </c>
      <c r="EQ45" s="16">
        <f>IF(ISNA(VLOOKUP(A45,'Données projet'!$A$191:$I$211,3,0)),0,VLOOKUP(A45,'Données projet'!$A$191:$I$211,3,0))</f>
        <v>4</v>
      </c>
      <c r="ER45" s="16">
        <f>IF(ISNA(VLOOKUP(A45,'Données projet'!$A$191:$I$211,4,0)),0,VLOOKUP(A45,'Données projet'!$A$191:$I$211,4,0))</f>
        <v>59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0</v>
      </c>
      <c r="EW45" s="23">
        <f>EXP(-LN(2)/25)*EW44+(1-EXP(-LN(2)/25))/(LN(2)/25)*Calculateur!ER45*Calculateur!ET45*VLOOKUP('Données projet'!$B$15,Paramètres!$A$1:$I$89,3,0)*0.475*44/12</f>
        <v>0</v>
      </c>
      <c r="EX45" s="23">
        <f>EXP(-LN(2)/2)*EX44+(1-EXP(-LN(2)/2))/(LN(2)/2)*ER45*EU45*VLOOKUP('Données projet'!$B$15,Paramètres!$A$1:$I$89,3,0)*0.475*44/12</f>
        <v>0</v>
      </c>
      <c r="EY45" s="24">
        <f t="shared" si="21"/>
        <v>0</v>
      </c>
      <c r="EZ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11.4</v>
      </c>
      <c r="FE45" s="13">
        <f>IF('Données projet'!$A$218&gt;35,FE44+FD45-FM44,IF(A45&lt;'Données projet'!$A$218,$FB$205^A45,IF(A45='Données projet'!$A$218,'Données projet'!$B$218,FE44+FD45-FM44)))</f>
        <v>197.80000000000004</v>
      </c>
      <c r="FF45" s="18">
        <f>FE45*VLOOKUP('Données projet'!$B$16,Paramètres!$A$1:$I$89,3,0)*VLOOKUP('Données projet'!$B$16,Paramètres!$A$1:$I$89,5,0)</f>
        <v>191.31216000000003</v>
      </c>
      <c r="FG45" s="14">
        <f t="shared" si="47"/>
        <v>47.829936494057677</v>
      </c>
      <c r="FH45" s="22">
        <f t="shared" si="22"/>
        <v>416.50581806048382</v>
      </c>
      <c r="FI45" s="60">
        <f t="shared" si="23"/>
        <v>665.88448432111852</v>
      </c>
      <c r="FJ45" s="60">
        <f ca="1">AVERAGE(OFFSET($FI$3,0,0,'Données projet'!$E$16+1,1))-AVERAGE(OFFSET($H$3,0,0,'Données projet'!$E$16+1,1))</f>
        <v>603.52431522262032</v>
      </c>
      <c r="FK45" s="60">
        <f t="shared" si="48"/>
        <v>313.56299786481338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>
        <f>EXP(-LN(2)/35)*FQ44+(1-EXP(-LN(2)/35))/(LN(2)/35)*FM45*FN45*VLOOKUP('Données projet'!$B$16,Paramètres!$A$1:$I$89,3,0)*0.475*44/12</f>
        <v>0</v>
      </c>
      <c r="FR45" s="23">
        <f>EXP(-LN(2)/25)*FR44+(1-EXP(-LN(2)/25))/(LN(2)/25)*Calculateur!FM45*Calculateur!FO45*VLOOKUP('Données projet'!$B$16,Paramètres!$A$1:$I$89,3,0)*0.475*44/12</f>
        <v>0</v>
      </c>
      <c r="FS45" s="23">
        <f>EXP(-LN(2)/2)*FS44+(1-EXP(-LN(2)/2))/(LN(2)/2)*FM45*FP45*VLOOKUP('Données projet'!$B$16,Paramètres!$A$1:$I$89,3,0)*0.475*44/12</f>
        <v>0</v>
      </c>
      <c r="FT45" s="24">
        <f t="shared" si="24"/>
        <v>0</v>
      </c>
      <c r="FU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7.5641025641025639</v>
      </c>
      <c r="FZ45" s="13">
        <f>IF('Données projet'!$A$244&gt;35,FZ44+FY45-GH44,IF(A45&lt;'Données projet'!$A$244,$FW$205^A45,IF(A45='Données projet'!$A$244,'Données projet'!$B$244,FZ44+FY45-GH44)))</f>
        <v>203.58974358974368</v>
      </c>
      <c r="GA45" s="18">
        <f>FZ45*VLOOKUP('Données projet'!$B$17,Paramètres!$A$1:$I$89,3,0)*VLOOKUP('Données projet'!$B$17,Paramètres!$A$1:$I$89,5,0)</f>
        <v>136.56800000000007</v>
      </c>
      <c r="GB45" s="14">
        <f t="shared" si="49"/>
        <v>35.509650391805792</v>
      </c>
      <c r="GC45" s="22">
        <f t="shared" si="25"/>
        <v>299.70190776572849</v>
      </c>
      <c r="GD45" s="60">
        <f t="shared" si="26"/>
        <v>549.08057402636325</v>
      </c>
      <c r="GE45" s="60">
        <f ca="1">AVERAGE(OFFSET($GD$3,0,0,'Données projet'!$E$17+1,1))-AVERAGE(OFFSET($H$3,0,0,'Données projet'!$E$17+1,1))</f>
        <v>396.0878652679051</v>
      </c>
      <c r="GF45" s="60">
        <f t="shared" si="50"/>
        <v>327.26339199235406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>
        <f>EXP(-LN(2)/35)*GL44+(1-EXP(-LN(2)/35))/(LN(2)/35)*GH45*GI45*VLOOKUP('Données projet'!$B$17,Paramètres!$A$1:$I$89,3,0)*0.475*44/12</f>
        <v>0</v>
      </c>
      <c r="GM45" s="23">
        <f>EXP(-LN(2)/25)*GM44+(1-EXP(-LN(2)/25))/(LN(2)/25)*Calculateur!GH45*Calculateur!GJ45*VLOOKUP('Données projet'!$B$17,Paramètres!$A$1:$I$89,3,0)*0.475*44/12</f>
        <v>0</v>
      </c>
      <c r="GN45" s="23">
        <f>EXP(-LN(2)/2)*GN44+(1-EXP(-LN(2)/2))/(LN(2)/2)*GH45*GK45*VLOOKUP('Données projet'!$B$17,Paramètres!$A$1:$I$89,3,0)*0.475*44/12</f>
        <v>0</v>
      </c>
      <c r="GO45" s="23">
        <f t="shared" si="27"/>
        <v>0</v>
      </c>
      <c r="GP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7.6</v>
      </c>
      <c r="GU45" s="13">
        <f>IF('Données projet'!$A$270&gt;35,GU44+GT45-HC44,IF(A45&lt;'Données projet'!$A$270,$GR$205^A45,IF(A45='Données projet'!$A$270,'Données projet'!$B$270,GU44+GT45-HC44)))</f>
        <v>167.20000000000002</v>
      </c>
      <c r="GV45" s="18">
        <f>GU45*VLOOKUP('Données projet'!$B$18,Paramètres!$A$1:$I$89,3,0)*VLOOKUP('Données projet'!$B$18,Paramètres!$A$1:$I$89,5,0)</f>
        <v>135.63264000000004</v>
      </c>
      <c r="GW45" s="14">
        <f t="shared" si="51"/>
        <v>35.294666721954265</v>
      </c>
      <c r="GX45" s="22">
        <f t="shared" si="28"/>
        <v>297.69839254073707</v>
      </c>
      <c r="GY45" s="60">
        <f t="shared" si="29"/>
        <v>547.07705880137178</v>
      </c>
      <c r="GZ45" s="60">
        <f ca="1">AVERAGE(OFFSET($GY$3,0,0,'Données projet'!$E$18+1,1))-AVERAGE(OFFSET($H$3,0,0,'Données projet'!$E$18+1,1))</f>
        <v>272.69564942740931</v>
      </c>
      <c r="HA45" s="60">
        <f t="shared" si="52"/>
        <v>316.57989180609252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>
        <f>EXP(-LN(2)/35)*HG44+(1-EXP(-LN(2)/35))/(LN(2)/35)*HC45*HD45*VLOOKUP('Données projet'!$B$18,Paramètres!$A$1:$I$89,3,0)*0.475*44/12</f>
        <v>0</v>
      </c>
      <c r="HH45" s="23">
        <f>EXP(-LN(2)/25)*HH44+(1-EXP(-LN(2)/25))/(LN(2)/25)*Calculateur!HC45*Calculateur!HE45*VLOOKUP('Données projet'!$B$18,Paramètres!$A$1:$I$89,3,0)*0.475*44/12</f>
        <v>0</v>
      </c>
      <c r="HI45" s="23">
        <f>EXP(-LN(2)/2)*HI44+(1-EXP(-LN(2)/2))/(LN(2)/2)*HC45*HF45*VLOOKUP('Données projet'!$B$18,Paramètres!$A$1:$I$89,3,0)*0.475*44/12</f>
        <v>0</v>
      </c>
      <c r="HJ45" s="24">
        <f t="shared" si="30"/>
        <v>0</v>
      </c>
    </row>
    <row r="46" spans="1:218" s="5" customFormat="1" x14ac:dyDescent="0.25">
      <c r="A46" s="11">
        <f t="shared" si="31"/>
        <v>43</v>
      </c>
      <c r="B46" s="75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8">
        <f t="shared" si="1"/>
        <v>183.33333333333334</v>
      </c>
      <c r="I46" s="7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11.4</v>
      </c>
      <c r="N46" s="14">
        <f>IF('Données projet'!$A$36&gt;35,N45+M46-V45,IF(A46&lt;'Données projet'!$A$36,$K$205^A46,IF(A46='Données projet'!$A$36,'Données projet'!$B$36,N45+M46-V45)))</f>
        <v>209.20000000000005</v>
      </c>
      <c r="O46" s="14">
        <f>N46*VLOOKUP('Données projet'!$B$9,Paramètres!$A$1:$I$89,3,0)*VLOOKUP('Données projet'!$B$9,Paramètres!$A$1:$I$89,5,0)</f>
        <v>189.28416000000001</v>
      </c>
      <c r="P46" s="14">
        <f t="shared" si="33"/>
        <v>47.381656039514027</v>
      </c>
      <c r="Q46" s="22">
        <f t="shared" si="53"/>
        <v>412.19296293548695</v>
      </c>
      <c r="R46" s="60">
        <f t="shared" si="0"/>
        <v>662.33414440191905</v>
      </c>
      <c r="S46" s="60">
        <f ca="1">AVERAGE(OFFSET($R$3,0,0,'Données projet'!$E$9+1,1))-AVERAGE(OFFSET($H$3,0,0,'Données projet'!$E$9+1,1))</f>
        <v>570.08763950759544</v>
      </c>
      <c r="T46" s="60">
        <f t="shared" si="34"/>
        <v>297.32483725004136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9.8199999999999932</v>
      </c>
      <c r="AI46" s="14">
        <f>IF('Données projet'!$A$62&gt;35,AI45+AH46-AQ45,IF(A46&lt;'Données projet'!$A$62,$AF$205^A46,IF(A46='Données projet'!$A$62,'Données projet'!$B$62,AI45+AH46-AQ45)))</f>
        <v>222.55999999999989</v>
      </c>
      <c r="AJ46" s="14">
        <f>AI46*VLOOKUP('Données projet'!$B$10,Paramètres!$A$1:$I$89,3,0)*VLOOKUP('Données projet'!$B$10,Paramètres!$A$1:$I$89,5,0)</f>
        <v>177.06873599999992</v>
      </c>
      <c r="AK46" s="14">
        <f t="shared" si="35"/>
        <v>44.669412059753448</v>
      </c>
      <c r="AL46" s="22">
        <f t="shared" si="4"/>
        <v>386.19394120407043</v>
      </c>
      <c r="AM46" s="60">
        <f t="shared" si="5"/>
        <v>636.33512267050241</v>
      </c>
      <c r="AN46" s="60">
        <f ca="1">AVERAGE(OFFSET($AM$3,0,0,'Données projet'!$E$10+1,1))-AVERAGE(OFFSET($H$3,0,0,'Données projet'!$E$10+1,1))</f>
        <v>394.49874384716014</v>
      </c>
      <c r="AO46" s="60">
        <f t="shared" si="36"/>
        <v>423.72519584013378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8.2000000000000064</v>
      </c>
      <c r="BD46" s="13">
        <f>IF('Données projet'!$A$88&gt;35,BD45+BC46-BL45,IF(A46&lt;'Données projet'!$A$88,$BA$205^A46,IF(A46='Données projet'!$A$88,'Données projet'!$B$88,BD45+BC46-BL45)))</f>
        <v>188.20000000000005</v>
      </c>
      <c r="BE46" s="14">
        <f>BD46*VLOOKUP('Données projet'!$B$11,Paramètres!$A$1:$I$89,3,0)*VLOOKUP('Données projet'!$B$11,Paramètres!$A$1:$I$89,5,0)</f>
        <v>164.41152000000005</v>
      </c>
      <c r="BF46" s="14">
        <f t="shared" si="37"/>
        <v>41.835965488659532</v>
      </c>
      <c r="BG46" s="22">
        <f t="shared" si="7"/>
        <v>359.21437055941539</v>
      </c>
      <c r="BH46" s="60">
        <f t="shared" si="8"/>
        <v>609.35555202584737</v>
      </c>
      <c r="BI46" s="60">
        <f ca="1">AVERAGE(OFFSET($BH$3,0,0,'Données projet'!$E$11+1,1))-AVERAGE(OFFSET($H$3,0,0,'Données projet'!$E$11+1,1))</f>
        <v>363.28611056308665</v>
      </c>
      <c r="BJ46" s="60">
        <f t="shared" si="38"/>
        <v>389.43647559455974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6.2820512820512819</v>
      </c>
      <c r="BY46" s="13">
        <f>IF('Données projet'!$A$114&gt;35,BY45+BX46-CG45,IF(A46&lt;'Données projet'!$A$114,$BV$205^A46,IF(A46='Données projet'!$A$114,'Données projet'!$B$114,BY45+BX46-CG45)))</f>
        <v>179.10256410256406</v>
      </c>
      <c r="BZ46" s="14">
        <f>BY46*VLOOKUP('Données projet'!$B$12,Paramètres!$A$1:$I$89,3,0)*VLOOKUP('Données projet'!$B$12,Paramètres!$A$1:$I$89,5,0)</f>
        <v>170.43399999999997</v>
      </c>
      <c r="CA46" s="14">
        <f t="shared" si="39"/>
        <v>43.187210719400916</v>
      </c>
      <c r="CB46" s="22">
        <f t="shared" si="10"/>
        <v>372.05694200295653</v>
      </c>
      <c r="CC46" s="60">
        <f t="shared" si="11"/>
        <v>622.19812346938852</v>
      </c>
      <c r="CD46" s="60">
        <f ca="1">AVERAGE(OFFSET($CC$3,0,0,'Données projet'!$E$12+1,1))-AVERAGE(OFFSET($H$3,0,0,'Données projet'!$E$12+1,1))</f>
        <v>441.15969139782891</v>
      </c>
      <c r="CE46" s="60">
        <f t="shared" si="40"/>
        <v>315.06466790224783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9.8199999999999932</v>
      </c>
      <c r="CT46" s="13">
        <f>IF('Données projet'!$A$140&gt;35,CT45+CS46-DB45,IF(A46&lt;'Données projet'!$A$140,$CQ$205^A46,IF(A46='Données projet'!$A$140,'Données projet'!$B$140,CT45+CS46-DB45)))</f>
        <v>222.55999999999989</v>
      </c>
      <c r="CU46" s="18">
        <f>CT46*VLOOKUP('Données projet'!$B$13,Paramètres!$A$1:$I$89,3,0)*VLOOKUP('Données projet'!$B$13,Paramètres!$A$1:$I$89,5,0)</f>
        <v>163.18099199999992</v>
      </c>
      <c r="CV46" s="14">
        <f t="shared" si="41"/>
        <v>41.559172921966017</v>
      </c>
      <c r="CW46" s="22">
        <f t="shared" si="13"/>
        <v>356.58912057242401</v>
      </c>
      <c r="CX46" s="60">
        <f t="shared" si="14"/>
        <v>606.73030203885605</v>
      </c>
      <c r="CY46" s="60">
        <f ca="1">AVERAGE(OFFSET($CX$3,0,0,'Données projet'!$E$13+1,1))-AVERAGE(OFFSET($H$3,0,0,'Données projet'!$E$13+1,1))</f>
        <v>368.35775920359396</v>
      </c>
      <c r="CZ46" s="60">
        <f t="shared" si="42"/>
        <v>395.5218438652638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11.142857142857142</v>
      </c>
      <c r="DO46" s="13">
        <f>IF('Données projet'!$A$166&gt;35,DO45+DN46-DW45,IF(A46&lt;'Données projet'!$A$166,$DL$205^A46,IF(A46='Données projet'!$A$166,'Données projet'!$B$166,DO45+DN46-DW45)))</f>
        <v>218.8571428571428</v>
      </c>
      <c r="DP46" s="18">
        <f>DO46*VLOOKUP('Données projet'!$B$14,Paramètres!$A$1:$I$89,3,0)*VLOOKUP('Données projet'!$B$14,Paramètres!$A$1:$I$89,5,0)</f>
        <v>170.70857142857139</v>
      </c>
      <c r="DQ46" s="14">
        <f t="shared" si="43"/>
        <v>43.248681576985412</v>
      </c>
      <c r="DR46" s="22">
        <f t="shared" si="16"/>
        <v>372.64221565134471</v>
      </c>
      <c r="DS46" s="60">
        <f t="shared" si="17"/>
        <v>622.78339711777676</v>
      </c>
      <c r="DT46" s="60">
        <f ca="1">AVERAGE(OFFSET($DS$3,0,0,'Données projet'!$E$14+1,1))-AVERAGE(OFFSET($H$3,0,0,'Données projet'!$E$14+1,1))</f>
        <v>312.59632808777332</v>
      </c>
      <c r="DU46" s="60">
        <f t="shared" si="44"/>
        <v>302.59481222418219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</v>
      </c>
      <c r="EE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15.666666666666666</v>
      </c>
      <c r="EJ46" s="13">
        <f>IF('Données projet'!$A$192&gt;35,EJ45+EI46-ER45,IF(A46&lt;'Données projet'!$A$192,$EG$205^A46,IF(A46='Données projet'!$A$192,'Données projet'!$B$192,EJ45+EI46-ER45)))</f>
        <v>161.66666666666657</v>
      </c>
      <c r="EK46" s="18">
        <f>EJ46*VLOOKUP('Données projet'!$B$15,Paramètres!$A$1:$I$89,3,0)*VLOOKUP('Données projet'!$B$15,Paramètres!$A$1:$I$89,5,0)</f>
        <v>138.70999999999995</v>
      </c>
      <c r="EL46" s="14">
        <f t="shared" si="45"/>
        <v>36.00132558429457</v>
      </c>
      <c r="EM46" s="22">
        <f t="shared" si="19"/>
        <v>304.2888920593129</v>
      </c>
      <c r="EN46" s="60">
        <f t="shared" si="20"/>
        <v>554.430073525745</v>
      </c>
      <c r="EO46" s="60">
        <f ca="1">AVERAGE(OFFSET($EN$3,0,0,'Données projet'!$E$15+1,1))-AVERAGE(OFFSET($H$3,0,0,'Données projet'!$E$15+1,1))</f>
        <v>478.11504516179713</v>
      </c>
      <c r="EP46" s="60">
        <f t="shared" si="46"/>
        <v>249.93713224442419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0</v>
      </c>
      <c r="EW46" s="23">
        <f>EXP(-LN(2)/25)*EW45+(1-EXP(-LN(2)/25))/(LN(2)/25)*Calculateur!ER46*Calculateur!ET46*VLOOKUP('Données projet'!$B$15,Paramètres!$A$1:$I$89,3,0)*0.475*44/12</f>
        <v>0</v>
      </c>
      <c r="EX46" s="23">
        <f>EXP(-LN(2)/2)*EX45+(1-EXP(-LN(2)/2))/(LN(2)/2)*ER46*EU46*VLOOKUP('Données projet'!$B$15,Paramètres!$A$1:$I$89,3,0)*0.475*44/12</f>
        <v>0</v>
      </c>
      <c r="EY46" s="24">
        <f t="shared" si="21"/>
        <v>0</v>
      </c>
      <c r="EZ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11.4</v>
      </c>
      <c r="FE46" s="13">
        <f>IF('Données projet'!$A$218&gt;35,FE45+FD46-FM45,IF(A46&lt;'Données projet'!$A$218,$FB$205^A46,IF(A46='Données projet'!$A$218,'Données projet'!$B$218,FE45+FD46-FM45)))</f>
        <v>209.20000000000005</v>
      </c>
      <c r="FF46" s="18">
        <f>FE46*VLOOKUP('Données projet'!$B$16,Paramètres!$A$1:$I$89,3,0)*VLOOKUP('Données projet'!$B$16,Paramètres!$A$1:$I$89,5,0)</f>
        <v>202.33824000000007</v>
      </c>
      <c r="FG46" s="14">
        <f t="shared" si="47"/>
        <v>50.257693963357795</v>
      </c>
      <c r="FH46" s="22">
        <f t="shared" si="22"/>
        <v>439.93791831951495</v>
      </c>
      <c r="FI46" s="60">
        <f t="shared" si="23"/>
        <v>690.07909978594694</v>
      </c>
      <c r="FJ46" s="60">
        <f ca="1">AVERAGE(OFFSET($FI$3,0,0,'Données projet'!$E$16+1,1))-AVERAGE(OFFSET($H$3,0,0,'Données projet'!$E$16+1,1))</f>
        <v>603.52431522262032</v>
      </c>
      <c r="FK46" s="60">
        <f t="shared" si="48"/>
        <v>313.56299786481338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>
        <f>EXP(-LN(2)/35)*FQ45+(1-EXP(-LN(2)/35))/(LN(2)/35)*FM46*FN46*VLOOKUP('Données projet'!$B$16,Paramètres!$A$1:$I$89,3,0)*0.475*44/12</f>
        <v>0</v>
      </c>
      <c r="FR46" s="23">
        <f>EXP(-LN(2)/25)*FR45+(1-EXP(-LN(2)/25))/(LN(2)/25)*Calculateur!FM46*Calculateur!FO46*VLOOKUP('Données projet'!$B$16,Paramètres!$A$1:$I$89,3,0)*0.475*44/12</f>
        <v>0</v>
      </c>
      <c r="FS46" s="23">
        <f>EXP(-LN(2)/2)*FS45+(1-EXP(-LN(2)/2))/(LN(2)/2)*FM46*FP46*VLOOKUP('Données projet'!$B$16,Paramètres!$A$1:$I$89,3,0)*0.475*44/12</f>
        <v>0</v>
      </c>
      <c r="FT46" s="24">
        <f t="shared" si="24"/>
        <v>0</v>
      </c>
      <c r="FU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7.5641025641025639</v>
      </c>
      <c r="FZ46" s="13">
        <f>IF('Données projet'!$A$244&gt;35,FZ45+FY46-GH45,IF(A46&lt;'Données projet'!$A$244,$FW$205^A46,IF(A46='Données projet'!$A$244,'Données projet'!$B$244,FZ45+FY46-GH45)))</f>
        <v>211.15384615384625</v>
      </c>
      <c r="GA46" s="18">
        <f>FZ46*VLOOKUP('Données projet'!$B$17,Paramètres!$A$1:$I$89,3,0)*VLOOKUP('Données projet'!$B$17,Paramètres!$A$1:$I$89,5,0)</f>
        <v>141.64200000000005</v>
      </c>
      <c r="GB46" s="14">
        <f t="shared" si="49"/>
        <v>36.672908983761502</v>
      </c>
      <c r="GC46" s="22">
        <f t="shared" si="25"/>
        <v>310.56513314671798</v>
      </c>
      <c r="GD46" s="60">
        <f t="shared" si="26"/>
        <v>560.70631461314997</v>
      </c>
      <c r="GE46" s="60">
        <f ca="1">AVERAGE(OFFSET($GD$3,0,0,'Données projet'!$E$17+1,1))-AVERAGE(OFFSET($H$3,0,0,'Données projet'!$E$17+1,1))</f>
        <v>396.0878652679051</v>
      </c>
      <c r="GF46" s="60">
        <f t="shared" si="50"/>
        <v>327.26339199235406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>
        <f>EXP(-LN(2)/35)*GL45+(1-EXP(-LN(2)/35))/(LN(2)/35)*GH46*GI46*VLOOKUP('Données projet'!$B$17,Paramètres!$A$1:$I$89,3,0)*0.475*44/12</f>
        <v>0</v>
      </c>
      <c r="GM46" s="23">
        <f>EXP(-LN(2)/25)*GM45+(1-EXP(-LN(2)/25))/(LN(2)/25)*Calculateur!GH46*Calculateur!GJ46*VLOOKUP('Données projet'!$B$17,Paramètres!$A$1:$I$89,3,0)*0.475*44/12</f>
        <v>0</v>
      </c>
      <c r="GN46" s="23">
        <f>EXP(-LN(2)/2)*GN45+(1-EXP(-LN(2)/2))/(LN(2)/2)*GH46*GK46*VLOOKUP('Données projet'!$B$17,Paramètres!$A$1:$I$89,3,0)*0.475*44/12</f>
        <v>0</v>
      </c>
      <c r="GO46" s="23">
        <f t="shared" si="27"/>
        <v>0</v>
      </c>
      <c r="GP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7.6</v>
      </c>
      <c r="GU46" s="13">
        <f>IF('Données projet'!$A$270&gt;35,GU45+GT46-HC45,IF(A46&lt;'Données projet'!$A$270,$GR$205^A46,IF(A46='Données projet'!$A$270,'Données projet'!$B$270,GU45+GT46-HC45)))</f>
        <v>174.8</v>
      </c>
      <c r="GV46" s="18">
        <f>GU46*VLOOKUP('Données projet'!$B$18,Paramètres!$A$1:$I$89,3,0)*VLOOKUP('Données projet'!$B$18,Paramètres!$A$1:$I$89,5,0)</f>
        <v>141.79776000000004</v>
      </c>
      <c r="GW46" s="14">
        <f t="shared" si="51"/>
        <v>36.708540735279854</v>
      </c>
      <c r="GX46" s="22">
        <f t="shared" si="28"/>
        <v>310.89847378061245</v>
      </c>
      <c r="GY46" s="60">
        <f t="shared" si="29"/>
        <v>561.03965524704449</v>
      </c>
      <c r="GZ46" s="60">
        <f ca="1">AVERAGE(OFFSET($GY$3,0,0,'Données projet'!$E$18+1,1))-AVERAGE(OFFSET($H$3,0,0,'Données projet'!$E$18+1,1))</f>
        <v>272.69564942740931</v>
      </c>
      <c r="HA46" s="60">
        <f t="shared" si="52"/>
        <v>316.57989180609252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>
        <f>EXP(-LN(2)/35)*HG45+(1-EXP(-LN(2)/35))/(LN(2)/35)*HC46*HD46*VLOOKUP('Données projet'!$B$18,Paramètres!$A$1:$I$89,3,0)*0.475*44/12</f>
        <v>0</v>
      </c>
      <c r="HH46" s="23">
        <f>EXP(-LN(2)/25)*HH45+(1-EXP(-LN(2)/25))/(LN(2)/25)*Calculateur!HC46*Calculateur!HE46*VLOOKUP('Données projet'!$B$18,Paramètres!$A$1:$I$89,3,0)*0.475*44/12</f>
        <v>0</v>
      </c>
      <c r="HI46" s="23">
        <f>EXP(-LN(2)/2)*HI45+(1-EXP(-LN(2)/2))/(LN(2)/2)*HC46*HF46*VLOOKUP('Données projet'!$B$18,Paramètres!$A$1:$I$89,3,0)*0.475*44/12</f>
        <v>0</v>
      </c>
      <c r="HJ46" s="24">
        <f t="shared" si="30"/>
        <v>0</v>
      </c>
    </row>
    <row r="47" spans="1:218" s="5" customFormat="1" x14ac:dyDescent="0.25">
      <c r="A47" s="11">
        <f t="shared" si="31"/>
        <v>44</v>
      </c>
      <c r="B47" s="75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8">
        <f t="shared" si="1"/>
        <v>183.33333333333334</v>
      </c>
      <c r="I47" s="7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11.4</v>
      </c>
      <c r="N47" s="14">
        <f>IF('Données projet'!$A$36&gt;35,N46+M47-V46,IF(A47&lt;'Données projet'!$A$36,$K$205^A47,IF(A47='Données projet'!$A$36,'Données projet'!$B$36,N46+M47-V46)))</f>
        <v>220.60000000000005</v>
      </c>
      <c r="O47" s="14">
        <f>N47*VLOOKUP('Données projet'!$B$9,Paramètres!$A$1:$I$89,3,0)*VLOOKUP('Données projet'!$B$9,Paramètres!$A$1:$I$89,5,0)</f>
        <v>199.59888000000004</v>
      </c>
      <c r="P47" s="14">
        <f t="shared" si="33"/>
        <v>49.656003392529037</v>
      </c>
      <c r="Q47" s="22">
        <f t="shared" si="53"/>
        <v>434.11892190865478</v>
      </c>
      <c r="R47" s="60">
        <f t="shared" si="0"/>
        <v>685.00939064679221</v>
      </c>
      <c r="S47" s="60">
        <f ca="1">AVERAGE(OFFSET($R$3,0,0,'Données projet'!$E$9+1,1))-AVERAGE(OFFSET($H$3,0,0,'Données projet'!$E$9+1,1))</f>
        <v>570.08763950759544</v>
      </c>
      <c r="T47" s="60">
        <f t="shared" si="34"/>
        <v>297.32483725004136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9.8199999999999932</v>
      </c>
      <c r="AI47" s="14">
        <f>IF('Données projet'!$A$62&gt;35,AI46+AH47-AQ46,IF(A47&lt;'Données projet'!$A$62,$AF$205^A47,IF(A47='Données projet'!$A$62,'Données projet'!$B$62,AI46+AH47-AQ46)))</f>
        <v>232.37999999999988</v>
      </c>
      <c r="AJ47" s="14">
        <f>AI47*VLOOKUP('Données projet'!$B$10,Paramètres!$A$1:$I$89,3,0)*VLOOKUP('Données projet'!$B$10,Paramètres!$A$1:$I$89,5,0)</f>
        <v>184.88152799999992</v>
      </c>
      <c r="AK47" s="14">
        <f t="shared" si="35"/>
        <v>46.406539086581006</v>
      </c>
      <c r="AL47" s="22">
        <f t="shared" si="4"/>
        <v>402.82671684246179</v>
      </c>
      <c r="AM47" s="60">
        <f t="shared" si="5"/>
        <v>653.71718558059922</v>
      </c>
      <c r="AN47" s="60">
        <f ca="1">AVERAGE(OFFSET($AM$3,0,0,'Données projet'!$E$10+1,1))-AVERAGE(OFFSET($H$3,0,0,'Données projet'!$E$10+1,1))</f>
        <v>394.49874384716014</v>
      </c>
      <c r="AO47" s="60">
        <f t="shared" si="36"/>
        <v>423.72519584013378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8.2000000000000064</v>
      </c>
      <c r="BD47" s="13">
        <f>IF('Données projet'!$A$88&gt;35,BD46+BC47-BL46,IF(A47&lt;'Données projet'!$A$88,$BA$205^A47,IF(A47='Données projet'!$A$88,'Données projet'!$B$88,BD46+BC47-BL46)))</f>
        <v>196.40000000000006</v>
      </c>
      <c r="BE47" s="14">
        <f>BD47*VLOOKUP('Données projet'!$B$11,Paramètres!$A$1:$I$89,3,0)*VLOOKUP('Données projet'!$B$11,Paramètres!$A$1:$I$89,5,0)</f>
        <v>171.57504000000009</v>
      </c>
      <c r="BF47" s="14">
        <f t="shared" si="37"/>
        <v>43.44259058996105</v>
      </c>
      <c r="BG47" s="22">
        <f t="shared" si="7"/>
        <v>374.48903994418225</v>
      </c>
      <c r="BH47" s="60">
        <f t="shared" si="8"/>
        <v>625.37950868231974</v>
      </c>
      <c r="BI47" s="60">
        <f ca="1">AVERAGE(OFFSET($BH$3,0,0,'Données projet'!$E$11+1,1))-AVERAGE(OFFSET($H$3,0,0,'Données projet'!$E$11+1,1))</f>
        <v>363.28611056308665</v>
      </c>
      <c r="BJ47" s="60">
        <f t="shared" si="38"/>
        <v>389.43647559455974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6.2820512820512819</v>
      </c>
      <c r="BY47" s="13">
        <f>IF('Données projet'!$A$114&gt;35,BY46+BX47-CG46,IF(A47&lt;'Données projet'!$A$114,$BV$205^A47,IF(A47='Données projet'!$A$114,'Données projet'!$B$114,BY46+BX47-CG46)))</f>
        <v>185.38461538461533</v>
      </c>
      <c r="BZ47" s="14">
        <f>BY47*VLOOKUP('Données projet'!$B$12,Paramètres!$A$1:$I$89,3,0)*VLOOKUP('Données projet'!$B$12,Paramètres!$A$1:$I$89,5,0)</f>
        <v>176.41199999999995</v>
      </c>
      <c r="CA47" s="14">
        <f t="shared" si="39"/>
        <v>44.522989246723967</v>
      </c>
      <c r="CB47" s="22">
        <f t="shared" si="10"/>
        <v>384.79510627137751</v>
      </c>
      <c r="CC47" s="60">
        <f t="shared" si="11"/>
        <v>635.68557500951488</v>
      </c>
      <c r="CD47" s="60">
        <f ca="1">AVERAGE(OFFSET($CC$3,0,0,'Données projet'!$E$12+1,1))-AVERAGE(OFFSET($H$3,0,0,'Données projet'!$E$12+1,1))</f>
        <v>441.15969139782891</v>
      </c>
      <c r="CE47" s="60">
        <f t="shared" si="40"/>
        <v>315.06466790224783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9.8199999999999932</v>
      </c>
      <c r="CT47" s="13">
        <f>IF('Données projet'!$A$140&gt;35,CT46+CS47-DB46,IF(A47&lt;'Données projet'!$A$140,$CQ$205^A47,IF(A47='Données projet'!$A$140,'Données projet'!$B$140,CT46+CS47-DB46)))</f>
        <v>232.37999999999988</v>
      </c>
      <c r="CU47" s="18">
        <f>CT47*VLOOKUP('Données projet'!$B$13,Paramètres!$A$1:$I$89,3,0)*VLOOKUP('Données projet'!$B$13,Paramètres!$A$1:$I$89,5,0)</f>
        <v>170.3810159999999</v>
      </c>
      <c r="CV47" s="14">
        <f t="shared" si="41"/>
        <v>43.17534737258952</v>
      </c>
      <c r="CW47" s="22">
        <f t="shared" si="13"/>
        <v>371.94399954059327</v>
      </c>
      <c r="CX47" s="60">
        <f t="shared" si="14"/>
        <v>622.8344682787307</v>
      </c>
      <c r="CY47" s="60">
        <f ca="1">AVERAGE(OFFSET($CX$3,0,0,'Données projet'!$E$13+1,1))-AVERAGE(OFFSET($H$3,0,0,'Données projet'!$E$13+1,1))</f>
        <v>368.35775920359396</v>
      </c>
      <c r="CZ47" s="60">
        <f t="shared" si="42"/>
        <v>395.5218438652638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>
        <f>VLOOKUP(A47,'Données projet'!$A$165:$I$185,2,0)</f>
        <v>230</v>
      </c>
      <c r="DM47" s="13">
        <f>VLOOKUP(A47,'Données projet'!$A$165:$I$185,9,0)</f>
        <v>11.142857142857142</v>
      </c>
      <c r="DN47" s="13">
        <f t="array" ref="DN47">INDEX(DM:DM,MIN(IF(ISNUMBER(DM47:DM243),ROW(DM47:DM243),"")))</f>
        <v>11.142857142857142</v>
      </c>
      <c r="DO47" s="13">
        <f>IF('Données projet'!$A$166&gt;35,DO46+DN47-DW46,IF(A47&lt;'Données projet'!$A$166,$DL$205^A47,IF(A47='Données projet'!$A$166,'Données projet'!$B$166,DO46+DN47-DW46)))</f>
        <v>229.99999999999994</v>
      </c>
      <c r="DP47" s="18">
        <f>DO47*VLOOKUP('Données projet'!$B$14,Paramètres!$A$1:$I$89,3,0)*VLOOKUP('Données projet'!$B$14,Paramètres!$A$1:$I$89,5,0)</f>
        <v>179.39999999999995</v>
      </c>
      <c r="DQ47" s="14">
        <f t="shared" si="43"/>
        <v>45.188671291872232</v>
      </c>
      <c r="DR47" s="22">
        <f t="shared" si="16"/>
        <v>391.15860250001066</v>
      </c>
      <c r="DS47" s="60">
        <f t="shared" si="17"/>
        <v>642.04907123814814</v>
      </c>
      <c r="DT47" s="60">
        <f ca="1">AVERAGE(OFFSET($DS$3,0,0,'Données projet'!$E$14+1,1))-AVERAGE(OFFSET($H$3,0,0,'Données projet'!$E$14+1,1))</f>
        <v>312.59632808777332</v>
      </c>
      <c r="DU47" s="60">
        <f t="shared" si="44"/>
        <v>302.59481222418219</v>
      </c>
      <c r="DV47" s="16">
        <f>IF(ISNA(VLOOKUP(A47,'Données projet'!$A$165:$I$185,3,0)),0,VLOOKUP(A47,'Données projet'!$A$165:$I$185,3,0))</f>
        <v>4</v>
      </c>
      <c r="DW47" s="16">
        <f>IF(ISNA(VLOOKUP(A47,'Données projet'!$A$165:$I$185,4,0)),0,VLOOKUP(A47,'Données projet'!$A$165:$I$185,4,0))</f>
        <v>43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</v>
      </c>
      <c r="EE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15.666666666666666</v>
      </c>
      <c r="EJ47" s="13">
        <f>IF('Données projet'!$A$192&gt;35,EJ46+EI47-ER46,IF(A47&lt;'Données projet'!$A$192,$EG$205^A47,IF(A47='Données projet'!$A$192,'Données projet'!$B$192,EJ46+EI47-ER46)))</f>
        <v>177.33333333333323</v>
      </c>
      <c r="EK47" s="18">
        <f>EJ47*VLOOKUP('Données projet'!$B$15,Paramètres!$A$1:$I$89,3,0)*VLOOKUP('Données projet'!$B$15,Paramètres!$A$1:$I$89,5,0)</f>
        <v>152.15199999999993</v>
      </c>
      <c r="EL47" s="14">
        <f t="shared" si="45"/>
        <v>39.067229161930634</v>
      </c>
      <c r="EM47" s="22">
        <f t="shared" si="19"/>
        <v>333.04015745702907</v>
      </c>
      <c r="EN47" s="60">
        <f t="shared" si="20"/>
        <v>583.9306261951665</v>
      </c>
      <c r="EO47" s="60">
        <f ca="1">AVERAGE(OFFSET($EN$3,0,0,'Données projet'!$E$15+1,1))-AVERAGE(OFFSET($H$3,0,0,'Données projet'!$E$15+1,1))</f>
        <v>478.11504516179713</v>
      </c>
      <c r="EP47" s="60">
        <f t="shared" si="46"/>
        <v>249.93713224442419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0</v>
      </c>
      <c r="EW47" s="23">
        <f>EXP(-LN(2)/25)*EW46+(1-EXP(-LN(2)/25))/(LN(2)/25)*Calculateur!ER47*Calculateur!ET47*VLOOKUP('Données projet'!$B$15,Paramètres!$A$1:$I$89,3,0)*0.475*44/12</f>
        <v>0</v>
      </c>
      <c r="EX47" s="23">
        <f>EXP(-LN(2)/2)*EX46+(1-EXP(-LN(2)/2))/(LN(2)/2)*ER47*EU47*VLOOKUP('Données projet'!$B$15,Paramètres!$A$1:$I$89,3,0)*0.475*44/12</f>
        <v>0</v>
      </c>
      <c r="EY47" s="24">
        <f t="shared" si="21"/>
        <v>0</v>
      </c>
      <c r="EZ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11.4</v>
      </c>
      <c r="FE47" s="13">
        <f>IF('Données projet'!$A$218&gt;35,FE46+FD47-FM46,IF(A47&lt;'Données projet'!$A$218,$FB$205^A47,IF(A47='Données projet'!$A$218,'Données projet'!$B$218,FE46+FD47-FM46)))</f>
        <v>220.60000000000005</v>
      </c>
      <c r="FF47" s="18">
        <f>FE47*VLOOKUP('Données projet'!$B$16,Paramètres!$A$1:$I$89,3,0)*VLOOKUP('Données projet'!$B$16,Paramètres!$A$1:$I$89,5,0)</f>
        <v>213.36432000000005</v>
      </c>
      <c r="FG47" s="14">
        <f t="shared" si="47"/>
        <v>52.670092827991724</v>
      </c>
      <c r="FH47" s="22">
        <f t="shared" si="22"/>
        <v>463.34326900875232</v>
      </c>
      <c r="FI47" s="60">
        <f t="shared" si="23"/>
        <v>714.2337377468898</v>
      </c>
      <c r="FJ47" s="60">
        <f ca="1">AVERAGE(OFFSET($FI$3,0,0,'Données projet'!$E$16+1,1))-AVERAGE(OFFSET($H$3,0,0,'Données projet'!$E$16+1,1))</f>
        <v>603.52431522262032</v>
      </c>
      <c r="FK47" s="60">
        <f t="shared" si="48"/>
        <v>313.56299786481338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>
        <f>EXP(-LN(2)/35)*FQ46+(1-EXP(-LN(2)/35))/(LN(2)/35)*FM47*FN47*VLOOKUP('Données projet'!$B$16,Paramètres!$A$1:$I$89,3,0)*0.475*44/12</f>
        <v>0</v>
      </c>
      <c r="FR47" s="23">
        <f>EXP(-LN(2)/25)*FR46+(1-EXP(-LN(2)/25))/(LN(2)/25)*Calculateur!FM47*Calculateur!FO47*VLOOKUP('Données projet'!$B$16,Paramètres!$A$1:$I$89,3,0)*0.475*44/12</f>
        <v>0</v>
      </c>
      <c r="FS47" s="23">
        <f>EXP(-LN(2)/2)*FS46+(1-EXP(-LN(2)/2))/(LN(2)/2)*FM47*FP47*VLOOKUP('Données projet'!$B$16,Paramètres!$A$1:$I$89,3,0)*0.475*44/12</f>
        <v>0</v>
      </c>
      <c r="FT47" s="24">
        <f t="shared" si="24"/>
        <v>0</v>
      </c>
      <c r="FU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7.5641025641025639</v>
      </c>
      <c r="FZ47" s="13">
        <f>IF('Données projet'!$A$244&gt;35,FZ46+FY47-GH46,IF(A47&lt;'Données projet'!$A$244,$FW$205^A47,IF(A47='Données projet'!$A$244,'Données projet'!$B$244,FZ46+FY47-GH46)))</f>
        <v>218.71794871794881</v>
      </c>
      <c r="GA47" s="18">
        <f>FZ47*VLOOKUP('Données projet'!$B$17,Paramètres!$A$1:$I$89,3,0)*VLOOKUP('Données projet'!$B$17,Paramètres!$A$1:$I$89,5,0)</f>
        <v>146.71600000000007</v>
      </c>
      <c r="GB47" s="14">
        <f t="shared" si="49"/>
        <v>37.831326067731702</v>
      </c>
      <c r="GC47" s="22">
        <f t="shared" si="25"/>
        <v>321.41992623463284</v>
      </c>
      <c r="GD47" s="60">
        <f t="shared" si="26"/>
        <v>572.31039497277027</v>
      </c>
      <c r="GE47" s="60">
        <f ca="1">AVERAGE(OFFSET($GD$3,0,0,'Données projet'!$E$17+1,1))-AVERAGE(OFFSET($H$3,0,0,'Données projet'!$E$17+1,1))</f>
        <v>396.0878652679051</v>
      </c>
      <c r="GF47" s="60">
        <f t="shared" si="50"/>
        <v>327.26339199235406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>
        <f>EXP(-LN(2)/35)*GL46+(1-EXP(-LN(2)/35))/(LN(2)/35)*GH47*GI47*VLOOKUP('Données projet'!$B$17,Paramètres!$A$1:$I$89,3,0)*0.475*44/12</f>
        <v>0</v>
      </c>
      <c r="GM47" s="23">
        <f>EXP(-LN(2)/25)*GM46+(1-EXP(-LN(2)/25))/(LN(2)/25)*Calculateur!GH47*Calculateur!GJ47*VLOOKUP('Données projet'!$B$17,Paramètres!$A$1:$I$89,3,0)*0.475*44/12</f>
        <v>0</v>
      </c>
      <c r="GN47" s="23">
        <f>EXP(-LN(2)/2)*GN46+(1-EXP(-LN(2)/2))/(LN(2)/2)*GH47*GK47*VLOOKUP('Données projet'!$B$17,Paramètres!$A$1:$I$89,3,0)*0.475*44/12</f>
        <v>0</v>
      </c>
      <c r="GO47" s="23">
        <f t="shared" si="27"/>
        <v>0</v>
      </c>
      <c r="GP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7.6</v>
      </c>
      <c r="GU47" s="13">
        <f>IF('Données projet'!$A$270&gt;35,GU46+GT47-HC46,IF(A47&lt;'Données projet'!$A$270,$GR$205^A47,IF(A47='Données projet'!$A$270,'Données projet'!$B$270,GU46+GT47-HC46)))</f>
        <v>182.4</v>
      </c>
      <c r="GV47" s="18">
        <f>GU47*VLOOKUP('Données projet'!$B$18,Paramètres!$A$1:$I$89,3,0)*VLOOKUP('Données projet'!$B$18,Paramètres!$A$1:$I$89,5,0)</f>
        <v>147.96288000000001</v>
      </c>
      <c r="GW47" s="14">
        <f t="shared" si="51"/>
        <v>38.115275017059226</v>
      </c>
      <c r="GX47" s="22">
        <f t="shared" si="28"/>
        <v>324.0861199880448</v>
      </c>
      <c r="GY47" s="60">
        <f t="shared" si="29"/>
        <v>574.97658872618217</v>
      </c>
      <c r="GZ47" s="60">
        <f ca="1">AVERAGE(OFFSET($GY$3,0,0,'Données projet'!$E$18+1,1))-AVERAGE(OFFSET($H$3,0,0,'Données projet'!$E$18+1,1))</f>
        <v>272.69564942740931</v>
      </c>
      <c r="HA47" s="60">
        <f t="shared" si="52"/>
        <v>316.57989180609252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>
        <f>EXP(-LN(2)/35)*HG46+(1-EXP(-LN(2)/35))/(LN(2)/35)*HC47*HD47*VLOOKUP('Données projet'!$B$18,Paramètres!$A$1:$I$89,3,0)*0.475*44/12</f>
        <v>0</v>
      </c>
      <c r="HH47" s="23">
        <f>EXP(-LN(2)/25)*HH46+(1-EXP(-LN(2)/25))/(LN(2)/25)*Calculateur!HC47*Calculateur!HE47*VLOOKUP('Données projet'!$B$18,Paramètres!$A$1:$I$89,3,0)*0.475*44/12</f>
        <v>0</v>
      </c>
      <c r="HI47" s="23">
        <f>EXP(-LN(2)/2)*HI46+(1-EXP(-LN(2)/2))/(LN(2)/2)*HC47*HF47*VLOOKUP('Données projet'!$B$18,Paramètres!$A$1:$I$89,3,0)*0.475*44/12</f>
        <v>0</v>
      </c>
      <c r="HJ47" s="24">
        <f t="shared" si="30"/>
        <v>0</v>
      </c>
    </row>
    <row r="48" spans="1:218" s="5" customFormat="1" x14ac:dyDescent="0.25">
      <c r="A48" s="11">
        <f t="shared" si="31"/>
        <v>45</v>
      </c>
      <c r="B48" s="75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8">
        <f t="shared" si="1"/>
        <v>183.33333333333334</v>
      </c>
      <c r="I48" s="7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232</v>
      </c>
      <c r="L48" s="13">
        <f>VLOOKUP(A48,'Données projet'!$A$35:$I$55,9,0)</f>
        <v>11.4</v>
      </c>
      <c r="M48" s="13">
        <f t="array" ref="M48">INDEX(L:L,MIN(IF(ISNUMBER(L48:L244),ROW(L48:L244),"")))</f>
        <v>11.4</v>
      </c>
      <c r="N48" s="14">
        <f>IF('Données projet'!$A$36&gt;35,N47+M48-V47,IF(A48&lt;'Données projet'!$A$36,$K$205^A48,IF(A48='Données projet'!$A$36,'Données projet'!$B$36,N47+M48-V47)))</f>
        <v>232.00000000000006</v>
      </c>
      <c r="O48" s="14">
        <f>N48*VLOOKUP('Données projet'!$B$9,Paramètres!$A$1:$I$89,3,0)*VLOOKUP('Données projet'!$B$9,Paramètres!$A$1:$I$89,5,0)</f>
        <v>209.91360000000006</v>
      </c>
      <c r="P48" s="14">
        <f t="shared" si="33"/>
        <v>51.916704672341361</v>
      </c>
      <c r="Q48" s="22">
        <f t="shared" si="53"/>
        <v>456.02111397099458</v>
      </c>
      <c r="R48" s="60">
        <f t="shared" si="0"/>
        <v>707.64787152182873</v>
      </c>
      <c r="S48" s="60">
        <f ca="1">AVERAGE(OFFSET($R$3,0,0,'Données projet'!$E$9+1,1))-AVERAGE(OFFSET($H$3,0,0,'Données projet'!$E$9+1,1))</f>
        <v>570.08763950759544</v>
      </c>
      <c r="T48" s="60">
        <f t="shared" si="34"/>
        <v>297.32483725004136</v>
      </c>
      <c r="U48" s="16">
        <f>IF(ISNA(VLOOKUP(A48,'Données projet'!$A$35:$I$55,3,0)),0,VLOOKUP(A48,'Données projet'!$A$35:$I$55,3,0))</f>
        <v>3</v>
      </c>
      <c r="V48" s="16">
        <f>IF(ISNA(VLOOKUP(A48,'Données projet'!$A$35:$I$55,4,0)),0,VLOOKUP(A48,'Données projet'!$A$35:$I$55,4,0))</f>
        <v>56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242.2</v>
      </c>
      <c r="AG48" s="13">
        <f>VLOOKUP(A48,'Données projet'!$A$61:$I$81,9,0)</f>
        <v>9.8199999999999932</v>
      </c>
      <c r="AH48" s="13">
        <f t="array" ref="AH48">INDEX(AG:AG,MIN(IF(ISNUMBER(AG48:AG244),ROW(AG48:AG244),"")))</f>
        <v>9.8199999999999932</v>
      </c>
      <c r="AI48" s="14">
        <f>IF('Données projet'!$A$62&gt;35,AI47+AH48-AQ47,IF(A48&lt;'Données projet'!$A$62,$AF$205^A48,IF(A48='Données projet'!$A$62,'Données projet'!$B$62,AI47+AH48-AQ47)))</f>
        <v>242.19999999999987</v>
      </c>
      <c r="AJ48" s="14">
        <f>AI48*VLOOKUP('Données projet'!$B$10,Paramètres!$A$1:$I$89,3,0)*VLOOKUP('Données projet'!$B$10,Paramètres!$A$1:$I$89,5,0)</f>
        <v>192.69431999999989</v>
      </c>
      <c r="AK48" s="14">
        <f t="shared" si="35"/>
        <v>48.13513970479886</v>
      </c>
      <c r="AL48" s="22">
        <f t="shared" si="4"/>
        <v>419.44464231919113</v>
      </c>
      <c r="AM48" s="60">
        <f t="shared" si="5"/>
        <v>671.07139987002529</v>
      </c>
      <c r="AN48" s="60">
        <f ca="1">AVERAGE(OFFSET($AM$3,0,0,'Données projet'!$E$10+1,1))-AVERAGE(OFFSET($H$3,0,0,'Données projet'!$E$10+1,1))</f>
        <v>394.49874384716014</v>
      </c>
      <c r="AO48" s="60">
        <f t="shared" si="36"/>
        <v>423.72519584013378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204.60000000000002</v>
      </c>
      <c r="BB48" s="13">
        <f>VLOOKUP(A48,'Données projet'!$A$87:$I$107,9,0)</f>
        <v>8.2000000000000064</v>
      </c>
      <c r="BC48" s="13">
        <f t="array" ref="BC48">INDEX(BB:BB,MIN(IF(ISNUMBER(BB48:BB244),ROW(BB48:BB244),"")))</f>
        <v>8.2000000000000064</v>
      </c>
      <c r="BD48" s="13">
        <f>IF('Données projet'!$A$88&gt;35,BD47+BC48-BL47,IF(A48&lt;'Données projet'!$A$88,$BA$205^A48,IF(A48='Données projet'!$A$88,'Données projet'!$B$88,BD47+BC48-BL47)))</f>
        <v>204.60000000000008</v>
      </c>
      <c r="BE48" s="14">
        <f>BD48*VLOOKUP('Données projet'!$B$11,Paramètres!$A$1:$I$89,3,0)*VLOOKUP('Données projet'!$B$11,Paramètres!$A$1:$I$89,5,0)</f>
        <v>178.73856000000009</v>
      </c>
      <c r="BF48" s="14">
        <f t="shared" si="37"/>
        <v>45.041424241265368</v>
      </c>
      <c r="BG48" s="22">
        <f t="shared" si="7"/>
        <v>389.75013922020395</v>
      </c>
      <c r="BH48" s="60">
        <f t="shared" si="8"/>
        <v>641.3768967710381</v>
      </c>
      <c r="BI48" s="60">
        <f ca="1">AVERAGE(OFFSET($BH$3,0,0,'Données projet'!$E$11+1,1))-AVERAGE(OFFSET($H$3,0,0,'Données projet'!$E$11+1,1))</f>
        <v>363.28611056308665</v>
      </c>
      <c r="BJ48" s="60">
        <f t="shared" si="38"/>
        <v>389.43647559455974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191.66666666666666</v>
      </c>
      <c r="BW48" s="13">
        <f>VLOOKUP(A48,'Données projet'!$A$113:$I$133,9,0)</f>
        <v>6.2820512820512819</v>
      </c>
      <c r="BX48" s="13">
        <f t="array" ref="BX48">INDEX(BW:BW,MIN(IF(ISNUMBER(BW48:BW244),ROW(BW48:BW244),"")))</f>
        <v>6.2820512820512819</v>
      </c>
      <c r="BY48" s="13">
        <f>IF('Données projet'!$A$114&gt;35,BY47+BX48-CG47,IF(A48&lt;'Données projet'!$A$114,$BV$205^A48,IF(A48='Données projet'!$A$114,'Données projet'!$B$114,BY47+BX48-CG47)))</f>
        <v>191.6666666666666</v>
      </c>
      <c r="BZ48" s="14">
        <f>BY48*VLOOKUP('Données projet'!$B$12,Paramètres!$A$1:$I$89,3,0)*VLOOKUP('Données projet'!$B$12,Paramètres!$A$1:$I$89,5,0)</f>
        <v>182.38999999999996</v>
      </c>
      <c r="CA48" s="14">
        <f t="shared" si="39"/>
        <v>45.853508245632504</v>
      </c>
      <c r="CB48" s="22">
        <f t="shared" si="10"/>
        <v>397.52411019447646</v>
      </c>
      <c r="CC48" s="60">
        <f t="shared" si="11"/>
        <v>649.15086774531062</v>
      </c>
      <c r="CD48" s="60">
        <f ca="1">AVERAGE(OFFSET($CC$3,0,0,'Données projet'!$E$12+1,1))-AVERAGE(OFFSET($H$3,0,0,'Données projet'!$E$12+1,1))</f>
        <v>441.15969139782891</v>
      </c>
      <c r="CE48" s="60">
        <f t="shared" si="40"/>
        <v>315.06466790224783</v>
      </c>
      <c r="CF48" s="16">
        <f>IF(ISNA(VLOOKUP(A48,'Données projet'!$A$113:$I$133,3,0)),0,VLOOKUP(A48,'Données projet'!$A$113:$I$133,3,0))</f>
        <v>3</v>
      </c>
      <c r="CG48" s="16">
        <f>IF(ISNA(VLOOKUP(A48,'Données projet'!$A$113:$I$133,4,0)),0,VLOOKUP(A48,'Données projet'!$A$113:$I$133,4,0))</f>
        <v>34.615384615384613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242.2</v>
      </c>
      <c r="CR48" s="13">
        <f>VLOOKUP(A48,'Données projet'!$A$139:$I$159,9,0)</f>
        <v>9.8199999999999932</v>
      </c>
      <c r="CS48" s="13">
        <f t="array" ref="CS48">INDEX(CR:CR,MIN(IF(ISNUMBER(CR48:CR244),ROW(CR48:CR244),"")))</f>
        <v>9.8199999999999932</v>
      </c>
      <c r="CT48" s="13">
        <f>IF('Données projet'!$A$140&gt;35,CT47+CS48-DB47,IF(A48&lt;'Données projet'!$A$140,$CQ$205^A48,IF(A48='Données projet'!$A$140,'Données projet'!$B$140,CT47+CS48-DB47)))</f>
        <v>242.19999999999987</v>
      </c>
      <c r="CU48" s="18">
        <f>CT48*VLOOKUP('Données projet'!$B$13,Paramètres!$A$1:$I$89,3,0)*VLOOKUP('Données projet'!$B$13,Paramètres!$A$1:$I$89,5,0)</f>
        <v>177.58103999999989</v>
      </c>
      <c r="CV48" s="14">
        <f t="shared" si="41"/>
        <v>44.783589090869476</v>
      </c>
      <c r="CW48" s="22">
        <f t="shared" si="13"/>
        <v>387.28506233326408</v>
      </c>
      <c r="CX48" s="60">
        <f t="shared" si="14"/>
        <v>638.91181988409824</v>
      </c>
      <c r="CY48" s="60">
        <f ca="1">AVERAGE(OFFSET($CX$3,0,0,'Données projet'!$E$13+1,1))-AVERAGE(OFFSET($H$3,0,0,'Données projet'!$E$13+1,1))</f>
        <v>368.35775920359396</v>
      </c>
      <c r="CZ48" s="60">
        <f t="shared" si="42"/>
        <v>395.5218438652638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10.375</v>
      </c>
      <c r="DO48" s="13">
        <f>IF('Données projet'!$A$166&gt;35,DO47+DN48-DW47,IF(A48&lt;'Données projet'!$A$166,$DL$205^A48,IF(A48='Données projet'!$A$166,'Données projet'!$B$166,DO47+DN48-DW47)))</f>
        <v>197.37499999999994</v>
      </c>
      <c r="DP48" s="18">
        <f>DO48*VLOOKUP('Données projet'!$B$14,Paramètres!$A$1:$I$89,3,0)*VLOOKUP('Données projet'!$B$14,Paramètres!$A$1:$I$89,5,0)</f>
        <v>153.95249999999996</v>
      </c>
      <c r="DQ48" s="14">
        <f t="shared" si="43"/>
        <v>39.475441267837397</v>
      </c>
      <c r="DR48" s="22">
        <f t="shared" si="16"/>
        <v>336.88699770815003</v>
      </c>
      <c r="DS48" s="60">
        <f t="shared" si="17"/>
        <v>588.51375525898413</v>
      </c>
      <c r="DT48" s="60">
        <f ca="1">AVERAGE(OFFSET($DS$3,0,0,'Données projet'!$E$14+1,1))-AVERAGE(OFFSET($H$3,0,0,'Données projet'!$E$14+1,1))</f>
        <v>312.59632808777332</v>
      </c>
      <c r="DU48" s="60">
        <f t="shared" si="44"/>
        <v>302.59481222418219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0</v>
      </c>
      <c r="EE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15.666666666666666</v>
      </c>
      <c r="EJ48" s="13">
        <f>IF('Données projet'!$A$192&gt;35,EJ47+EI48-ER47,IF(A48&lt;'Données projet'!$A$192,$EG$205^A48,IF(A48='Données projet'!$A$192,'Données projet'!$B$192,EJ47+EI48-ER47)))</f>
        <v>192.99999999999989</v>
      </c>
      <c r="EK48" s="18">
        <f>EJ48*VLOOKUP('Données projet'!$B$15,Paramètres!$A$1:$I$89,3,0)*VLOOKUP('Données projet'!$B$15,Paramètres!$A$1:$I$89,5,0)</f>
        <v>165.59399999999994</v>
      </c>
      <c r="EL48" s="14">
        <f t="shared" si="45"/>
        <v>42.101723105196754</v>
      </c>
      <c r="EM48" s="22">
        <f t="shared" si="19"/>
        <v>361.73671774155088</v>
      </c>
      <c r="EN48" s="60">
        <f t="shared" si="20"/>
        <v>613.36347529238503</v>
      </c>
      <c r="EO48" s="60">
        <f ca="1">AVERAGE(OFFSET($EN$3,0,0,'Données projet'!$E$15+1,1))-AVERAGE(OFFSET($H$3,0,0,'Données projet'!$E$15+1,1))</f>
        <v>478.11504516179713</v>
      </c>
      <c r="EP48" s="60">
        <f t="shared" si="46"/>
        <v>249.93713224442419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0</v>
      </c>
      <c r="EW48" s="23">
        <f>EXP(-LN(2)/25)*EW47+(1-EXP(-LN(2)/25))/(LN(2)/25)*Calculateur!ER48*Calculateur!ET48*VLOOKUP('Données projet'!$B$15,Paramètres!$A$1:$I$89,3,0)*0.475*44/12</f>
        <v>0</v>
      </c>
      <c r="EX48" s="23">
        <f>EXP(-LN(2)/2)*EX47+(1-EXP(-LN(2)/2))/(LN(2)/2)*ER48*EU48*VLOOKUP('Données projet'!$B$15,Paramètres!$A$1:$I$89,3,0)*0.475*44/12</f>
        <v>0</v>
      </c>
      <c r="EY48" s="24">
        <f t="shared" si="21"/>
        <v>0</v>
      </c>
      <c r="EZ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>
        <f>VLOOKUP(A48,'Données projet'!$A$217:$I$237,2,0)</f>
        <v>232</v>
      </c>
      <c r="FC48" s="13">
        <f>VLOOKUP(A48,'Données projet'!$A$217:$I$237,9,0)</f>
        <v>11.4</v>
      </c>
      <c r="FD48" s="13">
        <f t="array" ref="FD48">INDEX(FC:FC,MIN(IF(ISNUMBER(FC48:FC244),ROW(FC48:FC244),"")))</f>
        <v>11.4</v>
      </c>
      <c r="FE48" s="13">
        <f>IF('Données projet'!$A$218&gt;35,FE47+FD48-FM47,IF(A48&lt;'Données projet'!$A$218,$FB$205^A48,IF(A48='Données projet'!$A$218,'Données projet'!$B$218,FE47+FD48-FM47)))</f>
        <v>232.00000000000006</v>
      </c>
      <c r="FF48" s="18">
        <f>FE48*VLOOKUP('Données projet'!$B$16,Paramètres!$A$1:$I$89,3,0)*VLOOKUP('Données projet'!$B$16,Paramètres!$A$1:$I$89,5,0)</f>
        <v>224.39040000000006</v>
      </c>
      <c r="FG48" s="14">
        <f t="shared" si="47"/>
        <v>55.068017311015858</v>
      </c>
      <c r="FH48" s="22">
        <f t="shared" si="22"/>
        <v>486.72341015001939</v>
      </c>
      <c r="FI48" s="60">
        <f t="shared" si="23"/>
        <v>738.35016770085349</v>
      </c>
      <c r="FJ48" s="60">
        <f ca="1">AVERAGE(OFFSET($FI$3,0,0,'Données projet'!$E$16+1,1))-AVERAGE(OFFSET($H$3,0,0,'Données projet'!$E$16+1,1))</f>
        <v>603.52431522262032</v>
      </c>
      <c r="FK48" s="60">
        <f t="shared" si="48"/>
        <v>313.56299786481338</v>
      </c>
      <c r="FL48" s="16">
        <f>IF(ISNA(VLOOKUP(A48,'Données projet'!$A$217:$I$237,3,0)),0,VLOOKUP(A48,'Données projet'!$A$217:$I$237,3,0))</f>
        <v>3</v>
      </c>
      <c r="FM48" s="16">
        <f>IF(ISNA(VLOOKUP(A48,'Données projet'!$A$217:$I$237,4,0)),0,VLOOKUP(A48,'Données projet'!$A$217:$I$237,4,0))</f>
        <v>56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>
        <f>EXP(-LN(2)/35)*FQ47+(1-EXP(-LN(2)/35))/(LN(2)/35)*FM48*FN48*VLOOKUP('Données projet'!$B$16,Paramètres!$A$1:$I$89,3,0)*0.475*44/12</f>
        <v>0</v>
      </c>
      <c r="FR48" s="23">
        <f>EXP(-LN(2)/25)*FR47+(1-EXP(-LN(2)/25))/(LN(2)/25)*Calculateur!FM48*Calculateur!FO48*VLOOKUP('Données projet'!$B$16,Paramètres!$A$1:$I$89,3,0)*0.475*44/12</f>
        <v>0</v>
      </c>
      <c r="FS48" s="23">
        <f>EXP(-LN(2)/2)*FS47+(1-EXP(-LN(2)/2))/(LN(2)/2)*FM48*FP48*VLOOKUP('Données projet'!$B$16,Paramètres!$A$1:$I$89,3,0)*0.475*44/12</f>
        <v>0</v>
      </c>
      <c r="FT48" s="24">
        <f t="shared" si="24"/>
        <v>0</v>
      </c>
      <c r="FU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>
        <f>VLOOKUP(A48,'Données projet'!$A$243:$I$263,2,0)</f>
        <v>226.28205128205127</v>
      </c>
      <c r="FX48" s="13">
        <f>VLOOKUP(A48,'Données projet'!$A$243:$I$263,9,0)</f>
        <v>7.5641025641025639</v>
      </c>
      <c r="FY48" s="13">
        <f t="array" ref="FY48">INDEX(FX:FX,MIN(IF(ISNUMBER(FX48:FX244),ROW(FX48:FX244),"")))</f>
        <v>7.5641025641025639</v>
      </c>
      <c r="FZ48" s="13">
        <f>IF('Données projet'!$A$244&gt;35,FZ47+FY48-GH47,IF(A48&lt;'Données projet'!$A$244,$FW$205^A48,IF(A48='Données projet'!$A$244,'Données projet'!$B$244,FZ47+FY48-GH47)))</f>
        <v>226.28205128205138</v>
      </c>
      <c r="GA48" s="18">
        <f>FZ48*VLOOKUP('Données projet'!$B$17,Paramètres!$A$1:$I$89,3,0)*VLOOKUP('Données projet'!$B$17,Paramètres!$A$1:$I$89,5,0)</f>
        <v>151.79000000000005</v>
      </c>
      <c r="GB48" s="14">
        <f t="shared" si="49"/>
        <v>38.985088271202081</v>
      </c>
      <c r="GC48" s="22">
        <f t="shared" si="25"/>
        <v>332.26661207234366</v>
      </c>
      <c r="GD48" s="60">
        <f t="shared" si="26"/>
        <v>583.89336962317782</v>
      </c>
      <c r="GE48" s="60">
        <f ca="1">AVERAGE(OFFSET($GD$3,0,0,'Données projet'!$E$17+1,1))-AVERAGE(OFFSET($H$3,0,0,'Données projet'!$E$17+1,1))</f>
        <v>396.0878652679051</v>
      </c>
      <c r="GF48" s="60">
        <f t="shared" si="50"/>
        <v>327.26339199235406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>
        <f>EXP(-LN(2)/35)*GL47+(1-EXP(-LN(2)/35))/(LN(2)/35)*GH48*GI48*VLOOKUP('Données projet'!$B$17,Paramètres!$A$1:$I$89,3,0)*0.475*44/12</f>
        <v>0</v>
      </c>
      <c r="GM48" s="23">
        <f>EXP(-LN(2)/25)*GM47+(1-EXP(-LN(2)/25))/(LN(2)/25)*Calculateur!GH48*Calculateur!GJ48*VLOOKUP('Données projet'!$B$17,Paramètres!$A$1:$I$89,3,0)*0.475*44/12</f>
        <v>0</v>
      </c>
      <c r="GN48" s="23">
        <f>EXP(-LN(2)/2)*GN47+(1-EXP(-LN(2)/2))/(LN(2)/2)*GH48*GK48*VLOOKUP('Données projet'!$B$17,Paramètres!$A$1:$I$89,3,0)*0.475*44/12</f>
        <v>0</v>
      </c>
      <c r="GO48" s="23">
        <f t="shared" si="27"/>
        <v>0</v>
      </c>
      <c r="GP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>
        <f>VLOOKUP(A48,'Données projet'!$A$269:$I$289,2,0)</f>
        <v>190</v>
      </c>
      <c r="GS48" s="13">
        <f>VLOOKUP(A48,'Données projet'!$A$269:$I$289,9,0)</f>
        <v>7.6</v>
      </c>
      <c r="GT48" s="13">
        <f t="array" ref="GT48">INDEX(GS:GS,MIN(IF(ISNUMBER(GS48:GS244),ROW(GS48:GS244),"")))</f>
        <v>7.6</v>
      </c>
      <c r="GU48" s="13">
        <f>IF('Données projet'!$A$270&gt;35,GU47+GT48-HC47,IF(A48&lt;'Données projet'!$A$270,$GR$205^A48,IF(A48='Données projet'!$A$270,'Données projet'!$B$270,GU47+GT48-HC47)))</f>
        <v>190</v>
      </c>
      <c r="GV48" s="18">
        <f>GU48*VLOOKUP('Données projet'!$B$18,Paramètres!$A$1:$I$89,3,0)*VLOOKUP('Données projet'!$B$18,Paramètres!$A$1:$I$89,5,0)</f>
        <v>154.12800000000001</v>
      </c>
      <c r="GW48" s="14">
        <f t="shared" si="51"/>
        <v>39.515201075361155</v>
      </c>
      <c r="GX48" s="22">
        <f t="shared" si="28"/>
        <v>337.26190853958735</v>
      </c>
      <c r="GY48" s="60">
        <f t="shared" si="29"/>
        <v>588.88866609042145</v>
      </c>
      <c r="GZ48" s="60">
        <f ca="1">AVERAGE(OFFSET($GY$3,0,0,'Données projet'!$E$18+1,1))-AVERAGE(OFFSET($H$3,0,0,'Données projet'!$E$18+1,1))</f>
        <v>272.69564942740931</v>
      </c>
      <c r="HA48" s="60">
        <f t="shared" si="52"/>
        <v>316.57989180609252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>
        <f>EXP(-LN(2)/35)*HG47+(1-EXP(-LN(2)/35))/(LN(2)/35)*HC48*HD48*VLOOKUP('Données projet'!$B$18,Paramètres!$A$1:$I$89,3,0)*0.475*44/12</f>
        <v>0</v>
      </c>
      <c r="HH48" s="23">
        <f>EXP(-LN(2)/25)*HH47+(1-EXP(-LN(2)/25))/(LN(2)/25)*Calculateur!HC48*Calculateur!HE48*VLOOKUP('Données projet'!$B$18,Paramètres!$A$1:$I$89,3,0)*0.475*44/12</f>
        <v>0</v>
      </c>
      <c r="HI48" s="23">
        <f>EXP(-LN(2)/2)*HI47+(1-EXP(-LN(2)/2))/(LN(2)/2)*HC48*HF48*VLOOKUP('Données projet'!$B$18,Paramètres!$A$1:$I$89,3,0)*0.475*44/12</f>
        <v>0</v>
      </c>
      <c r="HJ48" s="24">
        <f t="shared" si="30"/>
        <v>0</v>
      </c>
    </row>
    <row r="49" spans="1:218" s="5" customFormat="1" x14ac:dyDescent="0.25">
      <c r="A49" s="11">
        <f t="shared" si="31"/>
        <v>46</v>
      </c>
      <c r="B49" s="75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8">
        <f t="shared" si="1"/>
        <v>183.33333333333334</v>
      </c>
      <c r="I49" s="7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11</v>
      </c>
      <c r="N49" s="14">
        <f>IF('Données projet'!$A$36&gt;35,N48+M49-V48,IF(A49&lt;'Données projet'!$A$36,$K$205^A49,IF(A49='Données projet'!$A$36,'Données projet'!$B$36,N48+M49-V48)))</f>
        <v>187.00000000000006</v>
      </c>
      <c r="O49" s="14">
        <f>N49*VLOOKUP('Données projet'!$B$9,Paramètres!$A$1:$I$89,3,0)*VLOOKUP('Données projet'!$B$9,Paramètres!$A$1:$I$89,5,0)</f>
        <v>169.19760000000005</v>
      </c>
      <c r="P49" s="14">
        <f t="shared" si="33"/>
        <v>42.910263223432885</v>
      </c>
      <c r="Q49" s="22">
        <f t="shared" si="53"/>
        <v>369.42119511414563</v>
      </c>
      <c r="R49" s="60">
        <f t="shared" si="0"/>
        <v>621.77146851287125</v>
      </c>
      <c r="S49" s="60">
        <f ca="1">AVERAGE(OFFSET($R$3,0,0,'Données projet'!$E$9+1,1))-AVERAGE(OFFSET($H$3,0,0,'Données projet'!$E$9+1,1))</f>
        <v>570.08763950759544</v>
      </c>
      <c r="T49" s="60">
        <f t="shared" si="34"/>
        <v>297.32483725004136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8.5399999999999974</v>
      </c>
      <c r="AI49" s="14">
        <f>IF('Données projet'!$A$62&gt;35,AI48+AH49-AQ48,IF(A49&lt;'Données projet'!$A$62,$AF$205^A49,IF(A49='Données projet'!$A$62,'Données projet'!$B$62,AI48+AH49-AQ48)))</f>
        <v>250.73999999999987</v>
      </c>
      <c r="AJ49" s="14">
        <f>AI49*VLOOKUP('Données projet'!$B$10,Paramètres!$A$1:$I$89,3,0)*VLOOKUP('Données projet'!$B$10,Paramètres!$A$1:$I$89,5,0)</f>
        <v>199.48874399999991</v>
      </c>
      <c r="AK49" s="14">
        <f t="shared" si="35"/>
        <v>49.631792398634111</v>
      </c>
      <c r="AL49" s="22">
        <f t="shared" si="4"/>
        <v>433.88493422762093</v>
      </c>
      <c r="AM49" s="60">
        <f t="shared" si="5"/>
        <v>686.23520762634655</v>
      </c>
      <c r="AN49" s="60">
        <f ca="1">AVERAGE(OFFSET($AM$3,0,0,'Données projet'!$E$10+1,1))-AVERAGE(OFFSET($H$3,0,0,'Données projet'!$E$10+1,1))</f>
        <v>394.49874384716014</v>
      </c>
      <c r="AO49" s="60">
        <f t="shared" si="36"/>
        <v>423.72519584013378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7.1199999999999992</v>
      </c>
      <c r="BD49" s="13">
        <f>IF('Données projet'!$A$88&gt;35,BD48+BC49-BL48,IF(A49&lt;'Données projet'!$A$88,$BA$205^A49,IF(A49='Données projet'!$A$88,'Données projet'!$B$88,BD48+BC49-BL48)))</f>
        <v>211.72000000000008</v>
      </c>
      <c r="BE49" s="14">
        <f>BD49*VLOOKUP('Données projet'!$B$11,Paramètres!$A$1:$I$89,3,0)*VLOOKUP('Données projet'!$B$11,Paramètres!$A$1:$I$89,5,0)</f>
        <v>184.9585920000001</v>
      </c>
      <c r="BF49" s="14">
        <f t="shared" si="37"/>
        <v>46.423630673154392</v>
      </c>
      <c r="BG49" s="22">
        <f t="shared" si="7"/>
        <v>402.99070448907742</v>
      </c>
      <c r="BH49" s="60">
        <f t="shared" si="8"/>
        <v>655.34097788780309</v>
      </c>
      <c r="BI49" s="60">
        <f ca="1">AVERAGE(OFFSET($BH$3,0,0,'Données projet'!$E$11+1,1))-AVERAGE(OFFSET($H$3,0,0,'Données projet'!$E$11+1,1))</f>
        <v>363.28611056308665</v>
      </c>
      <c r="BJ49" s="60">
        <f t="shared" si="38"/>
        <v>389.43647559455974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6.0256410256410273</v>
      </c>
      <c r="BY49" s="13">
        <f>IF('Données projet'!$A$114&gt;35,BY48+BX49-CG48,IF(A49&lt;'Données projet'!$A$114,$BV$205^A49,IF(A49='Données projet'!$A$114,'Données projet'!$B$114,BY48+BX49-CG48)))</f>
        <v>163.07692307692301</v>
      </c>
      <c r="BZ49" s="14">
        <f>BY49*VLOOKUP('Données projet'!$B$12,Paramètres!$A$1:$I$89,3,0)*VLOOKUP('Données projet'!$B$12,Paramètres!$A$1:$I$89,5,0)</f>
        <v>155.18399999999994</v>
      </c>
      <c r="CA49" s="14">
        <f t="shared" si="39"/>
        <v>39.754328566553049</v>
      </c>
      <c r="CB49" s="22">
        <f t="shared" si="10"/>
        <v>339.51758892007979</v>
      </c>
      <c r="CC49" s="60">
        <f t="shared" si="11"/>
        <v>591.86786231880546</v>
      </c>
      <c r="CD49" s="60">
        <f ca="1">AVERAGE(OFFSET($CC$3,0,0,'Données projet'!$E$12+1,1))-AVERAGE(OFFSET($H$3,0,0,'Données projet'!$E$12+1,1))</f>
        <v>441.15969139782891</v>
      </c>
      <c r="CE49" s="60">
        <f t="shared" si="40"/>
        <v>315.06466790224783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8.5399999999999974</v>
      </c>
      <c r="CT49" s="13">
        <f>IF('Données projet'!$A$140&gt;35,CT48+CS49-DB48,IF(A49&lt;'Données projet'!$A$140,$CQ$205^A49,IF(A49='Données projet'!$A$140,'Données projet'!$B$140,CT48+CS49-DB48)))</f>
        <v>250.73999999999987</v>
      </c>
      <c r="CU49" s="18">
        <f>CT49*VLOOKUP('Données projet'!$B$13,Paramètres!$A$1:$I$89,3,0)*VLOOKUP('Données projet'!$B$13,Paramètres!$A$1:$I$89,5,0)</f>
        <v>183.84256799999991</v>
      </c>
      <c r="CV49" s="14">
        <f t="shared" si="41"/>
        <v>46.176032940903148</v>
      </c>
      <c r="CW49" s="22">
        <f t="shared" si="13"/>
        <v>400.61572997207281</v>
      </c>
      <c r="CX49" s="60">
        <f t="shared" si="14"/>
        <v>652.96600337079849</v>
      </c>
      <c r="CY49" s="60">
        <f ca="1">AVERAGE(OFFSET($CX$3,0,0,'Données projet'!$E$13+1,1))-AVERAGE(OFFSET($H$3,0,0,'Données projet'!$E$13+1,1))</f>
        <v>368.35775920359396</v>
      </c>
      <c r="CZ49" s="60">
        <f t="shared" si="42"/>
        <v>395.5218438652638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10.375</v>
      </c>
      <c r="DO49" s="13">
        <f>IF('Données projet'!$A$166&gt;35,DO48+DN49-DW48,IF(A49&lt;'Données projet'!$A$166,$DL$205^A49,IF(A49='Données projet'!$A$166,'Données projet'!$B$166,DO48+DN49-DW48)))</f>
        <v>207.74999999999994</v>
      </c>
      <c r="DP49" s="18">
        <f>DO49*VLOOKUP('Données projet'!$B$14,Paramètres!$A$1:$I$89,3,0)*VLOOKUP('Données projet'!$B$14,Paramètres!$A$1:$I$89,5,0)</f>
        <v>162.04499999999996</v>
      </c>
      <c r="DQ49" s="14">
        <f t="shared" si="43"/>
        <v>41.303429372463391</v>
      </c>
      <c r="DR49" s="22">
        <f t="shared" si="16"/>
        <v>354.16518115704031</v>
      </c>
      <c r="DS49" s="60">
        <f t="shared" si="17"/>
        <v>606.51545455576593</v>
      </c>
      <c r="DT49" s="60">
        <f ca="1">AVERAGE(OFFSET($DS$3,0,0,'Données projet'!$E$14+1,1))-AVERAGE(OFFSET($H$3,0,0,'Données projet'!$E$14+1,1))</f>
        <v>312.59632808777332</v>
      </c>
      <c r="DU49" s="60">
        <f t="shared" si="44"/>
        <v>302.59481222418219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0</v>
      </c>
      <c r="EE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15.666666666666666</v>
      </c>
      <c r="EJ49" s="13">
        <f>IF('Données projet'!$A$192&gt;35,EJ48+EI49-ER48,IF(A49&lt;'Données projet'!$A$192,$EG$205^A49,IF(A49='Données projet'!$A$192,'Données projet'!$B$192,EJ48+EI49-ER48)))</f>
        <v>208.66666666666654</v>
      </c>
      <c r="EK49" s="18">
        <f>EJ49*VLOOKUP('Données projet'!$B$15,Paramètres!$A$1:$I$89,3,0)*VLOOKUP('Données projet'!$B$15,Paramètres!$A$1:$I$89,5,0)</f>
        <v>179.03599999999992</v>
      </c>
      <c r="EL49" s="14">
        <f t="shared" si="45"/>
        <v>45.1076469440343</v>
      </c>
      <c r="EM49" s="22">
        <f t="shared" si="19"/>
        <v>390.38351842752627</v>
      </c>
      <c r="EN49" s="60">
        <f t="shared" si="20"/>
        <v>642.73379182625195</v>
      </c>
      <c r="EO49" s="60">
        <f ca="1">AVERAGE(OFFSET($EN$3,0,0,'Données projet'!$E$15+1,1))-AVERAGE(OFFSET($H$3,0,0,'Données projet'!$E$15+1,1))</f>
        <v>478.11504516179713</v>
      </c>
      <c r="EP49" s="60">
        <f t="shared" si="46"/>
        <v>249.93713224442419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0</v>
      </c>
      <c r="EW49" s="23">
        <f>EXP(-LN(2)/25)*EW48+(1-EXP(-LN(2)/25))/(LN(2)/25)*Calculateur!ER49*Calculateur!ET49*VLOOKUP('Données projet'!$B$15,Paramètres!$A$1:$I$89,3,0)*0.475*44/12</f>
        <v>0</v>
      </c>
      <c r="EX49" s="23">
        <f>EXP(-LN(2)/2)*EX48+(1-EXP(-LN(2)/2))/(LN(2)/2)*ER49*EU49*VLOOKUP('Données projet'!$B$15,Paramètres!$A$1:$I$89,3,0)*0.475*44/12</f>
        <v>0</v>
      </c>
      <c r="EY49" s="24">
        <f t="shared" si="21"/>
        <v>0</v>
      </c>
      <c r="EZ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11</v>
      </c>
      <c r="FE49" s="13">
        <f>IF('Données projet'!$A$218&gt;35,FE48+FD49-FM48,IF(A49&lt;'Données projet'!$A$218,$FB$205^A49,IF(A49='Données projet'!$A$218,'Données projet'!$B$218,FE48+FD49-FM48)))</f>
        <v>187.00000000000006</v>
      </c>
      <c r="FF49" s="18">
        <f>FE49*VLOOKUP('Données projet'!$B$16,Paramètres!$A$1:$I$89,3,0)*VLOOKUP('Données projet'!$B$16,Paramètres!$A$1:$I$89,5,0)</f>
        <v>180.86640000000006</v>
      </c>
      <c r="FG49" s="14">
        <f t="shared" si="47"/>
        <v>45.514890302102152</v>
      </c>
      <c r="FH49" s="22">
        <f t="shared" si="22"/>
        <v>394.28074727616132</v>
      </c>
      <c r="FI49" s="60">
        <f t="shared" si="23"/>
        <v>646.63102067488694</v>
      </c>
      <c r="FJ49" s="60">
        <f ca="1">AVERAGE(OFFSET($FI$3,0,0,'Données projet'!$E$16+1,1))-AVERAGE(OFFSET($H$3,0,0,'Données projet'!$E$16+1,1))</f>
        <v>603.52431522262032</v>
      </c>
      <c r="FK49" s="60">
        <f t="shared" si="48"/>
        <v>313.56299786481338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>
        <f>EXP(-LN(2)/35)*FQ48+(1-EXP(-LN(2)/35))/(LN(2)/35)*FM49*FN49*VLOOKUP('Données projet'!$B$16,Paramètres!$A$1:$I$89,3,0)*0.475*44/12</f>
        <v>0</v>
      </c>
      <c r="FR49" s="23">
        <f>EXP(-LN(2)/25)*FR48+(1-EXP(-LN(2)/25))/(LN(2)/25)*Calculateur!FM49*Calculateur!FO49*VLOOKUP('Données projet'!$B$16,Paramètres!$A$1:$I$89,3,0)*0.475*44/12</f>
        <v>0</v>
      </c>
      <c r="FS49" s="23">
        <f>EXP(-LN(2)/2)*FS48+(1-EXP(-LN(2)/2))/(LN(2)/2)*FM49*FP49*VLOOKUP('Données projet'!$B$16,Paramètres!$A$1:$I$89,3,0)*0.475*44/12</f>
        <v>0</v>
      </c>
      <c r="FT49" s="24">
        <f t="shared" si="24"/>
        <v>0</v>
      </c>
      <c r="FU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7.0512820512820555</v>
      </c>
      <c r="FZ49" s="13">
        <f>IF('Données projet'!$A$244&gt;35,FZ48+FY49-GH48,IF(A49&lt;'Données projet'!$A$244,$FW$205^A49,IF(A49='Données projet'!$A$244,'Données projet'!$B$244,FZ48+FY49-GH48)))</f>
        <v>233.33333333333343</v>
      </c>
      <c r="GA49" s="18">
        <f>FZ49*VLOOKUP('Données projet'!$B$17,Paramètres!$A$1:$I$89,3,0)*VLOOKUP('Données projet'!$B$17,Paramètres!$A$1:$I$89,5,0)</f>
        <v>156.52000000000007</v>
      </c>
      <c r="GB49" s="14">
        <f t="shared" si="49"/>
        <v>40.056589961286974</v>
      </c>
      <c r="GC49" s="22">
        <f t="shared" si="25"/>
        <v>342.37089418257489</v>
      </c>
      <c r="GD49" s="60">
        <f t="shared" si="26"/>
        <v>594.72116758130051</v>
      </c>
      <c r="GE49" s="60">
        <f ca="1">AVERAGE(OFFSET($GD$3,0,0,'Données projet'!$E$17+1,1))-AVERAGE(OFFSET($H$3,0,0,'Données projet'!$E$17+1,1))</f>
        <v>396.0878652679051</v>
      </c>
      <c r="GF49" s="60">
        <f t="shared" si="50"/>
        <v>327.26339199235406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>
        <f>EXP(-LN(2)/35)*GL48+(1-EXP(-LN(2)/35))/(LN(2)/35)*GH49*GI49*VLOOKUP('Données projet'!$B$17,Paramètres!$A$1:$I$89,3,0)*0.475*44/12</f>
        <v>0</v>
      </c>
      <c r="GM49" s="23">
        <f>EXP(-LN(2)/25)*GM48+(1-EXP(-LN(2)/25))/(LN(2)/25)*Calculateur!GH49*Calculateur!GJ49*VLOOKUP('Données projet'!$B$17,Paramètres!$A$1:$I$89,3,0)*0.475*44/12</f>
        <v>0</v>
      </c>
      <c r="GN49" s="23">
        <f>EXP(-LN(2)/2)*GN48+(1-EXP(-LN(2)/2))/(LN(2)/2)*GH49*GK49*VLOOKUP('Données projet'!$B$17,Paramètres!$A$1:$I$89,3,0)*0.475*44/12</f>
        <v>0</v>
      </c>
      <c r="GO49" s="23">
        <f t="shared" si="27"/>
        <v>0</v>
      </c>
      <c r="GP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7.6</v>
      </c>
      <c r="GU49" s="13">
        <f>IF('Données projet'!$A$270&gt;35,GU48+GT49-HC48,IF(A49&lt;'Données projet'!$A$270,$GR$205^A49,IF(A49='Données projet'!$A$270,'Données projet'!$B$270,GU48+GT49-HC48)))</f>
        <v>197.6</v>
      </c>
      <c r="GV49" s="18">
        <f>GU49*VLOOKUP('Données projet'!$B$18,Paramètres!$A$1:$I$89,3,0)*VLOOKUP('Données projet'!$B$18,Paramètres!$A$1:$I$89,5,0)</f>
        <v>160.29311999999999</v>
      </c>
      <c r="GW49" s="14">
        <f t="shared" si="51"/>
        <v>40.908622396455648</v>
      </c>
      <c r="GX49" s="22">
        <f t="shared" si="28"/>
        <v>350.42636800716019</v>
      </c>
      <c r="GY49" s="60">
        <f t="shared" si="29"/>
        <v>602.77664140588581</v>
      </c>
      <c r="GZ49" s="60">
        <f ca="1">AVERAGE(OFFSET($GY$3,0,0,'Données projet'!$E$18+1,1))-AVERAGE(OFFSET($H$3,0,0,'Données projet'!$E$18+1,1))</f>
        <v>272.69564942740931</v>
      </c>
      <c r="HA49" s="60">
        <f t="shared" si="52"/>
        <v>316.57989180609252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>
        <f>EXP(-LN(2)/35)*HG48+(1-EXP(-LN(2)/35))/(LN(2)/35)*HC49*HD49*VLOOKUP('Données projet'!$B$18,Paramètres!$A$1:$I$89,3,0)*0.475*44/12</f>
        <v>0</v>
      </c>
      <c r="HH49" s="23">
        <f>EXP(-LN(2)/25)*HH48+(1-EXP(-LN(2)/25))/(LN(2)/25)*Calculateur!HC49*Calculateur!HE49*VLOOKUP('Données projet'!$B$18,Paramètres!$A$1:$I$89,3,0)*0.475*44/12</f>
        <v>0</v>
      </c>
      <c r="HI49" s="23">
        <f>EXP(-LN(2)/2)*HI48+(1-EXP(-LN(2)/2))/(LN(2)/2)*HC49*HF49*VLOOKUP('Données projet'!$B$18,Paramètres!$A$1:$I$89,3,0)*0.475*44/12</f>
        <v>0</v>
      </c>
      <c r="HJ49" s="24">
        <f t="shared" si="30"/>
        <v>0</v>
      </c>
    </row>
    <row r="50" spans="1:218" s="5" customFormat="1" x14ac:dyDescent="0.25">
      <c r="A50" s="11">
        <f t="shared" si="31"/>
        <v>47</v>
      </c>
      <c r="B50" s="75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8">
        <f t="shared" si="1"/>
        <v>183.33333333333334</v>
      </c>
      <c r="I50" s="7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11</v>
      </c>
      <c r="N50" s="14">
        <f>IF('Données projet'!$A$36&gt;35,N49+M50-V49,IF(A50&lt;'Données projet'!$A$36,$K$205^A50,IF(A50='Données projet'!$A$36,'Données projet'!$B$36,N49+M50-V49)))</f>
        <v>198.00000000000006</v>
      </c>
      <c r="O50" s="14">
        <f>N50*VLOOKUP('Données projet'!$B$9,Paramètres!$A$1:$I$89,3,0)*VLOOKUP('Données projet'!$B$9,Paramètres!$A$1:$I$89,5,0)</f>
        <v>179.15040000000005</v>
      </c>
      <c r="P50" s="14">
        <f t="shared" si="33"/>
        <v>45.133113803437347</v>
      </c>
      <c r="Q50" s="22">
        <f t="shared" si="53"/>
        <v>390.62711987432004</v>
      </c>
      <c r="R50" s="60">
        <f t="shared" si="0"/>
        <v>643.68835773851538</v>
      </c>
      <c r="S50" s="60">
        <f ca="1">AVERAGE(OFFSET($R$3,0,0,'Données projet'!$E$9+1,1))-AVERAGE(OFFSET($H$3,0,0,'Données projet'!$E$9+1,1))</f>
        <v>570.08763950759544</v>
      </c>
      <c r="T50" s="60">
        <f t="shared" si="34"/>
        <v>297.32483725004136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8.5399999999999974</v>
      </c>
      <c r="AI50" s="14">
        <f>IF('Données projet'!$A$62&gt;35,AI49+AH50-AQ49,IF(A50&lt;'Données projet'!$A$62,$AF$205^A50,IF(A50='Données projet'!$A$62,'Données projet'!$B$62,AI49+AH50-AQ49)))</f>
        <v>259.27999999999986</v>
      </c>
      <c r="AJ50" s="14">
        <f>AI50*VLOOKUP('Données projet'!$B$10,Paramètres!$A$1:$I$89,3,0)*VLOOKUP('Données projet'!$B$10,Paramètres!$A$1:$I$89,5,0)</f>
        <v>206.2831679999999</v>
      </c>
      <c r="AK50" s="14">
        <f t="shared" si="35"/>
        <v>51.122522165494573</v>
      </c>
      <c r="AL50" s="22">
        <f t="shared" si="4"/>
        <v>448.31491037156951</v>
      </c>
      <c r="AM50" s="60">
        <f t="shared" si="5"/>
        <v>701.37614823576496</v>
      </c>
      <c r="AN50" s="60">
        <f ca="1">AVERAGE(OFFSET($AM$3,0,0,'Données projet'!$E$10+1,1))-AVERAGE(OFFSET($H$3,0,0,'Données projet'!$E$10+1,1))</f>
        <v>394.49874384716014</v>
      </c>
      <c r="AO50" s="60">
        <f t="shared" si="36"/>
        <v>423.72519584013378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7.1199999999999992</v>
      </c>
      <c r="BD50" s="13">
        <f>IF('Données projet'!$A$88&gt;35,BD49+BC50-BL49,IF(A50&lt;'Données projet'!$A$88,$BA$205^A50,IF(A50='Données projet'!$A$88,'Données projet'!$B$88,BD49+BC50-BL49)))</f>
        <v>218.84000000000009</v>
      </c>
      <c r="BE50" s="14">
        <f>BD50*VLOOKUP('Données projet'!$B$11,Paramètres!$A$1:$I$89,3,0)*VLOOKUP('Données projet'!$B$11,Paramètres!$A$1:$I$89,5,0)</f>
        <v>191.1786240000001</v>
      </c>
      <c r="BF50" s="14">
        <f t="shared" si="37"/>
        <v>47.800436023309679</v>
      </c>
      <c r="BG50" s="22">
        <f t="shared" si="7"/>
        <v>416.22186287393123</v>
      </c>
      <c r="BH50" s="60">
        <f t="shared" si="8"/>
        <v>669.28310073812668</v>
      </c>
      <c r="BI50" s="60">
        <f ca="1">AVERAGE(OFFSET($BH$3,0,0,'Données projet'!$E$11+1,1))-AVERAGE(OFFSET($H$3,0,0,'Données projet'!$E$11+1,1))</f>
        <v>363.28611056308665</v>
      </c>
      <c r="BJ50" s="60">
        <f t="shared" si="38"/>
        <v>389.43647559455974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6.0256410256410273</v>
      </c>
      <c r="BY50" s="13">
        <f>IF('Données projet'!$A$114&gt;35,BY49+BX50-CG49,IF(A50&lt;'Données projet'!$A$114,$BV$205^A50,IF(A50='Données projet'!$A$114,'Données projet'!$B$114,BY49+BX50-CG49)))</f>
        <v>169.10256410256403</v>
      </c>
      <c r="BZ50" s="14">
        <f>BY50*VLOOKUP('Données projet'!$B$12,Paramètres!$A$1:$I$89,3,0)*VLOOKUP('Données projet'!$B$12,Paramètres!$A$1:$I$89,5,0)</f>
        <v>160.91799999999992</v>
      </c>
      <c r="CA50" s="14">
        <f t="shared" si="39"/>
        <v>41.049503875172206</v>
      </c>
      <c r="CB50" s="22">
        <f t="shared" si="10"/>
        <v>351.76006924925809</v>
      </c>
      <c r="CC50" s="60">
        <f t="shared" si="11"/>
        <v>604.82130711345349</v>
      </c>
      <c r="CD50" s="60">
        <f ca="1">AVERAGE(OFFSET($CC$3,0,0,'Données projet'!$E$12+1,1))-AVERAGE(OFFSET($H$3,0,0,'Données projet'!$E$12+1,1))</f>
        <v>441.15969139782891</v>
      </c>
      <c r="CE50" s="60">
        <f t="shared" si="40"/>
        <v>315.06466790224783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8.5399999999999974</v>
      </c>
      <c r="CT50" s="13">
        <f>IF('Données projet'!$A$140&gt;35,CT49+CS50-DB49,IF(A50&lt;'Données projet'!$A$140,$CQ$205^A50,IF(A50='Données projet'!$A$140,'Données projet'!$B$140,CT49+CS50-DB49)))</f>
        <v>259.27999999999986</v>
      </c>
      <c r="CU50" s="18">
        <f>CT50*VLOOKUP('Données projet'!$B$13,Paramètres!$A$1:$I$89,3,0)*VLOOKUP('Données projet'!$B$13,Paramètres!$A$1:$I$89,5,0)</f>
        <v>190.10409599999988</v>
      </c>
      <c r="CV50" s="14">
        <f t="shared" si="41"/>
        <v>47.562966265165443</v>
      </c>
      <c r="CW50" s="22">
        <f t="shared" si="13"/>
        <v>413.9368001118296</v>
      </c>
      <c r="CX50" s="60">
        <f t="shared" si="14"/>
        <v>666.99803797602499</v>
      </c>
      <c r="CY50" s="60">
        <f ca="1">AVERAGE(OFFSET($CX$3,0,0,'Données projet'!$E$13+1,1))-AVERAGE(OFFSET($H$3,0,0,'Données projet'!$E$13+1,1))</f>
        <v>368.35775920359396</v>
      </c>
      <c r="CZ50" s="60">
        <f t="shared" si="42"/>
        <v>395.5218438652638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10.375</v>
      </c>
      <c r="DO50" s="13">
        <f>IF('Données projet'!$A$166&gt;35,DO49+DN50-DW49,IF(A50&lt;'Données projet'!$A$166,$DL$205^A50,IF(A50='Données projet'!$A$166,'Données projet'!$B$166,DO49+DN50-DW49)))</f>
        <v>218.12499999999994</v>
      </c>
      <c r="DP50" s="18">
        <f>DO50*VLOOKUP('Données projet'!$B$14,Paramètres!$A$1:$I$89,3,0)*VLOOKUP('Données projet'!$B$14,Paramètres!$A$1:$I$89,5,0)</f>
        <v>170.13749999999996</v>
      </c>
      <c r="DQ50" s="14">
        <f t="shared" si="43"/>
        <v>43.120817562072411</v>
      </c>
      <c r="DR50" s="22">
        <f t="shared" si="16"/>
        <v>371.42490308727605</v>
      </c>
      <c r="DS50" s="60">
        <f t="shared" si="17"/>
        <v>624.4861409514715</v>
      </c>
      <c r="DT50" s="60">
        <f ca="1">AVERAGE(OFFSET($DS$3,0,0,'Données projet'!$E$14+1,1))-AVERAGE(OFFSET($H$3,0,0,'Données projet'!$E$14+1,1))</f>
        <v>312.59632808777332</v>
      </c>
      <c r="DU50" s="60">
        <f t="shared" si="44"/>
        <v>302.59481222418219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0</v>
      </c>
      <c r="EE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15.666666666666666</v>
      </c>
      <c r="EJ50" s="13">
        <f>IF('Données projet'!$A$192&gt;35,EJ49+EI50-ER49,IF(A50&lt;'Données projet'!$A$192,$EG$205^A50,IF(A50='Données projet'!$A$192,'Données projet'!$B$192,EJ49+EI50-ER49)))</f>
        <v>224.3333333333332</v>
      </c>
      <c r="EK50" s="18">
        <f>EJ50*VLOOKUP('Données projet'!$B$15,Paramètres!$A$1:$I$89,3,0)*VLOOKUP('Données projet'!$B$15,Paramètres!$A$1:$I$89,5,0)</f>
        <v>192.47799999999989</v>
      </c>
      <c r="EL50" s="14">
        <f t="shared" si="45"/>
        <v>48.087389626209038</v>
      </c>
      <c r="EM50" s="22">
        <f t="shared" si="19"/>
        <v>418.98472026564724</v>
      </c>
      <c r="EN50" s="60">
        <f t="shared" si="20"/>
        <v>672.04595812984257</v>
      </c>
      <c r="EO50" s="60">
        <f ca="1">AVERAGE(OFFSET($EN$3,0,0,'Données projet'!$E$15+1,1))-AVERAGE(OFFSET($H$3,0,0,'Données projet'!$E$15+1,1))</f>
        <v>478.11504516179713</v>
      </c>
      <c r="EP50" s="60">
        <f t="shared" si="46"/>
        <v>249.93713224442419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0</v>
      </c>
      <c r="EW50" s="23">
        <f>EXP(-LN(2)/25)*EW49+(1-EXP(-LN(2)/25))/(LN(2)/25)*Calculateur!ER50*Calculateur!ET50*VLOOKUP('Données projet'!$B$15,Paramètres!$A$1:$I$89,3,0)*0.475*44/12</f>
        <v>0</v>
      </c>
      <c r="EX50" s="23">
        <f>EXP(-LN(2)/2)*EX49+(1-EXP(-LN(2)/2))/(LN(2)/2)*ER50*EU50*VLOOKUP('Données projet'!$B$15,Paramètres!$A$1:$I$89,3,0)*0.475*44/12</f>
        <v>0</v>
      </c>
      <c r="EY50" s="24">
        <f t="shared" si="21"/>
        <v>0</v>
      </c>
      <c r="EZ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11</v>
      </c>
      <c r="FE50" s="13">
        <f>IF('Données projet'!$A$218&gt;35,FE49+FD50-FM49,IF(A50&lt;'Données projet'!$A$218,$FB$205^A50,IF(A50='Données projet'!$A$218,'Données projet'!$B$218,FE49+FD50-FM49)))</f>
        <v>198.00000000000006</v>
      </c>
      <c r="FF50" s="18">
        <f>FE50*VLOOKUP('Données projet'!$B$16,Paramètres!$A$1:$I$89,3,0)*VLOOKUP('Données projet'!$B$16,Paramètres!$A$1:$I$89,5,0)</f>
        <v>191.50560000000007</v>
      </c>
      <c r="FG50" s="14">
        <f t="shared" si="47"/>
        <v>47.872666570685276</v>
      </c>
      <c r="FH50" s="22">
        <f t="shared" si="22"/>
        <v>416.9171476106103</v>
      </c>
      <c r="FI50" s="60">
        <f t="shared" si="23"/>
        <v>669.97838547480569</v>
      </c>
      <c r="FJ50" s="60">
        <f ca="1">AVERAGE(OFFSET($FI$3,0,0,'Données projet'!$E$16+1,1))-AVERAGE(OFFSET($H$3,0,0,'Données projet'!$E$16+1,1))</f>
        <v>603.52431522262032</v>
      </c>
      <c r="FK50" s="60">
        <f t="shared" si="48"/>
        <v>313.56299786481338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>
        <f>EXP(-LN(2)/35)*FQ49+(1-EXP(-LN(2)/35))/(LN(2)/35)*FM50*FN50*VLOOKUP('Données projet'!$B$16,Paramètres!$A$1:$I$89,3,0)*0.475*44/12</f>
        <v>0</v>
      </c>
      <c r="FR50" s="23">
        <f>EXP(-LN(2)/25)*FR49+(1-EXP(-LN(2)/25))/(LN(2)/25)*Calculateur!FM50*Calculateur!FO50*VLOOKUP('Données projet'!$B$16,Paramètres!$A$1:$I$89,3,0)*0.475*44/12</f>
        <v>0</v>
      </c>
      <c r="FS50" s="23">
        <f>EXP(-LN(2)/2)*FS49+(1-EXP(-LN(2)/2))/(LN(2)/2)*FM50*FP50*VLOOKUP('Données projet'!$B$16,Paramètres!$A$1:$I$89,3,0)*0.475*44/12</f>
        <v>0</v>
      </c>
      <c r="FT50" s="24">
        <f t="shared" si="24"/>
        <v>0</v>
      </c>
      <c r="FU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7.0512820512820555</v>
      </c>
      <c r="FZ50" s="13">
        <f>IF('Données projet'!$A$244&gt;35,FZ49+FY50-GH49,IF(A50&lt;'Données projet'!$A$244,$FW$205^A50,IF(A50='Données projet'!$A$244,'Données projet'!$B$244,FZ49+FY50-GH49)))</f>
        <v>240.38461538461547</v>
      </c>
      <c r="GA50" s="18">
        <f>FZ50*VLOOKUP('Données projet'!$B$17,Paramètres!$A$1:$I$89,3,0)*VLOOKUP('Données projet'!$B$17,Paramètres!$A$1:$I$89,5,0)</f>
        <v>161.25000000000006</v>
      </c>
      <c r="GB50" s="14">
        <f t="shared" si="49"/>
        <v>41.124328571986439</v>
      </c>
      <c r="GC50" s="22">
        <f t="shared" si="25"/>
        <v>352.46862226287652</v>
      </c>
      <c r="GD50" s="60">
        <f t="shared" si="26"/>
        <v>605.52986012707197</v>
      </c>
      <c r="GE50" s="60">
        <f ca="1">AVERAGE(OFFSET($GD$3,0,0,'Données projet'!$E$17+1,1))-AVERAGE(OFFSET($H$3,0,0,'Données projet'!$E$17+1,1))</f>
        <v>396.0878652679051</v>
      </c>
      <c r="GF50" s="60">
        <f t="shared" si="50"/>
        <v>327.26339199235406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>
        <f>EXP(-LN(2)/35)*GL49+(1-EXP(-LN(2)/35))/(LN(2)/35)*GH50*GI50*VLOOKUP('Données projet'!$B$17,Paramètres!$A$1:$I$89,3,0)*0.475*44/12</f>
        <v>0</v>
      </c>
      <c r="GM50" s="23">
        <f>EXP(-LN(2)/25)*GM49+(1-EXP(-LN(2)/25))/(LN(2)/25)*Calculateur!GH50*Calculateur!GJ50*VLOOKUP('Données projet'!$B$17,Paramètres!$A$1:$I$89,3,0)*0.475*44/12</f>
        <v>0</v>
      </c>
      <c r="GN50" s="23">
        <f>EXP(-LN(2)/2)*GN49+(1-EXP(-LN(2)/2))/(LN(2)/2)*GH50*GK50*VLOOKUP('Données projet'!$B$17,Paramètres!$A$1:$I$89,3,0)*0.475*44/12</f>
        <v>0</v>
      </c>
      <c r="GO50" s="23">
        <f t="shared" si="27"/>
        <v>0</v>
      </c>
      <c r="GP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7.6</v>
      </c>
      <c r="GU50" s="13">
        <f>IF('Données projet'!$A$270&gt;35,GU49+GT50-HC49,IF(A50&lt;'Données projet'!$A$270,$GR$205^A50,IF(A50='Données projet'!$A$270,'Données projet'!$B$270,GU49+GT50-HC49)))</f>
        <v>205.2</v>
      </c>
      <c r="GV50" s="18">
        <f>GU50*VLOOKUP('Données projet'!$B$18,Paramètres!$A$1:$I$89,3,0)*VLOOKUP('Données projet'!$B$18,Paramètres!$A$1:$I$89,5,0)</f>
        <v>166.45823999999999</v>
      </c>
      <c r="GW50" s="14">
        <f t="shared" si="51"/>
        <v>42.295817799452642</v>
      </c>
      <c r="GX50" s="22">
        <f t="shared" si="28"/>
        <v>363.5799840007133</v>
      </c>
      <c r="GY50" s="60">
        <f t="shared" si="29"/>
        <v>616.64122186490863</v>
      </c>
      <c r="GZ50" s="60">
        <f ca="1">AVERAGE(OFFSET($GY$3,0,0,'Données projet'!$E$18+1,1))-AVERAGE(OFFSET($H$3,0,0,'Données projet'!$E$18+1,1))</f>
        <v>272.69564942740931</v>
      </c>
      <c r="HA50" s="60">
        <f t="shared" si="52"/>
        <v>316.57989180609252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>
        <f>EXP(-LN(2)/35)*HG49+(1-EXP(-LN(2)/35))/(LN(2)/35)*HC50*HD50*VLOOKUP('Données projet'!$B$18,Paramètres!$A$1:$I$89,3,0)*0.475*44/12</f>
        <v>0</v>
      </c>
      <c r="HH50" s="23">
        <f>EXP(-LN(2)/25)*HH49+(1-EXP(-LN(2)/25))/(LN(2)/25)*Calculateur!HC50*Calculateur!HE50*VLOOKUP('Données projet'!$B$18,Paramètres!$A$1:$I$89,3,0)*0.475*44/12</f>
        <v>0</v>
      </c>
      <c r="HI50" s="23">
        <f>EXP(-LN(2)/2)*HI49+(1-EXP(-LN(2)/2))/(LN(2)/2)*HC50*HF50*VLOOKUP('Données projet'!$B$18,Paramètres!$A$1:$I$89,3,0)*0.475*44/12</f>
        <v>0</v>
      </c>
      <c r="HJ50" s="24">
        <f t="shared" si="30"/>
        <v>0</v>
      </c>
    </row>
    <row r="51" spans="1:218" s="5" customFormat="1" x14ac:dyDescent="0.25">
      <c r="A51" s="11">
        <f t="shared" si="31"/>
        <v>48</v>
      </c>
      <c r="B51" s="75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8">
        <f t="shared" si="1"/>
        <v>183.33333333333334</v>
      </c>
      <c r="I51" s="7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11</v>
      </c>
      <c r="N51" s="14">
        <f>IF('Données projet'!$A$36&gt;35,N50+M51-V50,IF(A51&lt;'Données projet'!$A$36,$K$205^A51,IF(A51='Données projet'!$A$36,'Données projet'!$B$36,N50+M51-V50)))</f>
        <v>209.00000000000006</v>
      </c>
      <c r="O51" s="14">
        <f>N51*VLOOKUP('Données projet'!$B$9,Paramètres!$A$1:$I$89,3,0)*VLOOKUP('Données projet'!$B$9,Paramètres!$A$1:$I$89,5,0)</f>
        <v>189.10320000000004</v>
      </c>
      <c r="P51" s="14">
        <f t="shared" si="33"/>
        <v>47.341628542787163</v>
      </c>
      <c r="Q51" s="22">
        <f t="shared" si="53"/>
        <v>411.8080763786877</v>
      </c>
      <c r="R51" s="60">
        <f t="shared" si="0"/>
        <v>665.5679450643554</v>
      </c>
      <c r="S51" s="60">
        <f ca="1">AVERAGE(OFFSET($R$3,0,0,'Données projet'!$E$9+1,1))-AVERAGE(OFFSET($H$3,0,0,'Données projet'!$E$9+1,1))</f>
        <v>570.08763950759544</v>
      </c>
      <c r="T51" s="60">
        <f t="shared" si="34"/>
        <v>297.32483725004136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8.5399999999999974</v>
      </c>
      <c r="AI51" s="14">
        <f>IF('Données projet'!$A$62&gt;35,AI50+AH51-AQ50,IF(A51&lt;'Données projet'!$A$62,$AF$205^A51,IF(A51='Données projet'!$A$62,'Données projet'!$B$62,AI50+AH51-AQ50)))</f>
        <v>267.81999999999988</v>
      </c>
      <c r="AJ51" s="14">
        <f>AI51*VLOOKUP('Données projet'!$B$10,Paramètres!$A$1:$I$89,3,0)*VLOOKUP('Données projet'!$B$10,Paramètres!$A$1:$I$89,5,0)</f>
        <v>213.07759199999992</v>
      </c>
      <c r="AK51" s="14">
        <f t="shared" si="35"/>
        <v>52.607546461832449</v>
      </c>
      <c r="AL51" s="22">
        <f t="shared" si="4"/>
        <v>462.73494948769138</v>
      </c>
      <c r="AM51" s="60">
        <f t="shared" si="5"/>
        <v>716.49481817335914</v>
      </c>
      <c r="AN51" s="60">
        <f ca="1">AVERAGE(OFFSET($AM$3,0,0,'Données projet'!$E$10+1,1))-AVERAGE(OFFSET($H$3,0,0,'Données projet'!$E$10+1,1))</f>
        <v>394.49874384716014</v>
      </c>
      <c r="AO51" s="60">
        <f t="shared" si="36"/>
        <v>423.72519584013378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7.1199999999999992</v>
      </c>
      <c r="BD51" s="13">
        <f>IF('Données projet'!$A$88&gt;35,BD50+BC51-BL50,IF(A51&lt;'Données projet'!$A$88,$BA$205^A51,IF(A51='Données projet'!$A$88,'Données projet'!$B$88,BD50+BC51-BL50)))</f>
        <v>225.96000000000009</v>
      </c>
      <c r="BE51" s="14">
        <f>BD51*VLOOKUP('Données projet'!$B$11,Paramètres!$A$1:$I$89,3,0)*VLOOKUP('Données projet'!$B$11,Paramètres!$A$1:$I$89,5,0)</f>
        <v>197.3986560000001</v>
      </c>
      <c r="BF51" s="14">
        <f t="shared" si="37"/>
        <v>49.172036170497854</v>
      </c>
      <c r="BG51" s="22">
        <f t="shared" si="7"/>
        <v>429.44395553028397</v>
      </c>
      <c r="BH51" s="60">
        <f t="shared" si="8"/>
        <v>683.20382421595173</v>
      </c>
      <c r="BI51" s="60">
        <f ca="1">AVERAGE(OFFSET($BH$3,0,0,'Données projet'!$E$11+1,1))-AVERAGE(OFFSET($H$3,0,0,'Données projet'!$E$11+1,1))</f>
        <v>363.28611056308665</v>
      </c>
      <c r="BJ51" s="60">
        <f t="shared" si="38"/>
        <v>389.43647559455974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6.0256410256410273</v>
      </c>
      <c r="BY51" s="13">
        <f>IF('Données projet'!$A$114&gt;35,BY50+BX51-CG50,IF(A51&lt;'Données projet'!$A$114,$BV$205^A51,IF(A51='Données projet'!$A$114,'Données projet'!$B$114,BY50+BX51-CG50)))</f>
        <v>175.12820512820505</v>
      </c>
      <c r="BZ51" s="14">
        <f>BY51*VLOOKUP('Données projet'!$B$12,Paramètres!$A$1:$I$89,3,0)*VLOOKUP('Données projet'!$B$12,Paramètres!$A$1:$I$89,5,0)</f>
        <v>166.65199999999993</v>
      </c>
      <c r="CA51" s="14">
        <f t="shared" si="39"/>
        <v>42.339317127801309</v>
      </c>
      <c r="CB51" s="22">
        <f t="shared" si="10"/>
        <v>363.99321066425381</v>
      </c>
      <c r="CC51" s="60">
        <f t="shared" si="11"/>
        <v>617.75307934992156</v>
      </c>
      <c r="CD51" s="60">
        <f ca="1">AVERAGE(OFFSET($CC$3,0,0,'Données projet'!$E$12+1,1))-AVERAGE(OFFSET($H$3,0,0,'Données projet'!$E$12+1,1))</f>
        <v>441.15969139782891</v>
      </c>
      <c r="CE51" s="60">
        <f t="shared" si="40"/>
        <v>315.06466790224783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8.5399999999999974</v>
      </c>
      <c r="CT51" s="13">
        <f>IF('Données projet'!$A$140&gt;35,CT50+CS51-DB50,IF(A51&lt;'Données projet'!$A$140,$CQ$205^A51,IF(A51='Données projet'!$A$140,'Données projet'!$B$140,CT50+CS51-DB50)))</f>
        <v>267.81999999999988</v>
      </c>
      <c r="CU51" s="18">
        <f>CT51*VLOOKUP('Données projet'!$B$13,Paramètres!$A$1:$I$89,3,0)*VLOOKUP('Données projet'!$B$13,Paramètres!$A$1:$I$89,5,0)</f>
        <v>196.36562399999991</v>
      </c>
      <c r="CV51" s="14">
        <f t="shared" si="41"/>
        <v>48.944591379063773</v>
      </c>
      <c r="CW51" s="22">
        <f t="shared" si="13"/>
        <v>427.24862511853593</v>
      </c>
      <c r="CX51" s="60">
        <f t="shared" si="14"/>
        <v>681.00849380420368</v>
      </c>
      <c r="CY51" s="60">
        <f ca="1">AVERAGE(OFFSET($CX$3,0,0,'Données projet'!$E$13+1,1))-AVERAGE(OFFSET($H$3,0,0,'Données projet'!$E$13+1,1))</f>
        <v>368.35775920359396</v>
      </c>
      <c r="CZ51" s="60">
        <f t="shared" si="42"/>
        <v>395.5218438652638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10.375</v>
      </c>
      <c r="DO51" s="13">
        <f>IF('Données projet'!$A$166&gt;35,DO50+DN51-DW50,IF(A51&lt;'Données projet'!$A$166,$DL$205^A51,IF(A51='Données projet'!$A$166,'Données projet'!$B$166,DO50+DN51-DW50)))</f>
        <v>228.49999999999994</v>
      </c>
      <c r="DP51" s="18">
        <f>DO51*VLOOKUP('Données projet'!$B$14,Paramètres!$A$1:$I$89,3,0)*VLOOKUP('Données projet'!$B$14,Paramètres!$A$1:$I$89,5,0)</f>
        <v>178.22999999999996</v>
      </c>
      <c r="DQ51" s="14">
        <f t="shared" si="43"/>
        <v>44.928167580487852</v>
      </c>
      <c r="DR51" s="22">
        <f t="shared" si="16"/>
        <v>388.66714186934956</v>
      </c>
      <c r="DS51" s="60">
        <f t="shared" si="17"/>
        <v>642.4270105550172</v>
      </c>
      <c r="DT51" s="60">
        <f ca="1">AVERAGE(OFFSET($DS$3,0,0,'Données projet'!$E$14+1,1))-AVERAGE(OFFSET($H$3,0,0,'Données projet'!$E$14+1,1))</f>
        <v>312.59632808777332</v>
      </c>
      <c r="DU51" s="60">
        <f t="shared" si="44"/>
        <v>302.59481222418219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0</v>
      </c>
      <c r="EE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>
        <f>VLOOKUP(A51,'Données projet'!$A$191:$I$211,2,0)</f>
        <v>240</v>
      </c>
      <c r="EH51" s="13">
        <f>VLOOKUP(A51,'Données projet'!$A$191:$I$211,9,0)</f>
        <v>15.666666666666666</v>
      </c>
      <c r="EI51" s="13">
        <f t="array" ref="EI51">INDEX(EH:EH,MIN(IF(ISNUMBER(EH51:EH247),ROW(EH51:EH247),"")))</f>
        <v>15.666666666666666</v>
      </c>
      <c r="EJ51" s="13">
        <f>IF('Données projet'!$A$192&gt;35,EJ50+EI51-ER50,IF(A51&lt;'Données projet'!$A$192,$EG$205^A51,IF(A51='Données projet'!$A$192,'Données projet'!$B$192,EJ50+EI51-ER50)))</f>
        <v>239.99999999999986</v>
      </c>
      <c r="EK51" s="18">
        <f>EJ51*VLOOKUP('Données projet'!$B$15,Paramètres!$A$1:$I$89,3,0)*VLOOKUP('Données projet'!$B$15,Paramètres!$A$1:$I$89,5,0)</f>
        <v>205.91999999999993</v>
      </c>
      <c r="EL51" s="14">
        <f t="shared" si="45"/>
        <v>51.042987531485686</v>
      </c>
      <c r="EM51" s="22">
        <f t="shared" si="19"/>
        <v>447.5438699506708</v>
      </c>
      <c r="EN51" s="60">
        <f t="shared" si="20"/>
        <v>701.30373863633849</v>
      </c>
      <c r="EO51" s="60">
        <f ca="1">AVERAGE(OFFSET($EN$3,0,0,'Données projet'!$E$15+1,1))-AVERAGE(OFFSET($H$3,0,0,'Données projet'!$E$15+1,1))</f>
        <v>478.11504516179713</v>
      </c>
      <c r="EP51" s="60">
        <f t="shared" si="46"/>
        <v>249.93713224442419</v>
      </c>
      <c r="EQ51" s="16">
        <f>IF(ISNA(VLOOKUP(A51,'Données projet'!$A$191:$I$211,3,0)),0,VLOOKUP(A51,'Données projet'!$A$191:$I$211,3,0))</f>
        <v>5</v>
      </c>
      <c r="ER51" s="16">
        <f>IF(ISNA(VLOOKUP(A51,'Données projet'!$A$191:$I$211,4,0)),0,VLOOKUP(A51,'Données projet'!$A$191:$I$211,4,0))</f>
        <v>63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0</v>
      </c>
      <c r="EW51" s="23">
        <f>EXP(-LN(2)/25)*EW50+(1-EXP(-LN(2)/25))/(LN(2)/25)*Calculateur!ER51*Calculateur!ET51*VLOOKUP('Données projet'!$B$15,Paramètres!$A$1:$I$89,3,0)*0.475*44/12</f>
        <v>0</v>
      </c>
      <c r="EX51" s="23">
        <f>EXP(-LN(2)/2)*EX50+(1-EXP(-LN(2)/2))/(LN(2)/2)*ER51*EU51*VLOOKUP('Données projet'!$B$15,Paramètres!$A$1:$I$89,3,0)*0.475*44/12</f>
        <v>0</v>
      </c>
      <c r="EY51" s="24">
        <f t="shared" si="21"/>
        <v>0</v>
      </c>
      <c r="EZ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11</v>
      </c>
      <c r="FE51" s="13">
        <f>IF('Données projet'!$A$218&gt;35,FE50+FD51-FM50,IF(A51&lt;'Données projet'!$A$218,$FB$205^A51,IF(A51='Données projet'!$A$218,'Données projet'!$B$218,FE50+FD51-FM50)))</f>
        <v>209.00000000000006</v>
      </c>
      <c r="FF51" s="18">
        <f>FE51*VLOOKUP('Données projet'!$B$16,Paramètres!$A$1:$I$89,3,0)*VLOOKUP('Données projet'!$B$16,Paramètres!$A$1:$I$89,5,0)</f>
        <v>202.14480000000006</v>
      </c>
      <c r="FG51" s="14">
        <f t="shared" si="47"/>
        <v>50.215236821738628</v>
      </c>
      <c r="FH51" s="22">
        <f t="shared" si="22"/>
        <v>439.52706413119489</v>
      </c>
      <c r="FI51" s="60">
        <f t="shared" si="23"/>
        <v>693.28693281686265</v>
      </c>
      <c r="FJ51" s="60">
        <f ca="1">AVERAGE(OFFSET($FI$3,0,0,'Données projet'!$E$16+1,1))-AVERAGE(OFFSET($H$3,0,0,'Données projet'!$E$16+1,1))</f>
        <v>603.52431522262032</v>
      </c>
      <c r="FK51" s="60">
        <f t="shared" si="48"/>
        <v>313.56299786481338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>
        <f>EXP(-LN(2)/35)*FQ50+(1-EXP(-LN(2)/35))/(LN(2)/35)*FM51*FN51*VLOOKUP('Données projet'!$B$16,Paramètres!$A$1:$I$89,3,0)*0.475*44/12</f>
        <v>0</v>
      </c>
      <c r="FR51" s="23">
        <f>EXP(-LN(2)/25)*FR50+(1-EXP(-LN(2)/25))/(LN(2)/25)*Calculateur!FM51*Calculateur!FO51*VLOOKUP('Données projet'!$B$16,Paramètres!$A$1:$I$89,3,0)*0.475*44/12</f>
        <v>0</v>
      </c>
      <c r="FS51" s="23">
        <f>EXP(-LN(2)/2)*FS50+(1-EXP(-LN(2)/2))/(LN(2)/2)*FM51*FP51*VLOOKUP('Données projet'!$B$16,Paramètres!$A$1:$I$89,3,0)*0.475*44/12</f>
        <v>0</v>
      </c>
      <c r="FT51" s="24">
        <f t="shared" si="24"/>
        <v>0</v>
      </c>
      <c r="FU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7.0512820512820555</v>
      </c>
      <c r="FZ51" s="13">
        <f>IF('Données projet'!$A$244&gt;35,FZ50+FY51-GH50,IF(A51&lt;'Données projet'!$A$244,$FW$205^A51,IF(A51='Données projet'!$A$244,'Données projet'!$B$244,FZ50+FY51-GH50)))</f>
        <v>247.43589743589752</v>
      </c>
      <c r="GA51" s="18">
        <f>FZ51*VLOOKUP('Données projet'!$B$17,Paramètres!$A$1:$I$89,3,0)*VLOOKUP('Données projet'!$B$17,Paramètres!$A$1:$I$89,5,0)</f>
        <v>165.98000000000005</v>
      </c>
      <c r="GB51" s="14">
        <f t="shared" si="49"/>
        <v>42.188427161252903</v>
      </c>
      <c r="GC51" s="22">
        <f t="shared" si="25"/>
        <v>362.56001063918217</v>
      </c>
      <c r="GD51" s="60">
        <f t="shared" si="26"/>
        <v>616.31987932484981</v>
      </c>
      <c r="GE51" s="60">
        <f ca="1">AVERAGE(OFFSET($GD$3,0,0,'Données projet'!$E$17+1,1))-AVERAGE(OFFSET($H$3,0,0,'Données projet'!$E$17+1,1))</f>
        <v>396.0878652679051</v>
      </c>
      <c r="GF51" s="60">
        <f t="shared" si="50"/>
        <v>327.26339199235406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>
        <f>EXP(-LN(2)/35)*GL50+(1-EXP(-LN(2)/35))/(LN(2)/35)*GH51*GI51*VLOOKUP('Données projet'!$B$17,Paramètres!$A$1:$I$89,3,0)*0.475*44/12</f>
        <v>0</v>
      </c>
      <c r="GM51" s="23">
        <f>EXP(-LN(2)/25)*GM50+(1-EXP(-LN(2)/25))/(LN(2)/25)*Calculateur!GH51*Calculateur!GJ51*VLOOKUP('Données projet'!$B$17,Paramètres!$A$1:$I$89,3,0)*0.475*44/12</f>
        <v>0</v>
      </c>
      <c r="GN51" s="23">
        <f>EXP(-LN(2)/2)*GN50+(1-EXP(-LN(2)/2))/(LN(2)/2)*GH51*GK51*VLOOKUP('Données projet'!$B$17,Paramètres!$A$1:$I$89,3,0)*0.475*44/12</f>
        <v>0</v>
      </c>
      <c r="GO51" s="23">
        <f t="shared" si="27"/>
        <v>0</v>
      </c>
      <c r="GP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7.6</v>
      </c>
      <c r="GU51" s="13">
        <f>IF('Données projet'!$A$270&gt;35,GU50+GT51-HC50,IF(A51&lt;'Données projet'!$A$270,$GR$205^A51,IF(A51='Données projet'!$A$270,'Données projet'!$B$270,GU50+GT51-HC50)))</f>
        <v>212.79999999999998</v>
      </c>
      <c r="GV51" s="18">
        <f>GU51*VLOOKUP('Données projet'!$B$18,Paramètres!$A$1:$I$89,3,0)*VLOOKUP('Données projet'!$B$18,Paramètres!$A$1:$I$89,5,0)</f>
        <v>172.62335999999999</v>
      </c>
      <c r="GW51" s="14">
        <f t="shared" si="51"/>
        <v>43.67704427998607</v>
      </c>
      <c r="GX51" s="22">
        <f t="shared" si="28"/>
        <v>376.72320412097571</v>
      </c>
      <c r="GY51" s="60">
        <f t="shared" si="29"/>
        <v>630.48307280664335</v>
      </c>
      <c r="GZ51" s="60">
        <f ca="1">AVERAGE(OFFSET($GY$3,0,0,'Données projet'!$E$18+1,1))-AVERAGE(OFFSET($H$3,0,0,'Données projet'!$E$18+1,1))</f>
        <v>272.69564942740931</v>
      </c>
      <c r="HA51" s="60">
        <f t="shared" si="52"/>
        <v>316.57989180609252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>
        <f>EXP(-LN(2)/35)*HG50+(1-EXP(-LN(2)/35))/(LN(2)/35)*HC51*HD51*VLOOKUP('Données projet'!$B$18,Paramètres!$A$1:$I$89,3,0)*0.475*44/12</f>
        <v>0</v>
      </c>
      <c r="HH51" s="23">
        <f>EXP(-LN(2)/25)*HH50+(1-EXP(-LN(2)/25))/(LN(2)/25)*Calculateur!HC51*Calculateur!HE51*VLOOKUP('Données projet'!$B$18,Paramètres!$A$1:$I$89,3,0)*0.475*44/12</f>
        <v>0</v>
      </c>
      <c r="HI51" s="23">
        <f>EXP(-LN(2)/2)*HI50+(1-EXP(-LN(2)/2))/(LN(2)/2)*HC51*HF51*VLOOKUP('Données projet'!$B$18,Paramètres!$A$1:$I$89,3,0)*0.475*44/12</f>
        <v>0</v>
      </c>
      <c r="HJ51" s="24">
        <f t="shared" si="30"/>
        <v>0</v>
      </c>
    </row>
    <row r="52" spans="1:218" s="5" customFormat="1" x14ac:dyDescent="0.25">
      <c r="A52" s="11">
        <f t="shared" si="31"/>
        <v>49</v>
      </c>
      <c r="B52" s="75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8">
        <f t="shared" si="1"/>
        <v>183.33333333333334</v>
      </c>
      <c r="I52" s="7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11</v>
      </c>
      <c r="N52" s="14">
        <f>IF('Données projet'!$A$36&gt;35,N51+M52-V51,IF(A52&lt;'Données projet'!$A$36,$K$205^A52,IF(A52='Données projet'!$A$36,'Données projet'!$B$36,N51+M52-V51)))</f>
        <v>220.00000000000006</v>
      </c>
      <c r="O52" s="14">
        <f>N52*VLOOKUP('Données projet'!$B$9,Paramètres!$A$1:$I$89,3,0)*VLOOKUP('Données projet'!$B$9,Paramètres!$A$1:$I$89,5,0)</f>
        <v>199.05600000000004</v>
      </c>
      <c r="P52" s="14">
        <f t="shared" si="33"/>
        <v>49.536648006253934</v>
      </c>
      <c r="Q52" s="22">
        <f t="shared" si="53"/>
        <v>432.96552861089231</v>
      </c>
      <c r="R52" s="60">
        <f t="shared" si="0"/>
        <v>687.41190843518427</v>
      </c>
      <c r="S52" s="60">
        <f ca="1">AVERAGE(OFFSET($R$3,0,0,'Données projet'!$E$9+1,1))-AVERAGE(OFFSET($H$3,0,0,'Données projet'!$E$9+1,1))</f>
        <v>570.08763950759544</v>
      </c>
      <c r="T52" s="60">
        <f t="shared" si="34"/>
        <v>297.32483725004136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8.5399999999999974</v>
      </c>
      <c r="AI52" s="14">
        <f>IF('Données projet'!$A$62&gt;35,AI51+AH52-AQ51,IF(A52&lt;'Données projet'!$A$62,$AF$205^A52,IF(A52='Données projet'!$A$62,'Données projet'!$B$62,AI51+AH52-AQ51)))</f>
        <v>276.3599999999999</v>
      </c>
      <c r="AJ52" s="14">
        <f>AI52*VLOOKUP('Données projet'!$B$10,Paramètres!$A$1:$I$89,3,0)*VLOOKUP('Données projet'!$B$10,Paramètres!$A$1:$I$89,5,0)</f>
        <v>219.87201599999992</v>
      </c>
      <c r="AK52" s="14">
        <f t="shared" si="35"/>
        <v>54.087068088530145</v>
      </c>
      <c r="AL52" s="22">
        <f t="shared" si="4"/>
        <v>477.14540478752315</v>
      </c>
      <c r="AM52" s="60">
        <f t="shared" si="5"/>
        <v>731.59178461181511</v>
      </c>
      <c r="AN52" s="60">
        <f ca="1">AVERAGE(OFFSET($AM$3,0,0,'Données projet'!$E$10+1,1))-AVERAGE(OFFSET($H$3,0,0,'Données projet'!$E$10+1,1))</f>
        <v>394.49874384716014</v>
      </c>
      <c r="AO52" s="60">
        <f t="shared" si="36"/>
        <v>423.72519584013378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7.1199999999999992</v>
      </c>
      <c r="BD52" s="13">
        <f>IF('Données projet'!$A$88&gt;35,BD51+BC52-BL51,IF(A52&lt;'Données projet'!$A$88,$BA$205^A52,IF(A52='Données projet'!$A$88,'Données projet'!$B$88,BD51+BC52-BL51)))</f>
        <v>233.0800000000001</v>
      </c>
      <c r="BE52" s="14">
        <f>BD52*VLOOKUP('Données projet'!$B$11,Paramètres!$A$1:$I$89,3,0)*VLOOKUP('Données projet'!$B$11,Paramètres!$A$1:$I$89,5,0)</f>
        <v>203.61868800000011</v>
      </c>
      <c r="BF52" s="14">
        <f t="shared" si="37"/>
        <v>50.538613948142249</v>
      </c>
      <c r="BG52" s="22">
        <f t="shared" si="7"/>
        <v>442.65730089301456</v>
      </c>
      <c r="BH52" s="60">
        <f t="shared" si="8"/>
        <v>697.10368071730659</v>
      </c>
      <c r="BI52" s="60">
        <f ca="1">AVERAGE(OFFSET($BH$3,0,0,'Données projet'!$E$11+1,1))-AVERAGE(OFFSET($H$3,0,0,'Données projet'!$E$11+1,1))</f>
        <v>363.28611056308665</v>
      </c>
      <c r="BJ52" s="60">
        <f t="shared" si="38"/>
        <v>389.43647559455974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6.0256410256410273</v>
      </c>
      <c r="BY52" s="13">
        <f>IF('Données projet'!$A$114&gt;35,BY51+BX52-CG51,IF(A52&lt;'Données projet'!$A$114,$BV$205^A52,IF(A52='Données projet'!$A$114,'Données projet'!$B$114,BY51+BX52-CG51)))</f>
        <v>181.15384615384608</v>
      </c>
      <c r="BZ52" s="14">
        <f>BY52*VLOOKUP('Données projet'!$B$12,Paramètres!$A$1:$I$89,3,0)*VLOOKUP('Données projet'!$B$12,Paramètres!$A$1:$I$89,5,0)</f>
        <v>172.38599999999991</v>
      </c>
      <c r="CA52" s="14">
        <f t="shared" si="39"/>
        <v>43.623973962324399</v>
      </c>
      <c r="CB52" s="22">
        <f t="shared" si="10"/>
        <v>376.21737131771482</v>
      </c>
      <c r="CC52" s="60">
        <f t="shared" si="11"/>
        <v>630.66375114200673</v>
      </c>
      <c r="CD52" s="60">
        <f ca="1">AVERAGE(OFFSET($CC$3,0,0,'Données projet'!$E$12+1,1))-AVERAGE(OFFSET($H$3,0,0,'Données projet'!$E$12+1,1))</f>
        <v>441.15969139782891</v>
      </c>
      <c r="CE52" s="60">
        <f t="shared" si="40"/>
        <v>315.06466790224783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8.5399999999999974</v>
      </c>
      <c r="CT52" s="13">
        <f>IF('Données projet'!$A$140&gt;35,CT51+CS52-DB51,IF(A52&lt;'Données projet'!$A$140,$CQ$205^A52,IF(A52='Données projet'!$A$140,'Données projet'!$B$140,CT51+CS52-DB51)))</f>
        <v>276.3599999999999</v>
      </c>
      <c r="CU52" s="18">
        <f>CT52*VLOOKUP('Données projet'!$B$13,Paramètres!$A$1:$I$89,3,0)*VLOOKUP('Données projet'!$B$13,Paramètres!$A$1:$I$89,5,0)</f>
        <v>202.62715199999994</v>
      </c>
      <c r="CV52" s="14">
        <f t="shared" si="41"/>
        <v>50.321096962872829</v>
      </c>
      <c r="CW52" s="22">
        <f t="shared" si="13"/>
        <v>440.55153361033672</v>
      </c>
      <c r="CX52" s="60">
        <f t="shared" si="14"/>
        <v>694.99791343462869</v>
      </c>
      <c r="CY52" s="60">
        <f ca="1">AVERAGE(OFFSET($CX$3,0,0,'Données projet'!$E$13+1,1))-AVERAGE(OFFSET($H$3,0,0,'Données projet'!$E$13+1,1))</f>
        <v>368.35775920359396</v>
      </c>
      <c r="CZ52" s="60">
        <f t="shared" si="42"/>
        <v>395.5218438652638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10.375</v>
      </c>
      <c r="DO52" s="13">
        <f>IF('Données projet'!$A$166&gt;35,DO51+DN52-DW51,IF(A52&lt;'Données projet'!$A$166,$DL$205^A52,IF(A52='Données projet'!$A$166,'Données projet'!$B$166,DO51+DN52-DW51)))</f>
        <v>238.87499999999994</v>
      </c>
      <c r="DP52" s="18">
        <f>DO52*VLOOKUP('Données projet'!$B$14,Paramètres!$A$1:$I$89,3,0)*VLOOKUP('Données projet'!$B$14,Paramètres!$A$1:$I$89,5,0)</f>
        <v>186.32249999999996</v>
      </c>
      <c r="DQ52" s="14">
        <f t="shared" si="43"/>
        <v>46.725987276254116</v>
      </c>
      <c r="DR52" s="22">
        <f t="shared" si="16"/>
        <v>405.89278200614257</v>
      </c>
      <c r="DS52" s="60">
        <f t="shared" si="17"/>
        <v>660.33916183043448</v>
      </c>
      <c r="DT52" s="60">
        <f ca="1">AVERAGE(OFFSET($DS$3,0,0,'Données projet'!$E$14+1,1))-AVERAGE(OFFSET($H$3,0,0,'Données projet'!$E$14+1,1))</f>
        <v>312.59632808777332</v>
      </c>
      <c r="DU52" s="60">
        <f t="shared" si="44"/>
        <v>302.59481222418219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0</v>
      </c>
      <c r="EE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15.5</v>
      </c>
      <c r="EJ52" s="13">
        <f>IF('Données projet'!$A$192&gt;35,EJ51+EI52-ER51,IF(A52&lt;'Données projet'!$A$192,$EG$205^A52,IF(A52='Données projet'!$A$192,'Données projet'!$B$192,EJ51+EI52-ER51)))</f>
        <v>192.49999999999986</v>
      </c>
      <c r="EK52" s="18">
        <f>EJ52*VLOOKUP('Données projet'!$B$15,Paramètres!$A$1:$I$89,3,0)*VLOOKUP('Données projet'!$B$15,Paramètres!$A$1:$I$89,5,0)</f>
        <v>165.16499999999991</v>
      </c>
      <c r="EL52" s="14">
        <f t="shared" si="45"/>
        <v>42.00533269839395</v>
      </c>
      <c r="EM52" s="22">
        <f t="shared" si="19"/>
        <v>360.82166278303589</v>
      </c>
      <c r="EN52" s="60">
        <f t="shared" si="20"/>
        <v>615.26804260732786</v>
      </c>
      <c r="EO52" s="60">
        <f ca="1">AVERAGE(OFFSET($EN$3,0,0,'Données projet'!$E$15+1,1))-AVERAGE(OFFSET($H$3,0,0,'Données projet'!$E$15+1,1))</f>
        <v>478.11504516179713</v>
      </c>
      <c r="EP52" s="60">
        <f t="shared" si="46"/>
        <v>249.93713224442419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0</v>
      </c>
      <c r="EW52" s="23">
        <f>EXP(-LN(2)/25)*EW51+(1-EXP(-LN(2)/25))/(LN(2)/25)*Calculateur!ER52*Calculateur!ET52*VLOOKUP('Données projet'!$B$15,Paramètres!$A$1:$I$89,3,0)*0.475*44/12</f>
        <v>0</v>
      </c>
      <c r="EX52" s="23">
        <f>EXP(-LN(2)/2)*EX51+(1-EXP(-LN(2)/2))/(LN(2)/2)*ER52*EU52*VLOOKUP('Données projet'!$B$15,Paramètres!$A$1:$I$89,3,0)*0.475*44/12</f>
        <v>0</v>
      </c>
      <c r="EY52" s="24">
        <f t="shared" si="21"/>
        <v>0</v>
      </c>
      <c r="EZ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11</v>
      </c>
      <c r="FE52" s="13">
        <f>IF('Données projet'!$A$218&gt;35,FE51+FD52-FM51,IF(A52&lt;'Données projet'!$A$218,$FB$205^A52,IF(A52='Données projet'!$A$218,'Données projet'!$B$218,FE51+FD52-FM51)))</f>
        <v>220.00000000000006</v>
      </c>
      <c r="FF52" s="18">
        <f>FE52*VLOOKUP('Données projet'!$B$16,Paramètres!$A$1:$I$89,3,0)*VLOOKUP('Données projet'!$B$16,Paramètres!$A$1:$I$89,5,0)</f>
        <v>212.78400000000005</v>
      </c>
      <c r="FG52" s="14">
        <f t="shared" si="47"/>
        <v>52.543492641808108</v>
      </c>
      <c r="FH52" s="22">
        <f t="shared" si="22"/>
        <v>462.11204968448243</v>
      </c>
      <c r="FI52" s="60">
        <f t="shared" si="23"/>
        <v>716.55842950877445</v>
      </c>
      <c r="FJ52" s="60">
        <f ca="1">AVERAGE(OFFSET($FI$3,0,0,'Données projet'!$E$16+1,1))-AVERAGE(OFFSET($H$3,0,0,'Données projet'!$E$16+1,1))</f>
        <v>603.52431522262032</v>
      </c>
      <c r="FK52" s="60">
        <f t="shared" si="48"/>
        <v>313.56299786481338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>
        <f>EXP(-LN(2)/35)*FQ51+(1-EXP(-LN(2)/35))/(LN(2)/35)*FM52*FN52*VLOOKUP('Données projet'!$B$16,Paramètres!$A$1:$I$89,3,0)*0.475*44/12</f>
        <v>0</v>
      </c>
      <c r="FR52" s="23">
        <f>EXP(-LN(2)/25)*FR51+(1-EXP(-LN(2)/25))/(LN(2)/25)*Calculateur!FM52*Calculateur!FO52*VLOOKUP('Données projet'!$B$16,Paramètres!$A$1:$I$89,3,0)*0.475*44/12</f>
        <v>0</v>
      </c>
      <c r="FS52" s="23">
        <f>EXP(-LN(2)/2)*FS51+(1-EXP(-LN(2)/2))/(LN(2)/2)*FM52*FP52*VLOOKUP('Données projet'!$B$16,Paramètres!$A$1:$I$89,3,0)*0.475*44/12</f>
        <v>0</v>
      </c>
      <c r="FT52" s="24">
        <f t="shared" si="24"/>
        <v>0</v>
      </c>
      <c r="FU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7.0512820512820555</v>
      </c>
      <c r="FZ52" s="13">
        <f>IF('Données projet'!$A$244&gt;35,FZ51+FY52-GH51,IF(A52&lt;'Données projet'!$A$244,$FW$205^A52,IF(A52='Données projet'!$A$244,'Données projet'!$B$244,FZ51+FY52-GH51)))</f>
        <v>254.48717948717956</v>
      </c>
      <c r="GA52" s="18">
        <f>FZ52*VLOOKUP('Données projet'!$B$17,Paramètres!$A$1:$I$89,3,0)*VLOOKUP('Données projet'!$B$17,Paramètres!$A$1:$I$89,5,0)</f>
        <v>170.71000000000006</v>
      </c>
      <c r="GB52" s="14">
        <f t="shared" si="49"/>
        <v>43.249001374438308</v>
      </c>
      <c r="GC52" s="22">
        <f t="shared" si="25"/>
        <v>372.64526072714688</v>
      </c>
      <c r="GD52" s="60">
        <f t="shared" si="26"/>
        <v>627.09164055143879</v>
      </c>
      <c r="GE52" s="60">
        <f ca="1">AVERAGE(OFFSET($GD$3,0,0,'Données projet'!$E$17+1,1))-AVERAGE(OFFSET($H$3,0,0,'Données projet'!$E$17+1,1))</f>
        <v>396.0878652679051</v>
      </c>
      <c r="GF52" s="60">
        <f t="shared" si="50"/>
        <v>327.26339199235406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>
        <f>EXP(-LN(2)/35)*GL51+(1-EXP(-LN(2)/35))/(LN(2)/35)*GH52*GI52*VLOOKUP('Données projet'!$B$17,Paramètres!$A$1:$I$89,3,0)*0.475*44/12</f>
        <v>0</v>
      </c>
      <c r="GM52" s="23">
        <f>EXP(-LN(2)/25)*GM51+(1-EXP(-LN(2)/25))/(LN(2)/25)*Calculateur!GH52*Calculateur!GJ52*VLOOKUP('Données projet'!$B$17,Paramètres!$A$1:$I$89,3,0)*0.475*44/12</f>
        <v>0</v>
      </c>
      <c r="GN52" s="23">
        <f>EXP(-LN(2)/2)*GN51+(1-EXP(-LN(2)/2))/(LN(2)/2)*GH52*GK52*VLOOKUP('Données projet'!$B$17,Paramètres!$A$1:$I$89,3,0)*0.475*44/12</f>
        <v>0</v>
      </c>
      <c r="GO52" s="23">
        <f t="shared" si="27"/>
        <v>0</v>
      </c>
      <c r="GP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7.6</v>
      </c>
      <c r="GU52" s="13">
        <f>IF('Données projet'!$A$270&gt;35,GU51+GT52-HC51,IF(A52&lt;'Données projet'!$A$270,$GR$205^A52,IF(A52='Données projet'!$A$270,'Données projet'!$B$270,GU51+GT52-HC51)))</f>
        <v>220.39999999999998</v>
      </c>
      <c r="GV52" s="18">
        <f>GU52*VLOOKUP('Données projet'!$B$18,Paramètres!$A$1:$I$89,3,0)*VLOOKUP('Données projet'!$B$18,Paramètres!$A$1:$I$89,5,0)</f>
        <v>178.78847999999999</v>
      </c>
      <c r="GW52" s="14">
        <f t="shared" si="51"/>
        <v>45.052539436241446</v>
      </c>
      <c r="GX52" s="22">
        <f t="shared" si="28"/>
        <v>389.85644218478711</v>
      </c>
      <c r="GY52" s="60">
        <f t="shared" si="29"/>
        <v>644.30282200907914</v>
      </c>
      <c r="GZ52" s="60">
        <f ca="1">AVERAGE(OFFSET($GY$3,0,0,'Données projet'!$E$18+1,1))-AVERAGE(OFFSET($H$3,0,0,'Données projet'!$E$18+1,1))</f>
        <v>272.69564942740931</v>
      </c>
      <c r="HA52" s="60">
        <f t="shared" si="52"/>
        <v>316.57989180609252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>
        <f>EXP(-LN(2)/35)*HG51+(1-EXP(-LN(2)/35))/(LN(2)/35)*HC52*HD52*VLOOKUP('Données projet'!$B$18,Paramètres!$A$1:$I$89,3,0)*0.475*44/12</f>
        <v>0</v>
      </c>
      <c r="HH52" s="23">
        <f>EXP(-LN(2)/25)*HH51+(1-EXP(-LN(2)/25))/(LN(2)/25)*Calculateur!HC52*Calculateur!HE52*VLOOKUP('Données projet'!$B$18,Paramètres!$A$1:$I$89,3,0)*0.475*44/12</f>
        <v>0</v>
      </c>
      <c r="HI52" s="23">
        <f>EXP(-LN(2)/2)*HI51+(1-EXP(-LN(2)/2))/(LN(2)/2)*HC52*HF52*VLOOKUP('Données projet'!$B$18,Paramètres!$A$1:$I$89,3,0)*0.475*44/12</f>
        <v>0</v>
      </c>
      <c r="HJ52" s="24">
        <f t="shared" si="30"/>
        <v>0</v>
      </c>
    </row>
    <row r="53" spans="1:218" s="5" customFormat="1" x14ac:dyDescent="0.25">
      <c r="A53" s="11">
        <f t="shared" si="31"/>
        <v>50</v>
      </c>
      <c r="B53" s="75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8">
        <f t="shared" si="1"/>
        <v>183.33333333333334</v>
      </c>
      <c r="I53" s="7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231</v>
      </c>
      <c r="L53" s="13">
        <f>VLOOKUP(A53,'Données projet'!$A$35:$I$55,9,0)</f>
        <v>11</v>
      </c>
      <c r="M53" s="13">
        <f t="array" ref="M53">INDEX(L:L,MIN(IF(ISNUMBER(L53:L249),ROW(L53:L249),"")))</f>
        <v>11</v>
      </c>
      <c r="N53" s="14">
        <f>IF('Données projet'!$A$36&gt;35,N52+M53-V52,IF(A53&lt;'Données projet'!$A$36,$K$205^A53,IF(A53='Données projet'!$A$36,'Données projet'!$B$36,N52+M53-V52)))</f>
        <v>231.00000000000006</v>
      </c>
      <c r="O53" s="14">
        <f>N53*VLOOKUP('Données projet'!$B$9,Paramètres!$A$1:$I$89,3,0)*VLOOKUP('Données projet'!$B$9,Paramètres!$A$1:$I$89,5,0)</f>
        <v>209.00880000000004</v>
      </c>
      <c r="P53" s="14">
        <f t="shared" si="33"/>
        <v>51.718923953824252</v>
      </c>
      <c r="Q53" s="22">
        <f t="shared" si="53"/>
        <v>454.10078588624395</v>
      </c>
      <c r="R53" s="60">
        <f t="shared" si="0"/>
        <v>709.22176741571411</v>
      </c>
      <c r="S53" s="60">
        <f ca="1">AVERAGE(OFFSET($R$3,0,0,'Données projet'!$E$9+1,1))-AVERAGE(OFFSET($H$3,0,0,'Données projet'!$E$9+1,1))</f>
        <v>570.08763950759544</v>
      </c>
      <c r="T53" s="60">
        <f t="shared" si="34"/>
        <v>297.32483725004136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284.89999999999998</v>
      </c>
      <c r="AG53" s="13">
        <f>VLOOKUP(A53,'Données projet'!$A$61:$I$81,9,0)</f>
        <v>8.5399999999999974</v>
      </c>
      <c r="AH53" s="13">
        <f t="array" ref="AH53">INDEX(AG:AG,MIN(IF(ISNUMBER(AG53:AG249),ROW(AG53:AG249),"")))</f>
        <v>8.5399999999999974</v>
      </c>
      <c r="AI53" s="14">
        <f>IF('Données projet'!$A$62&gt;35,AI52+AH53-AQ52,IF(A53&lt;'Données projet'!$A$62,$AF$205^A53,IF(A53='Données projet'!$A$62,'Données projet'!$B$62,AI52+AH53-AQ52)))</f>
        <v>284.89999999999992</v>
      </c>
      <c r="AJ53" s="14">
        <f>AI53*VLOOKUP('Données projet'!$B$10,Paramètres!$A$1:$I$89,3,0)*VLOOKUP('Données projet'!$B$10,Paramètres!$A$1:$I$89,5,0)</f>
        <v>226.66643999999994</v>
      </c>
      <c r="AK53" s="14">
        <f t="shared" si="35"/>
        <v>55.561276600641385</v>
      </c>
      <c r="AL53" s="22">
        <f t="shared" si="4"/>
        <v>491.5466064127836</v>
      </c>
      <c r="AM53" s="60">
        <f t="shared" si="5"/>
        <v>746.6675879422537</v>
      </c>
      <c r="AN53" s="60">
        <f ca="1">AVERAGE(OFFSET($AM$3,0,0,'Données projet'!$E$10+1,1))-AVERAGE(OFFSET($H$3,0,0,'Données projet'!$E$10+1,1))</f>
        <v>394.49874384716014</v>
      </c>
      <c r="AO53" s="60">
        <f t="shared" si="36"/>
        <v>423.72519584013378</v>
      </c>
      <c r="AP53" s="16">
        <f>IF(ISNA(VLOOKUP(A53,'Données projet'!$A$61:$I$81,3,0)),0,VLOOKUP(A53,'Données projet'!$A$61:$I$81,3,0))</f>
        <v>4</v>
      </c>
      <c r="AQ53" s="16">
        <f>IF(ISNA(VLOOKUP(A53,'Données projet'!$A$61:$I$81,4,0)),0,VLOOKUP(A53,'Données projet'!$A$61:$I$81,4,0))</f>
        <v>43.099999999999994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240.20000000000002</v>
      </c>
      <c r="BB53" s="13">
        <f>VLOOKUP(A53,'Données projet'!$A$87:$I$107,9,0)</f>
        <v>7.1199999999999992</v>
      </c>
      <c r="BC53" s="13">
        <f t="array" ref="BC53">INDEX(BB:BB,MIN(IF(ISNUMBER(BB53:BB249),ROW(BB53:BB249),"")))</f>
        <v>7.1199999999999992</v>
      </c>
      <c r="BD53" s="13">
        <f>IF('Données projet'!$A$88&gt;35,BD52+BC53-BL52,IF(A53&lt;'Données projet'!$A$88,$BA$205^A53,IF(A53='Données projet'!$A$88,'Données projet'!$B$88,BD52+BC53-BL52)))</f>
        <v>240.2000000000001</v>
      </c>
      <c r="BE53" s="14">
        <f>BD53*VLOOKUP('Données projet'!$B$11,Paramètres!$A$1:$I$89,3,0)*VLOOKUP('Données projet'!$B$11,Paramètres!$A$1:$I$89,5,0)</f>
        <v>209.83872000000011</v>
      </c>
      <c r="BF53" s="14">
        <f t="shared" si="37"/>
        <v>51.90034038479439</v>
      </c>
      <c r="BG53" s="22">
        <f t="shared" si="7"/>
        <v>455.86219683685039</v>
      </c>
      <c r="BH53" s="60">
        <f t="shared" si="8"/>
        <v>710.98317836632054</v>
      </c>
      <c r="BI53" s="60">
        <f ca="1">AVERAGE(OFFSET($BH$3,0,0,'Données projet'!$E$11+1,1))-AVERAGE(OFFSET($H$3,0,0,'Données projet'!$E$11+1,1))</f>
        <v>363.28611056308665</v>
      </c>
      <c r="BJ53" s="60">
        <f t="shared" si="38"/>
        <v>389.43647559455974</v>
      </c>
      <c r="BK53" s="16">
        <f>IF(ISNA(VLOOKUP(A53,'Données projet'!$A$87:$I$107,3,0)),0,VLOOKUP(A53,'Données projet'!$A$87:$I$107,3,0))</f>
        <v>4</v>
      </c>
      <c r="BL53" s="16">
        <f>IF(ISNA(VLOOKUP(A53,'Données projet'!$A$87:$I$107,4,0)),0,VLOOKUP(A53,'Données projet'!$A$87:$I$107,4,0))</f>
        <v>38.299999999999997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187.17948717948718</v>
      </c>
      <c r="BW53" s="13">
        <f>VLOOKUP(A53,'Données projet'!$A$113:$I$133,9,0)</f>
        <v>6.0256410256410273</v>
      </c>
      <c r="BX53" s="13">
        <f t="array" ref="BX53">INDEX(BW:BW,MIN(IF(ISNUMBER(BW53:BW249),ROW(BW53:BW249),"")))</f>
        <v>6.0256410256410273</v>
      </c>
      <c r="BY53" s="13">
        <f>IF('Données projet'!$A$114&gt;35,BY52+BX53-CG52,IF(A53&lt;'Données projet'!$A$114,$BV$205^A53,IF(A53='Données projet'!$A$114,'Données projet'!$B$114,BY52+BX53-CG52)))</f>
        <v>187.1794871794871</v>
      </c>
      <c r="BZ53" s="14">
        <f>BY53*VLOOKUP('Données projet'!$B$12,Paramètres!$A$1:$I$89,3,0)*VLOOKUP('Données projet'!$B$12,Paramètres!$A$1:$I$89,5,0)</f>
        <v>178.11999999999992</v>
      </c>
      <c r="CA53" s="14">
        <f t="shared" si="39"/>
        <v>44.90366556024162</v>
      </c>
      <c r="CB53" s="22">
        <f t="shared" si="10"/>
        <v>388.4328841840873</v>
      </c>
      <c r="CC53" s="60">
        <f t="shared" si="11"/>
        <v>643.55386571355734</v>
      </c>
      <c r="CD53" s="60">
        <f ca="1">AVERAGE(OFFSET($CC$3,0,0,'Données projet'!$E$12+1,1))-AVERAGE(OFFSET($H$3,0,0,'Données projet'!$E$12+1,1))</f>
        <v>441.15969139782891</v>
      </c>
      <c r="CE53" s="60">
        <f t="shared" si="40"/>
        <v>315.06466790224783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284.89999999999998</v>
      </c>
      <c r="CR53" s="13">
        <f>VLOOKUP(A53,'Données projet'!$A$139:$I$159,9,0)</f>
        <v>8.5399999999999974</v>
      </c>
      <c r="CS53" s="13">
        <f t="array" ref="CS53">INDEX(CR:CR,MIN(IF(ISNUMBER(CR53:CR249),ROW(CR53:CR249),"")))</f>
        <v>8.5399999999999974</v>
      </c>
      <c r="CT53" s="13">
        <f>IF('Données projet'!$A$140&gt;35,CT52+CS53-DB52,IF(A53&lt;'Données projet'!$A$140,$CQ$205^A53,IF(A53='Données projet'!$A$140,'Données projet'!$B$140,CT52+CS53-DB52)))</f>
        <v>284.89999999999992</v>
      </c>
      <c r="CU53" s="18">
        <f>CT53*VLOOKUP('Données projet'!$B$13,Paramètres!$A$1:$I$89,3,0)*VLOOKUP('Données projet'!$B$13,Paramètres!$A$1:$I$89,5,0)</f>
        <v>208.88867999999994</v>
      </c>
      <c r="CV53" s="14">
        <f t="shared" si="41"/>
        <v>51.692659373318428</v>
      </c>
      <c r="CW53" s="22">
        <f t="shared" si="13"/>
        <v>453.84583274186275</v>
      </c>
      <c r="CX53" s="60">
        <f t="shared" si="14"/>
        <v>708.96681427133285</v>
      </c>
      <c r="CY53" s="60">
        <f ca="1">AVERAGE(OFFSET($CX$3,0,0,'Données projet'!$E$13+1,1))-AVERAGE(OFFSET($H$3,0,0,'Données projet'!$E$13+1,1))</f>
        <v>368.35775920359396</v>
      </c>
      <c r="CZ53" s="60">
        <f t="shared" si="42"/>
        <v>395.5218438652638</v>
      </c>
      <c r="DA53" s="16">
        <f>IF(ISNA(VLOOKUP(A53,'Données projet'!$A$139:$I$159,3,0)),0,VLOOKUP(A53,'Données projet'!$A$139:$I$159,3,0))</f>
        <v>4</v>
      </c>
      <c r="DB53" s="16">
        <f>IF(ISNA(VLOOKUP(A53,'Données projet'!$A$139:$I$159,4,0)),0,VLOOKUP(A53,'Données projet'!$A$139:$I$159,4,0))</f>
        <v>43.099999999999994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10.375</v>
      </c>
      <c r="DO53" s="13">
        <f>IF('Données projet'!$A$166&gt;35,DO52+DN53-DW52,IF(A53&lt;'Données projet'!$A$166,$DL$205^A53,IF(A53='Données projet'!$A$166,'Données projet'!$B$166,DO52+DN53-DW52)))</f>
        <v>249.24999999999994</v>
      </c>
      <c r="DP53" s="18">
        <f>DO53*VLOOKUP('Données projet'!$B$14,Paramètres!$A$1:$I$89,3,0)*VLOOKUP('Données projet'!$B$14,Paramètres!$A$1:$I$89,5,0)</f>
        <v>194.41499999999996</v>
      </c>
      <c r="DQ53" s="14">
        <f t="shared" si="43"/>
        <v>48.514737888684969</v>
      </c>
      <c r="DR53" s="22">
        <f t="shared" si="16"/>
        <v>423.1026268227929</v>
      </c>
      <c r="DS53" s="60">
        <f t="shared" si="17"/>
        <v>678.223608352263</v>
      </c>
      <c r="DT53" s="60">
        <f ca="1">AVERAGE(OFFSET($DS$3,0,0,'Données projet'!$E$14+1,1))-AVERAGE(OFFSET($H$3,0,0,'Données projet'!$E$14+1,1))</f>
        <v>312.59632808777332</v>
      </c>
      <c r="DU53" s="60">
        <f t="shared" si="44"/>
        <v>302.59481222418219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0</v>
      </c>
      <c r="EE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15.5</v>
      </c>
      <c r="EJ53" s="13">
        <f>IF('Données projet'!$A$192&gt;35,EJ52+EI53-ER52,IF(A53&lt;'Données projet'!$A$192,$EG$205^A53,IF(A53='Données projet'!$A$192,'Données projet'!$B$192,EJ52+EI53-ER52)))</f>
        <v>207.99999999999986</v>
      </c>
      <c r="EK53" s="18">
        <f>EJ53*VLOOKUP('Données projet'!$B$15,Paramètres!$A$1:$I$89,3,0)*VLOOKUP('Données projet'!$B$15,Paramètres!$A$1:$I$89,5,0)</f>
        <v>178.46399999999991</v>
      </c>
      <c r="EL53" s="14">
        <f t="shared" si="45"/>
        <v>44.980284206661821</v>
      </c>
      <c r="EM53" s="22">
        <f t="shared" si="19"/>
        <v>389.16546165993583</v>
      </c>
      <c r="EN53" s="60">
        <f t="shared" si="20"/>
        <v>644.28644318940587</v>
      </c>
      <c r="EO53" s="60">
        <f ca="1">AVERAGE(OFFSET($EN$3,0,0,'Données projet'!$E$15+1,1))-AVERAGE(OFFSET($H$3,0,0,'Données projet'!$E$15+1,1))</f>
        <v>478.11504516179713</v>
      </c>
      <c r="EP53" s="60">
        <f t="shared" si="46"/>
        <v>249.93713224442419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0</v>
      </c>
      <c r="EW53" s="23">
        <f>EXP(-LN(2)/25)*EW52+(1-EXP(-LN(2)/25))/(LN(2)/25)*Calculateur!ER53*Calculateur!ET53*VLOOKUP('Données projet'!$B$15,Paramètres!$A$1:$I$89,3,0)*0.475*44/12</f>
        <v>0</v>
      </c>
      <c r="EX53" s="23">
        <f>EXP(-LN(2)/2)*EX52+(1-EXP(-LN(2)/2))/(LN(2)/2)*ER53*EU53*VLOOKUP('Données projet'!$B$15,Paramètres!$A$1:$I$89,3,0)*0.475*44/12</f>
        <v>0</v>
      </c>
      <c r="EY53" s="24">
        <f t="shared" si="21"/>
        <v>0</v>
      </c>
      <c r="EZ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>
        <f>VLOOKUP(A53,'Données projet'!$A$217:$I$237,2,0)</f>
        <v>231</v>
      </c>
      <c r="FC53" s="13">
        <f>VLOOKUP(A53,'Données projet'!$A$217:$I$237,9,0)</f>
        <v>11</v>
      </c>
      <c r="FD53" s="13">
        <f t="array" ref="FD53">INDEX(FC:FC,MIN(IF(ISNUMBER(FC53:FC249),ROW(FC53:FC249),"")))</f>
        <v>11</v>
      </c>
      <c r="FE53" s="13">
        <f>IF('Données projet'!$A$218&gt;35,FE52+FD53-FM52,IF(A53&lt;'Données projet'!$A$218,$FB$205^A53,IF(A53='Données projet'!$A$218,'Données projet'!$B$218,FE52+FD53-FM52)))</f>
        <v>231.00000000000006</v>
      </c>
      <c r="FF53" s="18">
        <f>FE53*VLOOKUP('Données projet'!$B$16,Paramètres!$A$1:$I$89,3,0)*VLOOKUP('Données projet'!$B$16,Paramètres!$A$1:$I$89,5,0)</f>
        <v>223.42320000000004</v>
      </c>
      <c r="FG53" s="14">
        <f t="shared" si="47"/>
        <v>54.858231422257631</v>
      </c>
      <c r="FH53" s="22">
        <f t="shared" si="22"/>
        <v>484.67349306043207</v>
      </c>
      <c r="FI53" s="60">
        <f t="shared" si="23"/>
        <v>739.79447458990217</v>
      </c>
      <c r="FJ53" s="60">
        <f ca="1">AVERAGE(OFFSET($FI$3,0,0,'Données projet'!$E$16+1,1))-AVERAGE(OFFSET($H$3,0,0,'Données projet'!$E$16+1,1))</f>
        <v>603.52431522262032</v>
      </c>
      <c r="FK53" s="60">
        <f t="shared" si="48"/>
        <v>313.56299786481338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>
        <f>EXP(-LN(2)/35)*FQ52+(1-EXP(-LN(2)/35))/(LN(2)/35)*FM53*FN53*VLOOKUP('Données projet'!$B$16,Paramètres!$A$1:$I$89,3,0)*0.475*44/12</f>
        <v>0</v>
      </c>
      <c r="FR53" s="23">
        <f>EXP(-LN(2)/25)*FR52+(1-EXP(-LN(2)/25))/(LN(2)/25)*Calculateur!FM53*Calculateur!FO53*VLOOKUP('Données projet'!$B$16,Paramètres!$A$1:$I$89,3,0)*0.475*44/12</f>
        <v>0</v>
      </c>
      <c r="FS53" s="23">
        <f>EXP(-LN(2)/2)*FS52+(1-EXP(-LN(2)/2))/(LN(2)/2)*FM53*FP53*VLOOKUP('Données projet'!$B$16,Paramètres!$A$1:$I$89,3,0)*0.475*44/12</f>
        <v>0</v>
      </c>
      <c r="FT53" s="24">
        <f t="shared" si="24"/>
        <v>0</v>
      </c>
      <c r="FU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>
        <f>VLOOKUP(A53,'Données projet'!$A$243:$I$263,2,0)</f>
        <v>261.53846153846155</v>
      </c>
      <c r="FX53" s="13">
        <f>VLOOKUP(A53,'Données projet'!$A$243:$I$263,9,0)</f>
        <v>7.0512820512820555</v>
      </c>
      <c r="FY53" s="13">
        <f t="array" ref="FY53">INDEX(FX:FX,MIN(IF(ISNUMBER(FX53:FX249),ROW(FX53:FX249),"")))</f>
        <v>7.0512820512820555</v>
      </c>
      <c r="FZ53" s="13">
        <f>IF('Données projet'!$A$244&gt;35,FZ52+FY53-GH52,IF(A53&lt;'Données projet'!$A$244,$FW$205^A53,IF(A53='Données projet'!$A$244,'Données projet'!$B$244,FZ52+FY53-GH52)))</f>
        <v>261.5384615384616</v>
      </c>
      <c r="GA53" s="18">
        <f>FZ53*VLOOKUP('Données projet'!$B$17,Paramètres!$A$1:$I$89,3,0)*VLOOKUP('Données projet'!$B$17,Paramètres!$A$1:$I$89,5,0)</f>
        <v>175.44000000000003</v>
      </c>
      <c r="GB53" s="14">
        <f t="shared" si="49"/>
        <v>44.306160083661858</v>
      </c>
      <c r="GC53" s="22">
        <f t="shared" si="25"/>
        <v>382.72456214571116</v>
      </c>
      <c r="GD53" s="60">
        <f t="shared" si="26"/>
        <v>637.84554367518126</v>
      </c>
      <c r="GE53" s="60">
        <f ca="1">AVERAGE(OFFSET($GD$3,0,0,'Données projet'!$E$17+1,1))-AVERAGE(OFFSET($H$3,0,0,'Données projet'!$E$17+1,1))</f>
        <v>396.0878652679051</v>
      </c>
      <c r="GF53" s="60">
        <f t="shared" si="50"/>
        <v>327.26339199235406</v>
      </c>
      <c r="GG53" s="16">
        <f>IF(ISNA(VLOOKUP(A53,'Données projet'!$A$243:$I$263,3,0)),0,VLOOKUP(A53,'Données projet'!$A$243:$I$263,3,0))</f>
        <v>4</v>
      </c>
      <c r="GH53" s="16">
        <f>IF(ISNA(VLOOKUP(A53,'Données projet'!$A$243:$I$263,4,0)),0,VLOOKUP(A53,'Données projet'!$A$243:$I$263,4,0))</f>
        <v>36.53846153846154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>
        <f>EXP(-LN(2)/35)*GL52+(1-EXP(-LN(2)/35))/(LN(2)/35)*GH53*GI53*VLOOKUP('Données projet'!$B$17,Paramètres!$A$1:$I$89,3,0)*0.475*44/12</f>
        <v>0</v>
      </c>
      <c r="GM53" s="23">
        <f>EXP(-LN(2)/25)*GM52+(1-EXP(-LN(2)/25))/(LN(2)/25)*Calculateur!GH53*Calculateur!GJ53*VLOOKUP('Données projet'!$B$17,Paramètres!$A$1:$I$89,3,0)*0.475*44/12</f>
        <v>0</v>
      </c>
      <c r="GN53" s="23">
        <f>EXP(-LN(2)/2)*GN52+(1-EXP(-LN(2)/2))/(LN(2)/2)*GH53*GK53*VLOOKUP('Données projet'!$B$17,Paramètres!$A$1:$I$89,3,0)*0.475*44/12</f>
        <v>0</v>
      </c>
      <c r="GO53" s="23">
        <f t="shared" si="27"/>
        <v>0</v>
      </c>
      <c r="GP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>
        <f>VLOOKUP(A53,'Données projet'!$A$269:$I$289,2,0)</f>
        <v>228</v>
      </c>
      <c r="GS53" s="13">
        <f>VLOOKUP(A53,'Données projet'!$A$269:$I$289,9,0)</f>
        <v>7.6</v>
      </c>
      <c r="GT53" s="13">
        <f t="array" ref="GT53">INDEX(GS:GS,MIN(IF(ISNUMBER(GS53:GS249),ROW(GS53:GS249),"")))</f>
        <v>7.6</v>
      </c>
      <c r="GU53" s="13">
        <f>IF('Données projet'!$A$270&gt;35,GU52+GT53-HC52,IF(A53&lt;'Données projet'!$A$270,$GR$205^A53,IF(A53='Données projet'!$A$270,'Données projet'!$B$270,GU52+GT53-HC52)))</f>
        <v>227.99999999999997</v>
      </c>
      <c r="GV53" s="18">
        <f>GU53*VLOOKUP('Données projet'!$B$18,Paramètres!$A$1:$I$89,3,0)*VLOOKUP('Données projet'!$B$18,Paramètres!$A$1:$I$89,5,0)</f>
        <v>184.95359999999999</v>
      </c>
      <c r="GW53" s="14">
        <f t="shared" si="51"/>
        <v>46.42252355095799</v>
      </c>
      <c r="GX53" s="22">
        <f t="shared" si="28"/>
        <v>402.98008185125178</v>
      </c>
      <c r="GY53" s="60">
        <f t="shared" si="29"/>
        <v>658.10106338072183</v>
      </c>
      <c r="GZ53" s="60">
        <f ca="1">AVERAGE(OFFSET($GY$3,0,0,'Données projet'!$E$18+1,1))-AVERAGE(OFFSET($H$3,0,0,'Données projet'!$E$18+1,1))</f>
        <v>272.69564942740931</v>
      </c>
      <c r="HA53" s="60">
        <f t="shared" si="52"/>
        <v>316.57989180609252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>
        <f>EXP(-LN(2)/35)*HG52+(1-EXP(-LN(2)/35))/(LN(2)/35)*HC53*HD53*VLOOKUP('Données projet'!$B$18,Paramètres!$A$1:$I$89,3,0)*0.475*44/12</f>
        <v>0</v>
      </c>
      <c r="HH53" s="23">
        <f>EXP(-LN(2)/25)*HH52+(1-EXP(-LN(2)/25))/(LN(2)/25)*Calculateur!HC53*Calculateur!HE53*VLOOKUP('Données projet'!$B$18,Paramètres!$A$1:$I$89,3,0)*0.475*44/12</f>
        <v>0</v>
      </c>
      <c r="HI53" s="23">
        <f>EXP(-LN(2)/2)*HI52+(1-EXP(-LN(2)/2))/(LN(2)/2)*HC53*HF53*VLOOKUP('Données projet'!$B$18,Paramètres!$A$1:$I$89,3,0)*0.475*44/12</f>
        <v>0</v>
      </c>
      <c r="HJ53" s="24">
        <f t="shared" si="30"/>
        <v>0</v>
      </c>
    </row>
    <row r="54" spans="1:218" s="5" customFormat="1" x14ac:dyDescent="0.25">
      <c r="A54" s="11">
        <f t="shared" si="31"/>
        <v>51</v>
      </c>
      <c r="B54" s="75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8">
        <f t="shared" si="1"/>
        <v>183.33333333333334</v>
      </c>
      <c r="I54" s="7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10.199999999999999</v>
      </c>
      <c r="N54" s="14">
        <f>IF('Données projet'!$A$36&gt;35,N53+M54-V53,IF(A54&lt;'Données projet'!$A$36,$K$205^A54,IF(A54='Données projet'!$A$36,'Données projet'!$B$36,N53+M54-V53)))</f>
        <v>241.20000000000005</v>
      </c>
      <c r="O54" s="14">
        <f>N54*VLOOKUP('Données projet'!$B$9,Paramètres!$A$1:$I$89,3,0)*VLOOKUP('Données projet'!$B$9,Paramètres!$A$1:$I$89,5,0)</f>
        <v>218.23776000000004</v>
      </c>
      <c r="P54" s="14">
        <f t="shared" si="33"/>
        <v>53.731692470599071</v>
      </c>
      <c r="Q54" s="22">
        <f t="shared" si="53"/>
        <v>473.68012971962668</v>
      </c>
      <c r="R54" s="60">
        <f t="shared" si="0"/>
        <v>729.46401012287356</v>
      </c>
      <c r="S54" s="60">
        <f ca="1">AVERAGE(OFFSET($R$3,0,0,'Données projet'!$E$9+1,1))-AVERAGE(OFFSET($H$3,0,0,'Données projet'!$E$9+1,1))</f>
        <v>570.08763950759544</v>
      </c>
      <c r="T54" s="60">
        <f t="shared" si="34"/>
        <v>297.32483725004136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7.3600000000000083</v>
      </c>
      <c r="AI54" s="14">
        <f>IF('Données projet'!$A$62&gt;35,AI53+AH54-AQ53,IF(A54&lt;'Données projet'!$A$62,$AF$205^A54,IF(A54='Données projet'!$A$62,'Données projet'!$B$62,AI53+AH54-AQ53)))</f>
        <v>249.15999999999994</v>
      </c>
      <c r="AJ54" s="14">
        <f>AI54*VLOOKUP('Données projet'!$B$10,Paramètres!$A$1:$I$89,3,0)*VLOOKUP('Données projet'!$B$10,Paramètres!$A$1:$I$89,5,0)</f>
        <v>198.23169599999997</v>
      </c>
      <c r="AK54" s="14">
        <f t="shared" si="35"/>
        <v>49.355347391815158</v>
      </c>
      <c r="AL54" s="22">
        <f t="shared" si="4"/>
        <v>431.21410057407803</v>
      </c>
      <c r="AM54" s="60">
        <f t="shared" si="5"/>
        <v>686.99798097732491</v>
      </c>
      <c r="AN54" s="60">
        <f ca="1">AVERAGE(OFFSET($AM$3,0,0,'Données projet'!$E$10+1,1))-AVERAGE(OFFSET($H$3,0,0,'Données projet'!$E$10+1,1))</f>
        <v>394.49874384716014</v>
      </c>
      <c r="AO54" s="60">
        <f t="shared" si="36"/>
        <v>423.72519584013378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6.119999999999993</v>
      </c>
      <c r="BD54" s="13">
        <f>IF('Données projet'!$A$88&gt;35,BD53+BC54-BL53,IF(A54&lt;'Données projet'!$A$88,$BA$205^A54,IF(A54='Données projet'!$A$88,'Données projet'!$B$88,BD53+BC54-BL53)))</f>
        <v>208.0200000000001</v>
      </c>
      <c r="BE54" s="14">
        <f>BD54*VLOOKUP('Données projet'!$B$11,Paramètres!$A$1:$I$89,3,0)*VLOOKUP('Données projet'!$B$11,Paramètres!$A$1:$I$89,5,0)</f>
        <v>181.72627200000011</v>
      </c>
      <c r="BF54" s="14">
        <f t="shared" si="37"/>
        <v>45.706036273600446</v>
      </c>
      <c r="BG54" s="22">
        <f t="shared" si="7"/>
        <v>396.11127024318756</v>
      </c>
      <c r="BH54" s="60">
        <f t="shared" si="8"/>
        <v>651.89515064643433</v>
      </c>
      <c r="BI54" s="60">
        <f ca="1">AVERAGE(OFFSET($BH$3,0,0,'Données projet'!$E$11+1,1))-AVERAGE(OFFSET($H$3,0,0,'Données projet'!$E$11+1,1))</f>
        <v>363.28611056308665</v>
      </c>
      <c r="BJ54" s="60">
        <f t="shared" si="38"/>
        <v>389.43647559455974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5.6410256410256405</v>
      </c>
      <c r="BY54" s="13">
        <f>IF('Données projet'!$A$114&gt;35,BY53+BX54-CG53,IF(A54&lt;'Données projet'!$A$114,$BV$205^A54,IF(A54='Données projet'!$A$114,'Données projet'!$B$114,BY53+BX54-CG53)))</f>
        <v>192.82051282051273</v>
      </c>
      <c r="BZ54" s="14">
        <f>BY54*VLOOKUP('Données projet'!$B$12,Paramètres!$A$1:$I$89,3,0)*VLOOKUP('Données projet'!$B$12,Paramètres!$A$1:$I$89,5,0)</f>
        <v>183.48799999999991</v>
      </c>
      <c r="CA54" s="14">
        <f t="shared" si="39"/>
        <v>46.097332970867861</v>
      </c>
      <c r="CB54" s="22">
        <f t="shared" si="10"/>
        <v>399.86112159092801</v>
      </c>
      <c r="CC54" s="60">
        <f t="shared" si="11"/>
        <v>655.64500199417489</v>
      </c>
      <c r="CD54" s="60">
        <f ca="1">AVERAGE(OFFSET($CC$3,0,0,'Données projet'!$E$12+1,1))-AVERAGE(OFFSET($H$3,0,0,'Données projet'!$E$12+1,1))</f>
        <v>441.15969139782891</v>
      </c>
      <c r="CE54" s="60">
        <f t="shared" si="40"/>
        <v>315.06466790224783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7.3600000000000083</v>
      </c>
      <c r="CT54" s="13">
        <f>IF('Données projet'!$A$140&gt;35,CT53+CS54-DB53,IF(A54&lt;'Données projet'!$A$140,$CQ$205^A54,IF(A54='Données projet'!$A$140,'Données projet'!$B$140,CT53+CS54-DB53)))</f>
        <v>249.15999999999994</v>
      </c>
      <c r="CU54" s="18">
        <f>CT54*VLOOKUP('Données projet'!$B$13,Paramètres!$A$1:$I$89,3,0)*VLOOKUP('Données projet'!$B$13,Paramètres!$A$1:$I$89,5,0)</f>
        <v>182.68411199999994</v>
      </c>
      <c r="CV54" s="14">
        <f t="shared" si="41"/>
        <v>45.91883623040173</v>
      </c>
      <c r="CW54" s="22">
        <f t="shared" si="13"/>
        <v>398.15013483461621</v>
      </c>
      <c r="CX54" s="60">
        <f t="shared" si="14"/>
        <v>653.93401523786304</v>
      </c>
      <c r="CY54" s="60">
        <f ca="1">AVERAGE(OFFSET($CX$3,0,0,'Données projet'!$E$13+1,1))-AVERAGE(OFFSET($H$3,0,0,'Données projet'!$E$13+1,1))</f>
        <v>368.35775920359396</v>
      </c>
      <c r="CZ54" s="60">
        <f t="shared" si="42"/>
        <v>395.5218438652638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10.375</v>
      </c>
      <c r="DO54" s="13">
        <f>IF('Données projet'!$A$166&gt;35,DO53+DN54-DW53,IF(A54&lt;'Données projet'!$A$166,$DL$205^A54,IF(A54='Données projet'!$A$166,'Données projet'!$B$166,DO53+DN54-DW53)))</f>
        <v>259.62499999999994</v>
      </c>
      <c r="DP54" s="18">
        <f>DO54*VLOOKUP('Données projet'!$B$14,Paramètres!$A$1:$I$89,3,0)*VLOOKUP('Données projet'!$B$14,Paramètres!$A$1:$I$89,5,0)</f>
        <v>202.50749999999996</v>
      </c>
      <c r="DQ54" s="14">
        <f t="shared" si="43"/>
        <v>50.294840086606349</v>
      </c>
      <c r="DR54" s="22">
        <f t="shared" si="16"/>
        <v>440.29740898417259</v>
      </c>
      <c r="DS54" s="60">
        <f t="shared" si="17"/>
        <v>696.08128938741947</v>
      </c>
      <c r="DT54" s="60">
        <f ca="1">AVERAGE(OFFSET($DS$3,0,0,'Données projet'!$E$14+1,1))-AVERAGE(OFFSET($H$3,0,0,'Données projet'!$E$14+1,1))</f>
        <v>312.59632808777332</v>
      </c>
      <c r="DU54" s="60">
        <f t="shared" si="44"/>
        <v>302.59481222418219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0</v>
      </c>
      <c r="EE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15.5</v>
      </c>
      <c r="EJ54" s="13">
        <f>IF('Données projet'!$A$192&gt;35,EJ53+EI54-ER53,IF(A54&lt;'Données projet'!$A$192,$EG$205^A54,IF(A54='Données projet'!$A$192,'Données projet'!$B$192,EJ53+EI54-ER53)))</f>
        <v>223.49999999999986</v>
      </c>
      <c r="EK54" s="18">
        <f>EJ54*VLOOKUP('Données projet'!$B$15,Paramètres!$A$1:$I$89,3,0)*VLOOKUP('Données projet'!$B$15,Paramètres!$A$1:$I$89,5,0)</f>
        <v>191.76299999999989</v>
      </c>
      <c r="EL54" s="14">
        <f t="shared" si="45"/>
        <v>47.929517351413239</v>
      </c>
      <c r="EM54" s="22">
        <f t="shared" si="19"/>
        <v>417.46446772037785</v>
      </c>
      <c r="EN54" s="60">
        <f t="shared" si="20"/>
        <v>673.24834812362474</v>
      </c>
      <c r="EO54" s="60">
        <f ca="1">AVERAGE(OFFSET($EN$3,0,0,'Données projet'!$E$15+1,1))-AVERAGE(OFFSET($H$3,0,0,'Données projet'!$E$15+1,1))</f>
        <v>478.11504516179713</v>
      </c>
      <c r="EP54" s="60">
        <f t="shared" si="46"/>
        <v>249.93713224442419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0</v>
      </c>
      <c r="EW54" s="23">
        <f>EXP(-LN(2)/25)*EW53+(1-EXP(-LN(2)/25))/(LN(2)/25)*Calculateur!ER54*Calculateur!ET54*VLOOKUP('Données projet'!$B$15,Paramètres!$A$1:$I$89,3,0)*0.475*44/12</f>
        <v>0</v>
      </c>
      <c r="EX54" s="23">
        <f>EXP(-LN(2)/2)*EX53+(1-EXP(-LN(2)/2))/(LN(2)/2)*ER54*EU54*VLOOKUP('Données projet'!$B$15,Paramètres!$A$1:$I$89,3,0)*0.475*44/12</f>
        <v>0</v>
      </c>
      <c r="EY54" s="24">
        <f t="shared" si="21"/>
        <v>0</v>
      </c>
      <c r="EZ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10.199999999999999</v>
      </c>
      <c r="FE54" s="13">
        <f>IF('Données projet'!$A$218&gt;35,FE53+FD54-FM53,IF(A54&lt;'Données projet'!$A$218,$FB$205^A54,IF(A54='Données projet'!$A$218,'Données projet'!$B$218,FE53+FD54-FM53)))</f>
        <v>241.20000000000005</v>
      </c>
      <c r="FF54" s="18">
        <f>FE54*VLOOKUP('Données projet'!$B$16,Paramètres!$A$1:$I$89,3,0)*VLOOKUP('Données projet'!$B$16,Paramètres!$A$1:$I$89,5,0)</f>
        <v>233.28864000000007</v>
      </c>
      <c r="FG54" s="14">
        <f t="shared" si="47"/>
        <v>56.993173773170618</v>
      </c>
      <c r="FH54" s="22">
        <f t="shared" si="22"/>
        <v>505.5741589882723</v>
      </c>
      <c r="FI54" s="60">
        <f t="shared" si="23"/>
        <v>761.35803939151913</v>
      </c>
      <c r="FJ54" s="60">
        <f ca="1">AVERAGE(OFFSET($FI$3,0,0,'Données projet'!$E$16+1,1))-AVERAGE(OFFSET($H$3,0,0,'Données projet'!$E$16+1,1))</f>
        <v>603.52431522262032</v>
      </c>
      <c r="FK54" s="60">
        <f t="shared" si="48"/>
        <v>313.56299786481338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>
        <f>EXP(-LN(2)/35)*FQ53+(1-EXP(-LN(2)/35))/(LN(2)/35)*FM54*FN54*VLOOKUP('Données projet'!$B$16,Paramètres!$A$1:$I$89,3,0)*0.475*44/12</f>
        <v>0</v>
      </c>
      <c r="FR54" s="23">
        <f>EXP(-LN(2)/25)*FR53+(1-EXP(-LN(2)/25))/(LN(2)/25)*Calculateur!FM54*Calculateur!FO54*VLOOKUP('Données projet'!$B$16,Paramètres!$A$1:$I$89,3,0)*0.475*44/12</f>
        <v>0</v>
      </c>
      <c r="FS54" s="23">
        <f>EXP(-LN(2)/2)*FS53+(1-EXP(-LN(2)/2))/(LN(2)/2)*FM54*FP54*VLOOKUP('Données projet'!$B$16,Paramètres!$A$1:$I$89,3,0)*0.475*44/12</f>
        <v>0</v>
      </c>
      <c r="FT54" s="24">
        <f t="shared" si="24"/>
        <v>0</v>
      </c>
      <c r="FU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6.6666666666666625</v>
      </c>
      <c r="FZ54" s="13">
        <f>IF('Données projet'!$A$244&gt;35,FZ53+FY54-GH53,IF(A54&lt;'Données projet'!$A$244,$FW$205^A54,IF(A54='Données projet'!$A$244,'Données projet'!$B$244,FZ53+FY54-GH53)))</f>
        <v>231.66666666666674</v>
      </c>
      <c r="GA54" s="18">
        <f>FZ54*VLOOKUP('Données projet'!$B$17,Paramètres!$A$1:$I$89,3,0)*VLOOKUP('Données projet'!$B$17,Paramètres!$A$1:$I$89,5,0)</f>
        <v>155.40200000000007</v>
      </c>
      <c r="GB54" s="14">
        <f t="shared" si="49"/>
        <v>39.803670275990136</v>
      </c>
      <c r="GC54" s="22">
        <f t="shared" si="25"/>
        <v>339.98320906401625</v>
      </c>
      <c r="GD54" s="60">
        <f t="shared" si="26"/>
        <v>595.76708946726308</v>
      </c>
      <c r="GE54" s="60">
        <f ca="1">AVERAGE(OFFSET($GD$3,0,0,'Données projet'!$E$17+1,1))-AVERAGE(OFFSET($H$3,0,0,'Données projet'!$E$17+1,1))</f>
        <v>396.0878652679051</v>
      </c>
      <c r="GF54" s="60">
        <f t="shared" si="50"/>
        <v>327.26339199235406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>
        <f>EXP(-LN(2)/35)*GL53+(1-EXP(-LN(2)/35))/(LN(2)/35)*GH54*GI54*VLOOKUP('Données projet'!$B$17,Paramètres!$A$1:$I$89,3,0)*0.475*44/12</f>
        <v>0</v>
      </c>
      <c r="GM54" s="23">
        <f>EXP(-LN(2)/25)*GM53+(1-EXP(-LN(2)/25))/(LN(2)/25)*Calculateur!GH54*Calculateur!GJ54*VLOOKUP('Données projet'!$B$17,Paramètres!$A$1:$I$89,3,0)*0.475*44/12</f>
        <v>0</v>
      </c>
      <c r="GN54" s="23">
        <f>EXP(-LN(2)/2)*GN53+(1-EXP(-LN(2)/2))/(LN(2)/2)*GH54*GK54*VLOOKUP('Données projet'!$B$17,Paramètres!$A$1:$I$89,3,0)*0.475*44/12</f>
        <v>0</v>
      </c>
      <c r="GO54" s="23">
        <f t="shared" si="27"/>
        <v>0</v>
      </c>
      <c r="GP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7.6</v>
      </c>
      <c r="GU54" s="13">
        <f>IF('Données projet'!$A$270&gt;35,GU53+GT54-HC53,IF(A54&lt;'Données projet'!$A$270,$GR$205^A54,IF(A54='Données projet'!$A$270,'Données projet'!$B$270,GU53+GT54-HC53)))</f>
        <v>235.59999999999997</v>
      </c>
      <c r="GV54" s="18">
        <f>GU54*VLOOKUP('Données projet'!$B$18,Paramètres!$A$1:$I$89,3,0)*VLOOKUP('Données projet'!$B$18,Paramètres!$A$1:$I$89,5,0)</f>
        <v>191.11872</v>
      </c>
      <c r="GW54" s="14">
        <f t="shared" si="51"/>
        <v>47.787201388032145</v>
      </c>
      <c r="GX54" s="22">
        <f t="shared" si="28"/>
        <v>416.09447975082259</v>
      </c>
      <c r="GY54" s="60">
        <f t="shared" si="29"/>
        <v>671.87836015406947</v>
      </c>
      <c r="GZ54" s="60">
        <f ca="1">AVERAGE(OFFSET($GY$3,0,0,'Données projet'!$E$18+1,1))-AVERAGE(OFFSET($H$3,0,0,'Données projet'!$E$18+1,1))</f>
        <v>272.69564942740931</v>
      </c>
      <c r="HA54" s="60">
        <f t="shared" si="52"/>
        <v>316.57989180609252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>
        <f>EXP(-LN(2)/35)*HG53+(1-EXP(-LN(2)/35))/(LN(2)/35)*HC54*HD54*VLOOKUP('Données projet'!$B$18,Paramètres!$A$1:$I$89,3,0)*0.475*44/12</f>
        <v>0</v>
      </c>
      <c r="HH54" s="23">
        <f>EXP(-LN(2)/25)*HH53+(1-EXP(-LN(2)/25))/(LN(2)/25)*Calculateur!HC54*Calculateur!HE54*VLOOKUP('Données projet'!$B$18,Paramètres!$A$1:$I$89,3,0)*0.475*44/12</f>
        <v>0</v>
      </c>
      <c r="HI54" s="23">
        <f>EXP(-LN(2)/2)*HI53+(1-EXP(-LN(2)/2))/(LN(2)/2)*HC54*HF54*VLOOKUP('Données projet'!$B$18,Paramètres!$A$1:$I$89,3,0)*0.475*44/12</f>
        <v>0</v>
      </c>
      <c r="HJ54" s="24">
        <f t="shared" si="30"/>
        <v>0</v>
      </c>
    </row>
    <row r="55" spans="1:218" s="5" customFormat="1" x14ac:dyDescent="0.25">
      <c r="A55" s="11">
        <f t="shared" si="31"/>
        <v>52</v>
      </c>
      <c r="B55" s="75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8">
        <f t="shared" si="1"/>
        <v>183.33333333333334</v>
      </c>
      <c r="I55" s="7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10.199999999999999</v>
      </c>
      <c r="N55" s="14">
        <f>IF('Données projet'!$A$36&gt;35,N54+M55-V54,IF(A55&lt;'Données projet'!$A$36,$K$205^A55,IF(A55='Données projet'!$A$36,'Données projet'!$B$36,N54+M55-V54)))</f>
        <v>251.40000000000003</v>
      </c>
      <c r="O55" s="14">
        <f>N55*VLOOKUP('Données projet'!$B$9,Paramètres!$A$1:$I$89,3,0)*VLOOKUP('Données projet'!$B$9,Paramètres!$A$1:$I$89,5,0)</f>
        <v>227.46672000000004</v>
      </c>
      <c r="P55" s="14">
        <f t="shared" si="33"/>
        <v>55.734574592438989</v>
      </c>
      <c r="Q55" s="22">
        <f t="shared" si="53"/>
        <v>493.24225474849794</v>
      </c>
      <c r="R55" s="60">
        <f t="shared" si="0"/>
        <v>749.67753421208135</v>
      </c>
      <c r="S55" s="60">
        <f ca="1">AVERAGE(OFFSET($R$3,0,0,'Données projet'!$E$9+1,1))-AVERAGE(OFFSET($H$3,0,0,'Données projet'!$E$9+1,1))</f>
        <v>570.08763950759544</v>
      </c>
      <c r="T55" s="60">
        <f t="shared" si="34"/>
        <v>297.32483725004136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7.3600000000000083</v>
      </c>
      <c r="AI55" s="14">
        <f>IF('Données projet'!$A$62&gt;35,AI54+AH55-AQ54,IF(A55&lt;'Données projet'!$A$62,$AF$205^A55,IF(A55='Données projet'!$A$62,'Données projet'!$B$62,AI54+AH55-AQ54)))</f>
        <v>256.51999999999992</v>
      </c>
      <c r="AJ55" s="14">
        <f>AI55*VLOOKUP('Données projet'!$B$10,Paramètres!$A$1:$I$89,3,0)*VLOOKUP('Données projet'!$B$10,Paramètres!$A$1:$I$89,5,0)</f>
        <v>204.08731199999997</v>
      </c>
      <c r="AK55" s="14">
        <f t="shared" si="35"/>
        <v>50.641374824638383</v>
      </c>
      <c r="AL55" s="22">
        <f t="shared" si="4"/>
        <v>443.65246288624508</v>
      </c>
      <c r="AM55" s="60">
        <f t="shared" si="5"/>
        <v>700.08774234982843</v>
      </c>
      <c r="AN55" s="60">
        <f ca="1">AVERAGE(OFFSET($AM$3,0,0,'Données projet'!$E$10+1,1))-AVERAGE(OFFSET($H$3,0,0,'Données projet'!$E$10+1,1))</f>
        <v>394.49874384716014</v>
      </c>
      <c r="AO55" s="60">
        <f t="shared" si="36"/>
        <v>423.72519584013378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6.119999999999993</v>
      </c>
      <c r="BD55" s="13">
        <f>IF('Données projet'!$A$88&gt;35,BD54+BC55-BL54,IF(A55&lt;'Données projet'!$A$88,$BA$205^A55,IF(A55='Données projet'!$A$88,'Données projet'!$B$88,BD54+BC55-BL54)))</f>
        <v>214.1400000000001</v>
      </c>
      <c r="BE55" s="14">
        <f>BD55*VLOOKUP('Données projet'!$B$11,Paramètres!$A$1:$I$89,3,0)*VLOOKUP('Données projet'!$B$11,Paramètres!$A$1:$I$89,5,0)</f>
        <v>187.0727040000001</v>
      </c>
      <c r="BF55" s="14">
        <f t="shared" si="37"/>
        <v>46.892185598822181</v>
      </c>
      <c r="BG55" s="22">
        <f t="shared" si="7"/>
        <v>407.48884938461543</v>
      </c>
      <c r="BH55" s="60">
        <f t="shared" si="8"/>
        <v>663.92412884819873</v>
      </c>
      <c r="BI55" s="60">
        <f ca="1">AVERAGE(OFFSET($BH$3,0,0,'Données projet'!$E$11+1,1))-AVERAGE(OFFSET($H$3,0,0,'Données projet'!$E$11+1,1))</f>
        <v>363.28611056308665</v>
      </c>
      <c r="BJ55" s="60">
        <f t="shared" si="38"/>
        <v>389.43647559455974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5.6410256410256405</v>
      </c>
      <c r="BY55" s="13">
        <f>IF('Données projet'!$A$114&gt;35,BY54+BX55-CG54,IF(A55&lt;'Données projet'!$A$114,$BV$205^A55,IF(A55='Données projet'!$A$114,'Données projet'!$B$114,BY54+BX55-CG54)))</f>
        <v>198.46153846153837</v>
      </c>
      <c r="BZ55" s="14">
        <f>BY55*VLOOKUP('Données projet'!$B$12,Paramètres!$A$1:$I$89,3,0)*VLOOKUP('Données projet'!$B$12,Paramètres!$A$1:$I$89,5,0)</f>
        <v>188.85599999999991</v>
      </c>
      <c r="CA55" s="14">
        <f t="shared" si="39"/>
        <v>47.286941864448139</v>
      </c>
      <c r="CB55" s="22">
        <f t="shared" si="10"/>
        <v>411.28229041391364</v>
      </c>
      <c r="CC55" s="60">
        <f t="shared" si="11"/>
        <v>667.717569877497</v>
      </c>
      <c r="CD55" s="60">
        <f ca="1">AVERAGE(OFFSET($CC$3,0,0,'Données projet'!$E$12+1,1))-AVERAGE(OFFSET($H$3,0,0,'Données projet'!$E$12+1,1))</f>
        <v>441.15969139782891</v>
      </c>
      <c r="CE55" s="60">
        <f t="shared" si="40"/>
        <v>315.06466790224783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7.3600000000000083</v>
      </c>
      <c r="CT55" s="13">
        <f>IF('Données projet'!$A$140&gt;35,CT54+CS55-DB54,IF(A55&lt;'Données projet'!$A$140,$CQ$205^A55,IF(A55='Données projet'!$A$140,'Données projet'!$B$140,CT54+CS55-DB54)))</f>
        <v>256.51999999999992</v>
      </c>
      <c r="CU55" s="18">
        <f>CT55*VLOOKUP('Données projet'!$B$13,Paramètres!$A$1:$I$89,3,0)*VLOOKUP('Données projet'!$B$13,Paramètres!$A$1:$I$89,5,0)</f>
        <v>188.08046399999995</v>
      </c>
      <c r="CV55" s="14">
        <f t="shared" si="41"/>
        <v>47.115320222436289</v>
      </c>
      <c r="CW55" s="22">
        <f t="shared" si="13"/>
        <v>409.63265752074312</v>
      </c>
      <c r="CX55" s="60">
        <f t="shared" si="14"/>
        <v>666.06793698432648</v>
      </c>
      <c r="CY55" s="60">
        <f ca="1">AVERAGE(OFFSET($CX$3,0,0,'Données projet'!$E$13+1,1))-AVERAGE(OFFSET($H$3,0,0,'Données projet'!$E$13+1,1))</f>
        <v>368.35775920359396</v>
      </c>
      <c r="CZ55" s="60">
        <f t="shared" si="42"/>
        <v>395.5218438652638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>
        <f>VLOOKUP(A55,'Données projet'!$A$165:$I$185,2,0)</f>
        <v>270</v>
      </c>
      <c r="DM55" s="13">
        <f>VLOOKUP(A55,'Données projet'!$A$165:$I$185,9,0)</f>
        <v>10.375</v>
      </c>
      <c r="DN55" s="13">
        <f t="array" ref="DN55">INDEX(DM:DM,MIN(IF(ISNUMBER(DM55:DM251),ROW(DM55:DM251),"")))</f>
        <v>10.375</v>
      </c>
      <c r="DO55" s="13">
        <f>IF('Données projet'!$A$166&gt;35,DO54+DN55-DW54,IF(A55&lt;'Données projet'!$A$166,$DL$205^A55,IF(A55='Données projet'!$A$166,'Données projet'!$B$166,DO54+DN55-DW54)))</f>
        <v>269.99999999999994</v>
      </c>
      <c r="DP55" s="18">
        <f>DO55*VLOOKUP('Données projet'!$B$14,Paramètres!$A$1:$I$89,3,0)*VLOOKUP('Données projet'!$B$14,Paramètres!$A$1:$I$89,5,0)</f>
        <v>210.59999999999997</v>
      </c>
      <c r="DQ55" s="14">
        <f t="shared" si="43"/>
        <v>52.066679014659961</v>
      </c>
      <c r="DR55" s="22">
        <f t="shared" si="16"/>
        <v>457.47779928386598</v>
      </c>
      <c r="DS55" s="60">
        <f t="shared" si="17"/>
        <v>713.91307874744939</v>
      </c>
      <c r="DT55" s="60">
        <f ca="1">AVERAGE(OFFSET($DS$3,0,0,'Données projet'!$E$14+1,1))-AVERAGE(OFFSET($H$3,0,0,'Données projet'!$E$14+1,1))</f>
        <v>312.59632808777332</v>
      </c>
      <c r="DU55" s="60">
        <f t="shared" si="44"/>
        <v>302.59481222418219</v>
      </c>
      <c r="DV55" s="16">
        <f>IF(ISNA(VLOOKUP(A55,'Données projet'!$A$165:$I$185,3,0)),0,VLOOKUP(A55,'Données projet'!$A$165:$I$185,3,0))</f>
        <v>5</v>
      </c>
      <c r="DW55" s="16">
        <f>IF(ISNA(VLOOKUP(A55,'Données projet'!$A$165:$I$185,4,0)),0,VLOOKUP(A55,'Données projet'!$A$165:$I$185,4,0))</f>
        <v>48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0</v>
      </c>
      <c r="EE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15.5</v>
      </c>
      <c r="EJ55" s="13">
        <f>IF('Données projet'!$A$192&gt;35,EJ54+EI55-ER54,IF(A55&lt;'Données projet'!$A$192,$EG$205^A55,IF(A55='Données projet'!$A$192,'Données projet'!$B$192,EJ54+EI55-ER54)))</f>
        <v>238.99999999999986</v>
      </c>
      <c r="EK55" s="18">
        <f>EJ55*VLOOKUP('Données projet'!$B$15,Paramètres!$A$1:$I$89,3,0)*VLOOKUP('Données projet'!$B$15,Paramètres!$A$1:$I$89,5,0)</f>
        <v>205.0619999999999</v>
      </c>
      <c r="EL55" s="14">
        <f t="shared" si="45"/>
        <v>50.855018623514823</v>
      </c>
      <c r="EM55" s="22">
        <f t="shared" si="19"/>
        <v>445.72214076928805</v>
      </c>
      <c r="EN55" s="60">
        <f t="shared" si="20"/>
        <v>702.15742023287135</v>
      </c>
      <c r="EO55" s="60">
        <f ca="1">AVERAGE(OFFSET($EN$3,0,0,'Données projet'!$E$15+1,1))-AVERAGE(OFFSET($H$3,0,0,'Données projet'!$E$15+1,1))</f>
        <v>478.11504516179713</v>
      </c>
      <c r="EP55" s="60">
        <f t="shared" si="46"/>
        <v>249.93713224442419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0</v>
      </c>
      <c r="EW55" s="23">
        <f>EXP(-LN(2)/25)*EW54+(1-EXP(-LN(2)/25))/(LN(2)/25)*Calculateur!ER55*Calculateur!ET55*VLOOKUP('Données projet'!$B$15,Paramètres!$A$1:$I$89,3,0)*0.475*44/12</f>
        <v>0</v>
      </c>
      <c r="EX55" s="23">
        <f>EXP(-LN(2)/2)*EX54+(1-EXP(-LN(2)/2))/(LN(2)/2)*ER55*EU55*VLOOKUP('Données projet'!$B$15,Paramètres!$A$1:$I$89,3,0)*0.475*44/12</f>
        <v>0</v>
      </c>
      <c r="EY55" s="24">
        <f t="shared" si="21"/>
        <v>0</v>
      </c>
      <c r="EZ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10.199999999999999</v>
      </c>
      <c r="FE55" s="13">
        <f>IF('Données projet'!$A$218&gt;35,FE54+FD55-FM54,IF(A55&lt;'Données projet'!$A$218,$FB$205^A55,IF(A55='Données projet'!$A$218,'Données projet'!$B$218,FE54+FD55-FM54)))</f>
        <v>251.40000000000003</v>
      </c>
      <c r="FF55" s="18">
        <f>FE55*VLOOKUP('Données projet'!$B$16,Paramètres!$A$1:$I$89,3,0)*VLOOKUP('Données projet'!$B$16,Paramètres!$A$1:$I$89,5,0)</f>
        <v>243.15408000000005</v>
      </c>
      <c r="FG55" s="14">
        <f t="shared" si="47"/>
        <v>59.117629630943199</v>
      </c>
      <c r="FH55" s="22">
        <f t="shared" si="22"/>
        <v>526.45656094055948</v>
      </c>
      <c r="FI55" s="60">
        <f t="shared" si="23"/>
        <v>782.89184040414284</v>
      </c>
      <c r="FJ55" s="60">
        <f ca="1">AVERAGE(OFFSET($FI$3,0,0,'Données projet'!$E$16+1,1))-AVERAGE(OFFSET($H$3,0,0,'Données projet'!$E$16+1,1))</f>
        <v>603.52431522262032</v>
      </c>
      <c r="FK55" s="60">
        <f t="shared" si="48"/>
        <v>313.56299786481338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>
        <f>EXP(-LN(2)/35)*FQ54+(1-EXP(-LN(2)/35))/(LN(2)/35)*FM55*FN55*VLOOKUP('Données projet'!$B$16,Paramètres!$A$1:$I$89,3,0)*0.475*44/12</f>
        <v>0</v>
      </c>
      <c r="FR55" s="23">
        <f>EXP(-LN(2)/25)*FR54+(1-EXP(-LN(2)/25))/(LN(2)/25)*Calculateur!FM55*Calculateur!FO55*VLOOKUP('Données projet'!$B$16,Paramètres!$A$1:$I$89,3,0)*0.475*44/12</f>
        <v>0</v>
      </c>
      <c r="FS55" s="23">
        <f>EXP(-LN(2)/2)*FS54+(1-EXP(-LN(2)/2))/(LN(2)/2)*FM55*FP55*VLOOKUP('Données projet'!$B$16,Paramètres!$A$1:$I$89,3,0)*0.475*44/12</f>
        <v>0</v>
      </c>
      <c r="FT55" s="24">
        <f t="shared" si="24"/>
        <v>0</v>
      </c>
      <c r="FU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6.6666666666666625</v>
      </c>
      <c r="FZ55" s="13">
        <f>IF('Données projet'!$A$244&gt;35,FZ54+FY55-GH54,IF(A55&lt;'Données projet'!$A$244,$FW$205^A55,IF(A55='Données projet'!$A$244,'Données projet'!$B$244,FZ54+FY55-GH54)))</f>
        <v>238.3333333333334</v>
      </c>
      <c r="GA55" s="18">
        <f>FZ55*VLOOKUP('Données projet'!$B$17,Paramètres!$A$1:$I$89,3,0)*VLOOKUP('Données projet'!$B$17,Paramètres!$A$1:$I$89,5,0)</f>
        <v>159.87400000000005</v>
      </c>
      <c r="GB55" s="14">
        <f t="shared" si="49"/>
        <v>40.81409445206225</v>
      </c>
      <c r="GC55" s="22">
        <f t="shared" si="25"/>
        <v>349.53176450400855</v>
      </c>
      <c r="GD55" s="60">
        <f t="shared" si="26"/>
        <v>605.96704396759196</v>
      </c>
      <c r="GE55" s="60">
        <f ca="1">AVERAGE(OFFSET($GD$3,0,0,'Données projet'!$E$17+1,1))-AVERAGE(OFFSET($H$3,0,0,'Données projet'!$E$17+1,1))</f>
        <v>396.0878652679051</v>
      </c>
      <c r="GF55" s="60">
        <f t="shared" si="50"/>
        <v>327.26339199235406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>
        <f>EXP(-LN(2)/35)*GL54+(1-EXP(-LN(2)/35))/(LN(2)/35)*GH55*GI55*VLOOKUP('Données projet'!$B$17,Paramètres!$A$1:$I$89,3,0)*0.475*44/12</f>
        <v>0</v>
      </c>
      <c r="GM55" s="23">
        <f>EXP(-LN(2)/25)*GM54+(1-EXP(-LN(2)/25))/(LN(2)/25)*Calculateur!GH55*Calculateur!GJ55*VLOOKUP('Données projet'!$B$17,Paramètres!$A$1:$I$89,3,0)*0.475*44/12</f>
        <v>0</v>
      </c>
      <c r="GN55" s="23">
        <f>EXP(-LN(2)/2)*GN54+(1-EXP(-LN(2)/2))/(LN(2)/2)*GH55*GK55*VLOOKUP('Données projet'!$B$17,Paramètres!$A$1:$I$89,3,0)*0.475*44/12</f>
        <v>0</v>
      </c>
      <c r="GO55" s="23">
        <f t="shared" si="27"/>
        <v>0</v>
      </c>
      <c r="GP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7.6</v>
      </c>
      <c r="GU55" s="13">
        <f>IF('Données projet'!$A$270&gt;35,GU54+GT55-HC54,IF(A55&lt;'Données projet'!$A$270,$GR$205^A55,IF(A55='Données projet'!$A$270,'Données projet'!$B$270,GU54+GT55-HC54)))</f>
        <v>243.19999999999996</v>
      </c>
      <c r="GV55" s="18">
        <f>GU55*VLOOKUP('Données projet'!$B$18,Paramètres!$A$1:$I$89,3,0)*VLOOKUP('Données projet'!$B$18,Paramètres!$A$1:$I$89,5,0)</f>
        <v>197.28383999999997</v>
      </c>
      <c r="GW55" s="14">
        <f t="shared" si="51"/>
        <v>49.146763750789503</v>
      </c>
      <c r="GX55" s="22">
        <f t="shared" si="28"/>
        <v>429.19996819929173</v>
      </c>
      <c r="GY55" s="60">
        <f t="shared" si="29"/>
        <v>685.63524766287514</v>
      </c>
      <c r="GZ55" s="60">
        <f ca="1">AVERAGE(OFFSET($GY$3,0,0,'Données projet'!$E$18+1,1))-AVERAGE(OFFSET($H$3,0,0,'Données projet'!$E$18+1,1))</f>
        <v>272.69564942740931</v>
      </c>
      <c r="HA55" s="60">
        <f t="shared" si="52"/>
        <v>316.57989180609252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>
        <f>EXP(-LN(2)/35)*HG54+(1-EXP(-LN(2)/35))/(LN(2)/35)*HC55*HD55*VLOOKUP('Données projet'!$B$18,Paramètres!$A$1:$I$89,3,0)*0.475*44/12</f>
        <v>0</v>
      </c>
      <c r="HH55" s="23">
        <f>EXP(-LN(2)/25)*HH54+(1-EXP(-LN(2)/25))/(LN(2)/25)*Calculateur!HC55*Calculateur!HE55*VLOOKUP('Données projet'!$B$18,Paramètres!$A$1:$I$89,3,0)*0.475*44/12</f>
        <v>0</v>
      </c>
      <c r="HI55" s="23">
        <f>EXP(-LN(2)/2)*HI54+(1-EXP(-LN(2)/2))/(LN(2)/2)*HC55*HF55*VLOOKUP('Données projet'!$B$18,Paramètres!$A$1:$I$89,3,0)*0.475*44/12</f>
        <v>0</v>
      </c>
      <c r="HJ55" s="24">
        <f t="shared" si="30"/>
        <v>0</v>
      </c>
    </row>
    <row r="56" spans="1:218" s="5" customFormat="1" x14ac:dyDescent="0.25">
      <c r="A56" s="11">
        <f t="shared" si="31"/>
        <v>53</v>
      </c>
      <c r="B56" s="75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8">
        <f t="shared" si="1"/>
        <v>183.33333333333334</v>
      </c>
      <c r="I56" s="7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10.199999999999999</v>
      </c>
      <c r="N56" s="14">
        <f>IF('Données projet'!$A$36&gt;35,N55+M56-V55,IF(A56&lt;'Données projet'!$A$36,$K$205^A56,IF(A56='Données projet'!$A$36,'Données projet'!$B$36,N55+M56-V55)))</f>
        <v>261.60000000000002</v>
      </c>
      <c r="O56" s="14">
        <f>N56*VLOOKUP('Données projet'!$B$9,Paramètres!$A$1:$I$89,3,0)*VLOOKUP('Données projet'!$B$9,Paramètres!$A$1:$I$89,5,0)</f>
        <v>236.69568000000001</v>
      </c>
      <c r="P56" s="14">
        <f t="shared" si="33"/>
        <v>57.72801732243034</v>
      </c>
      <c r="Q56" s="22">
        <f t="shared" si="53"/>
        <v>512.78793950323291</v>
      </c>
      <c r="R56" s="60">
        <f t="shared" si="0"/>
        <v>769.86331770976608</v>
      </c>
      <c r="S56" s="60">
        <f ca="1">AVERAGE(OFFSET($R$3,0,0,'Données projet'!$E$9+1,1))-AVERAGE(OFFSET($H$3,0,0,'Données projet'!$E$9+1,1))</f>
        <v>570.08763950759544</v>
      </c>
      <c r="T56" s="60">
        <f t="shared" si="34"/>
        <v>297.32483725004136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7.3600000000000083</v>
      </c>
      <c r="AI56" s="14">
        <f>IF('Données projet'!$A$62&gt;35,AI55+AH56-AQ55,IF(A56&lt;'Données projet'!$A$62,$AF$205^A56,IF(A56='Données projet'!$A$62,'Données projet'!$B$62,AI55+AH56-AQ55)))</f>
        <v>263.87999999999994</v>
      </c>
      <c r="AJ56" s="14">
        <f>AI56*VLOOKUP('Données projet'!$B$10,Paramètres!$A$1:$I$89,3,0)*VLOOKUP('Données projet'!$B$10,Paramètres!$A$1:$I$89,5,0)</f>
        <v>209.94292799999997</v>
      </c>
      <c r="AK56" s="14">
        <f t="shared" si="35"/>
        <v>51.9231138331048</v>
      </c>
      <c r="AL56" s="22">
        <f t="shared" si="4"/>
        <v>456.08335619265745</v>
      </c>
      <c r="AM56" s="60">
        <f t="shared" si="5"/>
        <v>713.15873439919073</v>
      </c>
      <c r="AN56" s="60">
        <f ca="1">AVERAGE(OFFSET($AM$3,0,0,'Données projet'!$E$10+1,1))-AVERAGE(OFFSET($H$3,0,0,'Données projet'!$E$10+1,1))</f>
        <v>394.49874384716014</v>
      </c>
      <c r="AO56" s="60">
        <f t="shared" si="36"/>
        <v>423.72519584013378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6.119999999999993</v>
      </c>
      <c r="BD56" s="13">
        <f>IF('Données projet'!$A$88&gt;35,BD55+BC56-BL55,IF(A56&lt;'Données projet'!$A$88,$BA$205^A56,IF(A56='Données projet'!$A$88,'Données projet'!$B$88,BD55+BC56-BL55)))</f>
        <v>220.2600000000001</v>
      </c>
      <c r="BE56" s="14">
        <f>BD56*VLOOKUP('Données projet'!$B$11,Paramètres!$A$1:$I$89,3,0)*VLOOKUP('Données projet'!$B$11,Paramètres!$A$1:$I$89,5,0)</f>
        <v>192.41913600000012</v>
      </c>
      <c r="BF56" s="14">
        <f t="shared" si="37"/>
        <v>48.074395014300762</v>
      </c>
      <c r="BG56" s="22">
        <f t="shared" si="7"/>
        <v>418.85956651657403</v>
      </c>
      <c r="BH56" s="60">
        <f t="shared" si="8"/>
        <v>675.93494472310726</v>
      </c>
      <c r="BI56" s="60">
        <f ca="1">AVERAGE(OFFSET($BH$3,0,0,'Données projet'!$E$11+1,1))-AVERAGE(OFFSET($H$3,0,0,'Données projet'!$E$11+1,1))</f>
        <v>363.28611056308665</v>
      </c>
      <c r="BJ56" s="60">
        <f t="shared" si="38"/>
        <v>389.43647559455974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5.6410256410256405</v>
      </c>
      <c r="BY56" s="13">
        <f>IF('Données projet'!$A$114&gt;35,BY55+BX56-CG55,IF(A56&lt;'Données projet'!$A$114,$BV$205^A56,IF(A56='Données projet'!$A$114,'Données projet'!$B$114,BY55+BX56-CG55)))</f>
        <v>204.102564102564</v>
      </c>
      <c r="BZ56" s="14">
        <f>BY56*VLOOKUP('Données projet'!$B$12,Paramètres!$A$1:$I$89,3,0)*VLOOKUP('Données projet'!$B$12,Paramètres!$A$1:$I$89,5,0)</f>
        <v>194.2239999999999</v>
      </c>
      <c r="CA56" s="14">
        <f t="shared" si="39"/>
        <v>48.472620849341268</v>
      </c>
      <c r="CB56" s="22">
        <f t="shared" si="10"/>
        <v>422.69661464593588</v>
      </c>
      <c r="CC56" s="60">
        <f t="shared" si="11"/>
        <v>679.77199285246911</v>
      </c>
      <c r="CD56" s="60">
        <f ca="1">AVERAGE(OFFSET($CC$3,0,0,'Données projet'!$E$12+1,1))-AVERAGE(OFFSET($H$3,0,0,'Données projet'!$E$12+1,1))</f>
        <v>441.15969139782891</v>
      </c>
      <c r="CE56" s="60">
        <f t="shared" si="40"/>
        <v>315.06466790224783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7.3600000000000083</v>
      </c>
      <c r="CT56" s="13">
        <f>IF('Données projet'!$A$140&gt;35,CT55+CS56-DB55,IF(A56&lt;'Données projet'!$A$140,$CQ$205^A56,IF(A56='Données projet'!$A$140,'Données projet'!$B$140,CT55+CS56-DB55)))</f>
        <v>263.87999999999994</v>
      </c>
      <c r="CU56" s="18">
        <f>CT56*VLOOKUP('Données projet'!$B$13,Paramètres!$A$1:$I$89,3,0)*VLOOKUP('Données projet'!$B$13,Paramètres!$A$1:$I$89,5,0)</f>
        <v>193.47681599999996</v>
      </c>
      <c r="CV56" s="14">
        <f t="shared" si="41"/>
        <v>48.307814384267459</v>
      </c>
      <c r="CW56" s="22">
        <f t="shared" si="13"/>
        <v>421.10823125259907</v>
      </c>
      <c r="CX56" s="60">
        <f t="shared" si="14"/>
        <v>678.1836094591323</v>
      </c>
      <c r="CY56" s="60">
        <f ca="1">AVERAGE(OFFSET($CX$3,0,0,'Données projet'!$E$13+1,1))-AVERAGE(OFFSET($H$3,0,0,'Données projet'!$E$13+1,1))</f>
        <v>368.35775920359396</v>
      </c>
      <c r="CZ56" s="60">
        <f t="shared" si="42"/>
        <v>395.5218438652638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9.375</v>
      </c>
      <c r="DO56" s="13">
        <f>IF('Données projet'!$A$166&gt;35,DO55+DN56-DW55,IF(A56&lt;'Données projet'!$A$166,$DL$205^A56,IF(A56='Données projet'!$A$166,'Données projet'!$B$166,DO55+DN56-DW55)))</f>
        <v>231.37499999999994</v>
      </c>
      <c r="DP56" s="18">
        <f>DO56*VLOOKUP('Données projet'!$B$14,Paramètres!$A$1:$I$89,3,0)*VLOOKUP('Données projet'!$B$14,Paramètres!$A$1:$I$89,5,0)</f>
        <v>180.47249999999997</v>
      </c>
      <c r="DQ56" s="14">
        <f t="shared" si="43"/>
        <v>45.427292666837829</v>
      </c>
      <c r="DR56" s="22">
        <f t="shared" si="16"/>
        <v>393.44213889474253</v>
      </c>
      <c r="DS56" s="60">
        <f t="shared" si="17"/>
        <v>650.51751710127576</v>
      </c>
      <c r="DT56" s="60">
        <f ca="1">AVERAGE(OFFSET($DS$3,0,0,'Données projet'!$E$14+1,1))-AVERAGE(OFFSET($H$3,0,0,'Données projet'!$E$14+1,1))</f>
        <v>312.59632808777332</v>
      </c>
      <c r="DU56" s="60">
        <f t="shared" si="44"/>
        <v>302.59481222418219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0</v>
      </c>
      <c r="EE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15.5</v>
      </c>
      <c r="EJ56" s="13">
        <f>IF('Données projet'!$A$192&gt;35,EJ55+EI56-ER55,IF(A56&lt;'Données projet'!$A$192,$EG$205^A56,IF(A56='Données projet'!$A$192,'Données projet'!$B$192,EJ55+EI56-ER55)))</f>
        <v>254.49999999999986</v>
      </c>
      <c r="EK56" s="18">
        <f>EJ56*VLOOKUP('Données projet'!$B$15,Paramètres!$A$1:$I$89,3,0)*VLOOKUP('Données projet'!$B$15,Paramètres!$A$1:$I$89,5,0)</f>
        <v>218.3609999999999</v>
      </c>
      <c r="EL56" s="14">
        <f t="shared" si="45"/>
        <v>53.758502281527136</v>
      </c>
      <c r="EM56" s="22">
        <f t="shared" si="19"/>
        <v>473.94146647365955</v>
      </c>
      <c r="EN56" s="60">
        <f t="shared" si="20"/>
        <v>731.01684468019278</v>
      </c>
      <c r="EO56" s="60">
        <f ca="1">AVERAGE(OFFSET($EN$3,0,0,'Données projet'!$E$15+1,1))-AVERAGE(OFFSET($H$3,0,0,'Données projet'!$E$15+1,1))</f>
        <v>478.11504516179713</v>
      </c>
      <c r="EP56" s="60">
        <f t="shared" si="46"/>
        <v>249.93713224442419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0</v>
      </c>
      <c r="EW56" s="23">
        <f>EXP(-LN(2)/25)*EW55+(1-EXP(-LN(2)/25))/(LN(2)/25)*Calculateur!ER56*Calculateur!ET56*VLOOKUP('Données projet'!$B$15,Paramètres!$A$1:$I$89,3,0)*0.475*44/12</f>
        <v>0</v>
      </c>
      <c r="EX56" s="23">
        <f>EXP(-LN(2)/2)*EX55+(1-EXP(-LN(2)/2))/(LN(2)/2)*ER56*EU56*VLOOKUP('Données projet'!$B$15,Paramètres!$A$1:$I$89,3,0)*0.475*44/12</f>
        <v>0</v>
      </c>
      <c r="EY56" s="24">
        <f t="shared" si="21"/>
        <v>0</v>
      </c>
      <c r="EZ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10.199999999999999</v>
      </c>
      <c r="FE56" s="13">
        <f>IF('Données projet'!$A$218&gt;35,FE55+FD56-FM55,IF(A56&lt;'Données projet'!$A$218,$FB$205^A56,IF(A56='Données projet'!$A$218,'Données projet'!$B$218,FE55+FD56-FM55)))</f>
        <v>261.60000000000002</v>
      </c>
      <c r="FF56" s="18">
        <f>FE56*VLOOKUP('Données projet'!$B$16,Paramètres!$A$1:$I$89,3,0)*VLOOKUP('Données projet'!$B$16,Paramètres!$A$1:$I$89,5,0)</f>
        <v>253.01952000000003</v>
      </c>
      <c r="FG56" s="14">
        <f t="shared" si="47"/>
        <v>61.232073131479261</v>
      </c>
      <c r="FH56" s="22">
        <f t="shared" si="22"/>
        <v>547.32152470399308</v>
      </c>
      <c r="FI56" s="60">
        <f t="shared" si="23"/>
        <v>804.39690291052625</v>
      </c>
      <c r="FJ56" s="60">
        <f ca="1">AVERAGE(OFFSET($FI$3,0,0,'Données projet'!$E$16+1,1))-AVERAGE(OFFSET($H$3,0,0,'Données projet'!$E$16+1,1))</f>
        <v>603.52431522262032</v>
      </c>
      <c r="FK56" s="60">
        <f t="shared" si="48"/>
        <v>313.56299786481338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>
        <f>EXP(-LN(2)/35)*FQ55+(1-EXP(-LN(2)/35))/(LN(2)/35)*FM56*FN56*VLOOKUP('Données projet'!$B$16,Paramètres!$A$1:$I$89,3,0)*0.475*44/12</f>
        <v>0</v>
      </c>
      <c r="FR56" s="23">
        <f>EXP(-LN(2)/25)*FR55+(1-EXP(-LN(2)/25))/(LN(2)/25)*Calculateur!FM56*Calculateur!FO56*VLOOKUP('Données projet'!$B$16,Paramètres!$A$1:$I$89,3,0)*0.475*44/12</f>
        <v>0</v>
      </c>
      <c r="FS56" s="23">
        <f>EXP(-LN(2)/2)*FS55+(1-EXP(-LN(2)/2))/(LN(2)/2)*FM56*FP56*VLOOKUP('Données projet'!$B$16,Paramètres!$A$1:$I$89,3,0)*0.475*44/12</f>
        <v>0</v>
      </c>
      <c r="FT56" s="24">
        <f t="shared" si="24"/>
        <v>0</v>
      </c>
      <c r="FU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6.6666666666666625</v>
      </c>
      <c r="FZ56" s="13">
        <f>IF('Données projet'!$A$244&gt;35,FZ55+FY56-GH55,IF(A56&lt;'Données projet'!$A$244,$FW$205^A56,IF(A56='Données projet'!$A$244,'Données projet'!$B$244,FZ55+FY56-GH55)))</f>
        <v>245.00000000000006</v>
      </c>
      <c r="GA56" s="18">
        <f>FZ56*VLOOKUP('Données projet'!$B$17,Paramètres!$A$1:$I$89,3,0)*VLOOKUP('Données projet'!$B$17,Paramètres!$A$1:$I$89,5,0)</f>
        <v>164.34600000000003</v>
      </c>
      <c r="GB56" s="14">
        <f t="shared" si="49"/>
        <v>41.821233640915146</v>
      </c>
      <c r="GC56" s="22">
        <f t="shared" si="25"/>
        <v>359.07459859126061</v>
      </c>
      <c r="GD56" s="60">
        <f t="shared" si="26"/>
        <v>616.1499767977939</v>
      </c>
      <c r="GE56" s="60">
        <f ca="1">AVERAGE(OFFSET($GD$3,0,0,'Données projet'!$E$17+1,1))-AVERAGE(OFFSET($H$3,0,0,'Données projet'!$E$17+1,1))</f>
        <v>396.0878652679051</v>
      </c>
      <c r="GF56" s="60">
        <f t="shared" si="50"/>
        <v>327.26339199235406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>
        <f>EXP(-LN(2)/35)*GL55+(1-EXP(-LN(2)/35))/(LN(2)/35)*GH56*GI56*VLOOKUP('Données projet'!$B$17,Paramètres!$A$1:$I$89,3,0)*0.475*44/12</f>
        <v>0</v>
      </c>
      <c r="GM56" s="23">
        <f>EXP(-LN(2)/25)*GM55+(1-EXP(-LN(2)/25))/(LN(2)/25)*Calculateur!GH56*Calculateur!GJ56*VLOOKUP('Données projet'!$B$17,Paramètres!$A$1:$I$89,3,0)*0.475*44/12</f>
        <v>0</v>
      </c>
      <c r="GN56" s="23">
        <f>EXP(-LN(2)/2)*GN55+(1-EXP(-LN(2)/2))/(LN(2)/2)*GH56*GK56*VLOOKUP('Données projet'!$B$17,Paramètres!$A$1:$I$89,3,0)*0.475*44/12</f>
        <v>0</v>
      </c>
      <c r="GO56" s="23">
        <f t="shared" si="27"/>
        <v>0</v>
      </c>
      <c r="GP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7.6</v>
      </c>
      <c r="GU56" s="13">
        <f>IF('Données projet'!$A$270&gt;35,GU55+GT56-HC55,IF(A56&lt;'Données projet'!$A$270,$GR$205^A56,IF(A56='Données projet'!$A$270,'Données projet'!$B$270,GU55+GT56-HC55)))</f>
        <v>250.79999999999995</v>
      </c>
      <c r="GV56" s="18">
        <f>GU56*VLOOKUP('Données projet'!$B$18,Paramètres!$A$1:$I$89,3,0)*VLOOKUP('Données projet'!$B$18,Paramètres!$A$1:$I$89,5,0)</f>
        <v>203.44895999999997</v>
      </c>
      <c r="GW56" s="14">
        <f t="shared" si="51"/>
        <v>50.501388840000267</v>
      </c>
      <c r="GX56" s="22">
        <f t="shared" si="28"/>
        <v>442.2968575630004</v>
      </c>
      <c r="GY56" s="60">
        <f t="shared" si="29"/>
        <v>699.37223576953363</v>
      </c>
      <c r="GZ56" s="60">
        <f ca="1">AVERAGE(OFFSET($GY$3,0,0,'Données projet'!$E$18+1,1))-AVERAGE(OFFSET($H$3,0,0,'Données projet'!$E$18+1,1))</f>
        <v>272.69564942740931</v>
      </c>
      <c r="HA56" s="60">
        <f t="shared" si="52"/>
        <v>316.57989180609252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>
        <f>EXP(-LN(2)/35)*HG55+(1-EXP(-LN(2)/35))/(LN(2)/35)*HC56*HD56*VLOOKUP('Données projet'!$B$18,Paramètres!$A$1:$I$89,3,0)*0.475*44/12</f>
        <v>0</v>
      </c>
      <c r="HH56" s="23">
        <f>EXP(-LN(2)/25)*HH55+(1-EXP(-LN(2)/25))/(LN(2)/25)*Calculateur!HC56*Calculateur!HE56*VLOOKUP('Données projet'!$B$18,Paramètres!$A$1:$I$89,3,0)*0.475*44/12</f>
        <v>0</v>
      </c>
      <c r="HI56" s="23">
        <f>EXP(-LN(2)/2)*HI55+(1-EXP(-LN(2)/2))/(LN(2)/2)*HC56*HF56*VLOOKUP('Données projet'!$B$18,Paramètres!$A$1:$I$89,3,0)*0.475*44/12</f>
        <v>0</v>
      </c>
      <c r="HJ56" s="24">
        <f t="shared" si="30"/>
        <v>0</v>
      </c>
    </row>
    <row r="57" spans="1:218" s="5" customFormat="1" x14ac:dyDescent="0.25">
      <c r="A57" s="11">
        <f t="shared" si="31"/>
        <v>54</v>
      </c>
      <c r="B57" s="75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8">
        <f t="shared" si="1"/>
        <v>183.33333333333334</v>
      </c>
      <c r="I57" s="7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10.199999999999999</v>
      </c>
      <c r="N57" s="14">
        <f>IF('Données projet'!$A$36&gt;35,N56+M57-V56,IF(A57&lt;'Données projet'!$A$36,$K$205^A57,IF(A57='Données projet'!$A$36,'Données projet'!$B$36,N56+M57-V56)))</f>
        <v>271.8</v>
      </c>
      <c r="O57" s="14">
        <f>N57*VLOOKUP('Données projet'!$B$9,Paramètres!$A$1:$I$89,3,0)*VLOOKUP('Données projet'!$B$9,Paramètres!$A$1:$I$89,5,0)</f>
        <v>245.92464000000001</v>
      </c>
      <c r="P57" s="14">
        <f t="shared" si="33"/>
        <v>59.712430831913537</v>
      </c>
      <c r="Q57" s="22">
        <f t="shared" si="53"/>
        <v>532.31789836558266</v>
      </c>
      <c r="R57" s="60">
        <f t="shared" si="0"/>
        <v>790.02227103292194</v>
      </c>
      <c r="S57" s="60">
        <f ca="1">AVERAGE(OFFSET($R$3,0,0,'Données projet'!$E$9+1,1))-AVERAGE(OFFSET($H$3,0,0,'Données projet'!$E$9+1,1))</f>
        <v>570.08763950759544</v>
      </c>
      <c r="T57" s="60">
        <f t="shared" si="34"/>
        <v>297.32483725004136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7.3600000000000083</v>
      </c>
      <c r="AI57" s="14">
        <f>IF('Données projet'!$A$62&gt;35,AI56+AH57-AQ56,IF(A57&lt;'Données projet'!$A$62,$AF$205^A57,IF(A57='Données projet'!$A$62,'Données projet'!$B$62,AI56+AH57-AQ56)))</f>
        <v>271.23999999999995</v>
      </c>
      <c r="AJ57" s="14">
        <f>AI57*VLOOKUP('Données projet'!$B$10,Paramètres!$A$1:$I$89,3,0)*VLOOKUP('Données projet'!$B$10,Paramètres!$A$1:$I$89,5,0)</f>
        <v>215.79854399999996</v>
      </c>
      <c r="AK57" s="14">
        <f t="shared" si="35"/>
        <v>53.200697768809484</v>
      </c>
      <c r="AL57" s="22">
        <f t="shared" si="4"/>
        <v>468.50701274734303</v>
      </c>
      <c r="AM57" s="60">
        <f t="shared" si="5"/>
        <v>726.21138541468235</v>
      </c>
      <c r="AN57" s="60">
        <f ca="1">AVERAGE(OFFSET($AM$3,0,0,'Données projet'!$E$10+1,1))-AVERAGE(OFFSET($H$3,0,0,'Données projet'!$E$10+1,1))</f>
        <v>394.49874384716014</v>
      </c>
      <c r="AO57" s="60">
        <f t="shared" si="36"/>
        <v>423.72519584013378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6.119999999999993</v>
      </c>
      <c r="BD57" s="13">
        <f>IF('Données projet'!$A$88&gt;35,BD56+BC57-BL56,IF(A57&lt;'Données projet'!$A$88,$BA$205^A57,IF(A57='Données projet'!$A$88,'Données projet'!$B$88,BD56+BC57-BL56)))</f>
        <v>226.38000000000011</v>
      </c>
      <c r="BE57" s="14">
        <f>BD57*VLOOKUP('Données projet'!$B$11,Paramètres!$A$1:$I$89,3,0)*VLOOKUP('Données projet'!$B$11,Paramètres!$A$1:$I$89,5,0)</f>
        <v>197.76556800000012</v>
      </c>
      <c r="BF57" s="14">
        <f t="shared" si="37"/>
        <v>49.252786568689096</v>
      </c>
      <c r="BG57" s="22">
        <f t="shared" si="7"/>
        <v>430.22363420713367</v>
      </c>
      <c r="BH57" s="60">
        <f t="shared" si="8"/>
        <v>687.928006874473</v>
      </c>
      <c r="BI57" s="60">
        <f ca="1">AVERAGE(OFFSET($BH$3,0,0,'Données projet'!$E$11+1,1))-AVERAGE(OFFSET($H$3,0,0,'Données projet'!$E$11+1,1))</f>
        <v>363.28611056308665</v>
      </c>
      <c r="BJ57" s="60">
        <f t="shared" si="38"/>
        <v>389.43647559455974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5.6410256410256405</v>
      </c>
      <c r="BY57" s="13">
        <f>IF('Données projet'!$A$114&gt;35,BY56+BX57-CG56,IF(A57&lt;'Données projet'!$A$114,$BV$205^A57,IF(A57='Données projet'!$A$114,'Données projet'!$B$114,BY56+BX57-CG56)))</f>
        <v>209.74358974358964</v>
      </c>
      <c r="BZ57" s="14">
        <f>BY57*VLOOKUP('Données projet'!$B$12,Paramètres!$A$1:$I$89,3,0)*VLOOKUP('Données projet'!$B$12,Paramètres!$A$1:$I$89,5,0)</f>
        <v>199.5919999999999</v>
      </c>
      <c r="CA57" s="14">
        <f t="shared" si="39"/>
        <v>49.654491020353277</v>
      </c>
      <c r="CB57" s="22">
        <f t="shared" si="10"/>
        <v>434.10430519378178</v>
      </c>
      <c r="CC57" s="60">
        <f t="shared" si="11"/>
        <v>691.80867786112117</v>
      </c>
      <c r="CD57" s="60">
        <f ca="1">AVERAGE(OFFSET($CC$3,0,0,'Données projet'!$E$12+1,1))-AVERAGE(OFFSET($H$3,0,0,'Données projet'!$E$12+1,1))</f>
        <v>441.15969139782891</v>
      </c>
      <c r="CE57" s="60">
        <f t="shared" si="40"/>
        <v>315.06466790224783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7.3600000000000083</v>
      </c>
      <c r="CT57" s="13">
        <f>IF('Données projet'!$A$140&gt;35,CT56+CS57-DB56,IF(A57&lt;'Données projet'!$A$140,$CQ$205^A57,IF(A57='Données projet'!$A$140,'Données projet'!$B$140,CT56+CS57-DB56)))</f>
        <v>271.23999999999995</v>
      </c>
      <c r="CU57" s="18">
        <f>CT57*VLOOKUP('Données projet'!$B$13,Paramètres!$A$1:$I$89,3,0)*VLOOKUP('Données projet'!$B$13,Paramètres!$A$1:$I$89,5,0)</f>
        <v>198.87316799999996</v>
      </c>
      <c r="CV57" s="14">
        <f t="shared" si="41"/>
        <v>49.496442782493347</v>
      </c>
      <c r="CW57" s="22">
        <f t="shared" si="13"/>
        <v>432.57707211284247</v>
      </c>
      <c r="CX57" s="60">
        <f t="shared" si="14"/>
        <v>690.2814447801818</v>
      </c>
      <c r="CY57" s="60">
        <f ca="1">AVERAGE(OFFSET($CX$3,0,0,'Données projet'!$E$13+1,1))-AVERAGE(OFFSET($H$3,0,0,'Données projet'!$E$13+1,1))</f>
        <v>368.35775920359396</v>
      </c>
      <c r="CZ57" s="60">
        <f t="shared" si="42"/>
        <v>395.5218438652638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9.375</v>
      </c>
      <c r="DO57" s="13">
        <f>IF('Données projet'!$A$166&gt;35,DO56+DN57-DW56,IF(A57&lt;'Données projet'!$A$166,$DL$205^A57,IF(A57='Données projet'!$A$166,'Données projet'!$B$166,DO56+DN57-DW56)))</f>
        <v>240.74999999999994</v>
      </c>
      <c r="DP57" s="18">
        <f>DO57*VLOOKUP('Données projet'!$B$14,Paramètres!$A$1:$I$89,3,0)*VLOOKUP('Données projet'!$B$14,Paramètres!$A$1:$I$89,5,0)</f>
        <v>187.78499999999997</v>
      </c>
      <c r="DQ57" s="14">
        <f t="shared" si="43"/>
        <v>47.049914090154054</v>
      </c>
      <c r="DR57" s="22">
        <f t="shared" si="16"/>
        <v>409.00414204035161</v>
      </c>
      <c r="DS57" s="60">
        <f t="shared" si="17"/>
        <v>666.70851470769094</v>
      </c>
      <c r="DT57" s="60">
        <f ca="1">AVERAGE(OFFSET($DS$3,0,0,'Données projet'!$E$14+1,1))-AVERAGE(OFFSET($H$3,0,0,'Données projet'!$E$14+1,1))</f>
        <v>312.59632808777332</v>
      </c>
      <c r="DU57" s="60">
        <f t="shared" si="44"/>
        <v>302.59481222418219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0</v>
      </c>
      <c r="EE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>
        <f>VLOOKUP(A57,'Données projet'!$A$191:$I$211,2,0)</f>
        <v>270</v>
      </c>
      <c r="EH57" s="13">
        <f>VLOOKUP(A57,'Données projet'!$A$191:$I$211,9,0)</f>
        <v>15.5</v>
      </c>
      <c r="EI57" s="13">
        <f t="array" ref="EI57">INDEX(EH:EH,MIN(IF(ISNUMBER(EH57:EH253),ROW(EH57:EH253),"")))</f>
        <v>15.5</v>
      </c>
      <c r="EJ57" s="13">
        <f>IF('Données projet'!$A$192&gt;35,EJ56+EI57-ER56,IF(A57&lt;'Données projet'!$A$192,$EG$205^A57,IF(A57='Données projet'!$A$192,'Données projet'!$B$192,EJ56+EI57-ER56)))</f>
        <v>269.99999999999989</v>
      </c>
      <c r="EK57" s="18">
        <f>EJ57*VLOOKUP('Données projet'!$B$15,Paramètres!$A$1:$I$89,3,0)*VLOOKUP('Données projet'!$B$15,Paramètres!$A$1:$I$89,5,0)</f>
        <v>231.65999999999991</v>
      </c>
      <c r="EL57" s="14">
        <f t="shared" si="45"/>
        <v>56.641461975682766</v>
      </c>
      <c r="EM57" s="22">
        <f t="shared" si="19"/>
        <v>502.125046274314</v>
      </c>
      <c r="EN57" s="60">
        <f t="shared" si="20"/>
        <v>759.82941894165333</v>
      </c>
      <c r="EO57" s="60">
        <f ca="1">AVERAGE(OFFSET($EN$3,0,0,'Données projet'!$E$15+1,1))-AVERAGE(OFFSET($H$3,0,0,'Données projet'!$E$15+1,1))</f>
        <v>478.11504516179713</v>
      </c>
      <c r="EP57" s="60">
        <f t="shared" si="46"/>
        <v>249.93713224442419</v>
      </c>
      <c r="EQ57" s="16">
        <f>IF(ISNA(VLOOKUP(A57,'Données projet'!$A$191:$I$211,3,0)),0,VLOOKUP(A57,'Données projet'!$A$191:$I$211,3,0))</f>
        <v>6</v>
      </c>
      <c r="ER57" s="16">
        <f>IF(ISNA(VLOOKUP(A57,'Données projet'!$A$191:$I$211,4,0)),0,VLOOKUP(A57,'Données projet'!$A$191:$I$211,4,0))</f>
        <v>64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0</v>
      </c>
      <c r="EW57" s="23">
        <f>EXP(-LN(2)/25)*EW56+(1-EXP(-LN(2)/25))/(LN(2)/25)*Calculateur!ER57*Calculateur!ET57*VLOOKUP('Données projet'!$B$15,Paramètres!$A$1:$I$89,3,0)*0.475*44/12</f>
        <v>0</v>
      </c>
      <c r="EX57" s="23">
        <f>EXP(-LN(2)/2)*EX56+(1-EXP(-LN(2)/2))/(LN(2)/2)*ER57*EU57*VLOOKUP('Données projet'!$B$15,Paramètres!$A$1:$I$89,3,0)*0.475*44/12</f>
        <v>0</v>
      </c>
      <c r="EY57" s="24">
        <f t="shared" si="21"/>
        <v>0</v>
      </c>
      <c r="EZ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10.199999999999999</v>
      </c>
      <c r="FE57" s="13">
        <f>IF('Données projet'!$A$218&gt;35,FE56+FD57-FM56,IF(A57&lt;'Données projet'!$A$218,$FB$205^A57,IF(A57='Données projet'!$A$218,'Données projet'!$B$218,FE56+FD57-FM56)))</f>
        <v>271.8</v>
      </c>
      <c r="FF57" s="18">
        <f>FE57*VLOOKUP('Données projet'!$B$16,Paramètres!$A$1:$I$89,3,0)*VLOOKUP('Données projet'!$B$16,Paramètres!$A$1:$I$89,5,0)</f>
        <v>262.88496000000004</v>
      </c>
      <c r="FG57" s="14">
        <f t="shared" si="47"/>
        <v>63.336939343271965</v>
      </c>
      <c r="FH57" s="22">
        <f t="shared" si="22"/>
        <v>568.16980802286537</v>
      </c>
      <c r="FI57" s="60">
        <f t="shared" si="23"/>
        <v>825.87418069020464</v>
      </c>
      <c r="FJ57" s="60">
        <f ca="1">AVERAGE(OFFSET($FI$3,0,0,'Données projet'!$E$16+1,1))-AVERAGE(OFFSET($H$3,0,0,'Données projet'!$E$16+1,1))</f>
        <v>603.52431522262032</v>
      </c>
      <c r="FK57" s="60">
        <f t="shared" si="48"/>
        <v>313.56299786481338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>
        <f>EXP(-LN(2)/35)*FQ56+(1-EXP(-LN(2)/35))/(LN(2)/35)*FM57*FN57*VLOOKUP('Données projet'!$B$16,Paramètres!$A$1:$I$89,3,0)*0.475*44/12</f>
        <v>0</v>
      </c>
      <c r="FR57" s="23">
        <f>EXP(-LN(2)/25)*FR56+(1-EXP(-LN(2)/25))/(LN(2)/25)*Calculateur!FM57*Calculateur!FO57*VLOOKUP('Données projet'!$B$16,Paramètres!$A$1:$I$89,3,0)*0.475*44/12</f>
        <v>0</v>
      </c>
      <c r="FS57" s="23">
        <f>EXP(-LN(2)/2)*FS56+(1-EXP(-LN(2)/2))/(LN(2)/2)*FM57*FP57*VLOOKUP('Données projet'!$B$16,Paramètres!$A$1:$I$89,3,0)*0.475*44/12</f>
        <v>0</v>
      </c>
      <c r="FT57" s="24">
        <f t="shared" si="24"/>
        <v>0</v>
      </c>
      <c r="FU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6.6666666666666625</v>
      </c>
      <c r="FZ57" s="13">
        <f>IF('Données projet'!$A$244&gt;35,FZ56+FY57-GH56,IF(A57&lt;'Données projet'!$A$244,$FW$205^A57,IF(A57='Données projet'!$A$244,'Données projet'!$B$244,FZ56+FY57-GH56)))</f>
        <v>251.66666666666671</v>
      </c>
      <c r="GA57" s="18">
        <f>FZ57*VLOOKUP('Données projet'!$B$17,Paramètres!$A$1:$I$89,3,0)*VLOOKUP('Données projet'!$B$17,Paramètres!$A$1:$I$89,5,0)</f>
        <v>168.81800000000004</v>
      </c>
      <c r="GB57" s="14">
        <f t="shared" si="49"/>
        <v>42.825187501685285</v>
      </c>
      <c r="GC57" s="22">
        <f t="shared" si="25"/>
        <v>368.61188489876866</v>
      </c>
      <c r="GD57" s="60">
        <f t="shared" si="26"/>
        <v>626.31625756610799</v>
      </c>
      <c r="GE57" s="60">
        <f ca="1">AVERAGE(OFFSET($GD$3,0,0,'Données projet'!$E$17+1,1))-AVERAGE(OFFSET($H$3,0,0,'Données projet'!$E$17+1,1))</f>
        <v>396.0878652679051</v>
      </c>
      <c r="GF57" s="60">
        <f t="shared" si="50"/>
        <v>327.26339199235406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>
        <f>EXP(-LN(2)/35)*GL56+(1-EXP(-LN(2)/35))/(LN(2)/35)*GH57*GI57*VLOOKUP('Données projet'!$B$17,Paramètres!$A$1:$I$89,3,0)*0.475*44/12</f>
        <v>0</v>
      </c>
      <c r="GM57" s="23">
        <f>EXP(-LN(2)/25)*GM56+(1-EXP(-LN(2)/25))/(LN(2)/25)*Calculateur!GH57*Calculateur!GJ57*VLOOKUP('Données projet'!$B$17,Paramètres!$A$1:$I$89,3,0)*0.475*44/12</f>
        <v>0</v>
      </c>
      <c r="GN57" s="23">
        <f>EXP(-LN(2)/2)*GN56+(1-EXP(-LN(2)/2))/(LN(2)/2)*GH57*GK57*VLOOKUP('Données projet'!$B$17,Paramètres!$A$1:$I$89,3,0)*0.475*44/12</f>
        <v>0</v>
      </c>
      <c r="GO57" s="23">
        <f t="shared" si="27"/>
        <v>0</v>
      </c>
      <c r="GP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7.6</v>
      </c>
      <c r="GU57" s="13">
        <f>IF('Données projet'!$A$270&gt;35,GU56+GT57-HC56,IF(A57&lt;'Données projet'!$A$270,$GR$205^A57,IF(A57='Données projet'!$A$270,'Données projet'!$B$270,GU56+GT57-HC56)))</f>
        <v>258.39999999999998</v>
      </c>
      <c r="GV57" s="18">
        <f>GU57*VLOOKUP('Données projet'!$B$18,Paramètres!$A$1:$I$89,3,0)*VLOOKUP('Données projet'!$B$18,Paramètres!$A$1:$I$89,5,0)</f>
        <v>209.61408</v>
      </c>
      <c r="GW57" s="14">
        <f t="shared" si="51"/>
        <v>51.851243442662593</v>
      </c>
      <c r="GX57" s="22">
        <f t="shared" si="28"/>
        <v>455.38543832930395</v>
      </c>
      <c r="GY57" s="60">
        <f t="shared" si="29"/>
        <v>713.08981099664334</v>
      </c>
      <c r="GZ57" s="60">
        <f ca="1">AVERAGE(OFFSET($GY$3,0,0,'Données projet'!$E$18+1,1))-AVERAGE(OFFSET($H$3,0,0,'Données projet'!$E$18+1,1))</f>
        <v>272.69564942740931</v>
      </c>
      <c r="HA57" s="60">
        <f t="shared" si="52"/>
        <v>316.57989180609252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>
        <f>EXP(-LN(2)/35)*HG56+(1-EXP(-LN(2)/35))/(LN(2)/35)*HC57*HD57*VLOOKUP('Données projet'!$B$18,Paramètres!$A$1:$I$89,3,0)*0.475*44/12</f>
        <v>0</v>
      </c>
      <c r="HH57" s="23">
        <f>EXP(-LN(2)/25)*HH56+(1-EXP(-LN(2)/25))/(LN(2)/25)*Calculateur!HC57*Calculateur!HE57*VLOOKUP('Données projet'!$B$18,Paramètres!$A$1:$I$89,3,0)*0.475*44/12</f>
        <v>0</v>
      </c>
      <c r="HI57" s="23">
        <f>EXP(-LN(2)/2)*HI56+(1-EXP(-LN(2)/2))/(LN(2)/2)*HC57*HF57*VLOOKUP('Données projet'!$B$18,Paramètres!$A$1:$I$89,3,0)*0.475*44/12</f>
        <v>0</v>
      </c>
      <c r="HJ57" s="24">
        <f t="shared" si="30"/>
        <v>0</v>
      </c>
    </row>
    <row r="58" spans="1:218" s="5" customFormat="1" x14ac:dyDescent="0.25">
      <c r="A58" s="11">
        <f t="shared" si="31"/>
        <v>55</v>
      </c>
      <c r="B58" s="75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8">
        <f t="shared" si="1"/>
        <v>183.33333333333334</v>
      </c>
      <c r="I58" s="7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282</v>
      </c>
      <c r="L58" s="13">
        <f>VLOOKUP(A58,'Données projet'!$A$35:$I$55,9,0)</f>
        <v>10.199999999999999</v>
      </c>
      <c r="M58" s="13">
        <f t="array" ref="M58">INDEX(L:L,MIN(IF(ISNUMBER(L58:L254),ROW(L58:L254),"")))</f>
        <v>10.199999999999999</v>
      </c>
      <c r="N58" s="14">
        <f>IF('Données projet'!$A$36&gt;35,N57+M58-V57,IF(A58&lt;'Données projet'!$A$36,$K$205^A58,IF(A58='Données projet'!$A$36,'Données projet'!$B$36,N57+M58-V57)))</f>
        <v>282</v>
      </c>
      <c r="O58" s="14">
        <f>N58*VLOOKUP('Données projet'!$B$9,Paramètres!$A$1:$I$89,3,0)*VLOOKUP('Données projet'!$B$9,Paramètres!$A$1:$I$89,5,0)</f>
        <v>255.15360000000001</v>
      </c>
      <c r="P58" s="14">
        <f t="shared" si="33"/>
        <v>61.688192762754426</v>
      </c>
      <c r="Q58" s="22">
        <f t="shared" si="53"/>
        <v>551.83278906179726</v>
      </c>
      <c r="R58" s="60">
        <f t="shared" si="0"/>
        <v>810.15524454226863</v>
      </c>
      <c r="S58" s="60">
        <f ca="1">AVERAGE(OFFSET($R$3,0,0,'Données projet'!$E$9+1,1))-AVERAGE(OFFSET($H$3,0,0,'Données projet'!$E$9+1,1))</f>
        <v>570.08763950759544</v>
      </c>
      <c r="T58" s="60">
        <f t="shared" si="34"/>
        <v>297.32483725004136</v>
      </c>
      <c r="U58" s="16">
        <f>IF(ISNA(VLOOKUP(A58,'Données projet'!$A$35:$I$55,3,0)),0,VLOOKUP(A58,'Données projet'!$A$35:$I$55,3,0))</f>
        <v>4</v>
      </c>
      <c r="V58" s="16">
        <f>IF(ISNA(VLOOKUP(A58,'Données projet'!$A$35:$I$55,4,0)),0,VLOOKUP(A58,'Données projet'!$A$35:$I$55,4,0))</f>
        <v>56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278.60000000000002</v>
      </c>
      <c r="AG58" s="13">
        <f>VLOOKUP(A58,'Données projet'!$A$61:$I$81,9,0)</f>
        <v>7.3600000000000083</v>
      </c>
      <c r="AH58" s="13">
        <f t="array" ref="AH58">INDEX(AG:AG,MIN(IF(ISNUMBER(AG58:AG254),ROW(AG58:AG254),"")))</f>
        <v>7.3600000000000083</v>
      </c>
      <c r="AI58" s="14">
        <f>IF('Données projet'!$A$62&gt;35,AI57+AH58-AQ57,IF(A58&lt;'Données projet'!$A$62,$AF$205^A58,IF(A58='Données projet'!$A$62,'Données projet'!$B$62,AI57+AH58-AQ57)))</f>
        <v>278.59999999999997</v>
      </c>
      <c r="AJ58" s="14">
        <f>AI58*VLOOKUP('Données projet'!$B$10,Paramètres!$A$1:$I$89,3,0)*VLOOKUP('Données projet'!$B$10,Paramètres!$A$1:$I$89,5,0)</f>
        <v>221.65415999999999</v>
      </c>
      <c r="AK58" s="14">
        <f t="shared" si="35"/>
        <v>54.474252334510162</v>
      </c>
      <c r="AL58" s="22">
        <f t="shared" si="4"/>
        <v>480.92365148260507</v>
      </c>
      <c r="AM58" s="60">
        <f t="shared" si="5"/>
        <v>739.2461069630765</v>
      </c>
      <c r="AN58" s="60">
        <f ca="1">AVERAGE(OFFSET($AM$3,0,0,'Données projet'!$E$10+1,1))-AVERAGE(OFFSET($H$3,0,0,'Données projet'!$E$10+1,1))</f>
        <v>394.49874384716014</v>
      </c>
      <c r="AO58" s="60">
        <f t="shared" si="36"/>
        <v>423.72519584013378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232.5</v>
      </c>
      <c r="BB58" s="13">
        <f>VLOOKUP(A58,'Données projet'!$A$87:$I$107,9,0)</f>
        <v>6.119999999999993</v>
      </c>
      <c r="BC58" s="13">
        <f t="array" ref="BC58">INDEX(BB:BB,MIN(IF(ISNUMBER(BB58:BB254),ROW(BB58:BB254),"")))</f>
        <v>6.119999999999993</v>
      </c>
      <c r="BD58" s="13">
        <f>IF('Données projet'!$A$88&gt;35,BD57+BC58-BL57,IF(A58&lt;'Données projet'!$A$88,$BA$205^A58,IF(A58='Données projet'!$A$88,'Données projet'!$B$88,BD57+BC58-BL57)))</f>
        <v>232.50000000000011</v>
      </c>
      <c r="BE58" s="14">
        <f>BD58*VLOOKUP('Données projet'!$B$11,Paramètres!$A$1:$I$89,3,0)*VLOOKUP('Données projet'!$B$11,Paramètres!$A$1:$I$89,5,0)</f>
        <v>203.11200000000011</v>
      </c>
      <c r="BF58" s="14">
        <f t="shared" si="37"/>
        <v>50.427475336015824</v>
      </c>
      <c r="BG58" s="22">
        <f t="shared" si="7"/>
        <v>441.58125287689433</v>
      </c>
      <c r="BH58" s="60">
        <f t="shared" si="8"/>
        <v>699.90370835736576</v>
      </c>
      <c r="BI58" s="60">
        <f ca="1">AVERAGE(OFFSET($BH$3,0,0,'Données projet'!$E$11+1,1))-AVERAGE(OFFSET($H$3,0,0,'Données projet'!$E$11+1,1))</f>
        <v>363.28611056308665</v>
      </c>
      <c r="BJ58" s="60">
        <f t="shared" si="38"/>
        <v>389.43647559455974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215.38461538461539</v>
      </c>
      <c r="BW58" s="13">
        <f>VLOOKUP(A58,'Données projet'!$A$113:$I$133,9,0)</f>
        <v>5.6410256410256405</v>
      </c>
      <c r="BX58" s="13">
        <f t="array" ref="BX58">INDEX(BW:BW,MIN(IF(ISNUMBER(BW58:BW254),ROW(BW58:BW254),"")))</f>
        <v>5.6410256410256405</v>
      </c>
      <c r="BY58" s="13">
        <f>IF('Données projet'!$A$114&gt;35,BY57+BX58-CG57,IF(A58&lt;'Données projet'!$A$114,$BV$205^A58,IF(A58='Données projet'!$A$114,'Données projet'!$B$114,BY57+BX58-CG57)))</f>
        <v>215.38461538461527</v>
      </c>
      <c r="BZ58" s="14">
        <f>BY58*VLOOKUP('Données projet'!$B$12,Paramètres!$A$1:$I$89,3,0)*VLOOKUP('Données projet'!$B$12,Paramètres!$A$1:$I$89,5,0)</f>
        <v>204.95999999999987</v>
      </c>
      <c r="CA58" s="14">
        <f t="shared" si="39"/>
        <v>50.832666587809335</v>
      </c>
      <c r="CB58" s="22">
        <f t="shared" si="10"/>
        <v>445.50556097376767</v>
      </c>
      <c r="CC58" s="60">
        <f t="shared" si="11"/>
        <v>703.8280164542391</v>
      </c>
      <c r="CD58" s="60">
        <f ca="1">AVERAGE(OFFSET($CC$3,0,0,'Données projet'!$E$12+1,1))-AVERAGE(OFFSET($H$3,0,0,'Données projet'!$E$12+1,1))</f>
        <v>441.15969139782891</v>
      </c>
      <c r="CE58" s="60">
        <f t="shared" si="40"/>
        <v>315.06466790224783</v>
      </c>
      <c r="CF58" s="16">
        <f>IF(ISNA(VLOOKUP(A58,'Données projet'!$A$113:$I$133,3,0)),0,VLOOKUP(A58,'Données projet'!$A$113:$I$133,3,0))</f>
        <v>4</v>
      </c>
      <c r="CG58" s="16">
        <f>IF(ISNA(VLOOKUP(A58,'Données projet'!$A$113:$I$133,4,0)),0,VLOOKUP(A58,'Données projet'!$A$113:$I$133,4,0))</f>
        <v>34.615384615384613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278.60000000000002</v>
      </c>
      <c r="CR58" s="13">
        <f>VLOOKUP(A58,'Données projet'!$A$139:$I$159,9,0)</f>
        <v>7.3600000000000083</v>
      </c>
      <c r="CS58" s="13">
        <f t="array" ref="CS58">INDEX(CR:CR,MIN(IF(ISNUMBER(CR58:CR254),ROW(CR58:CR254),"")))</f>
        <v>7.3600000000000083</v>
      </c>
      <c r="CT58" s="13">
        <f>IF('Données projet'!$A$140&gt;35,CT57+CS58-DB57,IF(A58&lt;'Données projet'!$A$140,$CQ$205^A58,IF(A58='Données projet'!$A$140,'Données projet'!$B$140,CT57+CS58-DB57)))</f>
        <v>278.59999999999997</v>
      </c>
      <c r="CU58" s="18">
        <f>CT58*VLOOKUP('Données projet'!$B$13,Paramètres!$A$1:$I$89,3,0)*VLOOKUP('Données projet'!$B$13,Paramètres!$A$1:$I$89,5,0)</f>
        <v>204.26951999999997</v>
      </c>
      <c r="CV58" s="14">
        <f t="shared" si="41"/>
        <v>50.681322367447613</v>
      </c>
      <c r="CW58" s="22">
        <f t="shared" si="13"/>
        <v>444.03938378997123</v>
      </c>
      <c r="CX58" s="60">
        <f t="shared" si="14"/>
        <v>702.3618392704426</v>
      </c>
      <c r="CY58" s="60">
        <f ca="1">AVERAGE(OFFSET($CX$3,0,0,'Données projet'!$E$13+1,1))-AVERAGE(OFFSET($H$3,0,0,'Données projet'!$E$13+1,1))</f>
        <v>368.35775920359396</v>
      </c>
      <c r="CZ58" s="60">
        <f t="shared" si="42"/>
        <v>395.5218438652638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9.375</v>
      </c>
      <c r="DO58" s="13">
        <f>IF('Données projet'!$A$166&gt;35,DO57+DN58-DW57,IF(A58&lt;'Données projet'!$A$166,$DL$205^A58,IF(A58='Données projet'!$A$166,'Données projet'!$B$166,DO57+DN58-DW57)))</f>
        <v>250.12499999999994</v>
      </c>
      <c r="DP58" s="18">
        <f>DO58*VLOOKUP('Données projet'!$B$14,Paramètres!$A$1:$I$89,3,0)*VLOOKUP('Données projet'!$B$14,Paramètres!$A$1:$I$89,5,0)</f>
        <v>195.09749999999997</v>
      </c>
      <c r="DQ58" s="14">
        <f t="shared" si="43"/>
        <v>48.66519532492584</v>
      </c>
      <c r="DR58" s="22">
        <f t="shared" si="16"/>
        <v>424.55336102424576</v>
      </c>
      <c r="DS58" s="60">
        <f t="shared" si="17"/>
        <v>682.87581650471714</v>
      </c>
      <c r="DT58" s="60">
        <f ca="1">AVERAGE(OFFSET($DS$3,0,0,'Données projet'!$E$14+1,1))-AVERAGE(OFFSET($H$3,0,0,'Données projet'!$E$14+1,1))</f>
        <v>312.59632808777332</v>
      </c>
      <c r="DU58" s="60">
        <f t="shared" si="44"/>
        <v>302.59481222418219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0</v>
      </c>
      <c r="EE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14.833333333333334</v>
      </c>
      <c r="EJ58" s="13">
        <f>IF('Données projet'!$A$192&gt;35,EJ57+EI58-ER57,IF(A58&lt;'Données projet'!$A$192,$EG$205^A58,IF(A58='Données projet'!$A$192,'Données projet'!$B$192,EJ57+EI58-ER57)))</f>
        <v>220.8333333333332</v>
      </c>
      <c r="EK58" s="18">
        <f>EJ58*VLOOKUP('Données projet'!$B$15,Paramètres!$A$1:$I$89,3,0)*VLOOKUP('Données projet'!$B$15,Paramètres!$A$1:$I$89,5,0)</f>
        <v>189.47499999999991</v>
      </c>
      <c r="EL58" s="14">
        <f t="shared" si="45"/>
        <v>47.423864120172716</v>
      </c>
      <c r="EM58" s="22">
        <f t="shared" si="19"/>
        <v>412.59885500930062</v>
      </c>
      <c r="EN58" s="60">
        <f t="shared" si="20"/>
        <v>670.92131048977194</v>
      </c>
      <c r="EO58" s="60">
        <f ca="1">AVERAGE(OFFSET($EN$3,0,0,'Données projet'!$E$15+1,1))-AVERAGE(OFFSET($H$3,0,0,'Données projet'!$E$15+1,1))</f>
        <v>478.11504516179713</v>
      </c>
      <c r="EP58" s="60">
        <f t="shared" si="46"/>
        <v>249.93713224442419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0</v>
      </c>
      <c r="EW58" s="23">
        <f>EXP(-LN(2)/25)*EW57+(1-EXP(-LN(2)/25))/(LN(2)/25)*Calculateur!ER58*Calculateur!ET58*VLOOKUP('Données projet'!$B$15,Paramètres!$A$1:$I$89,3,0)*0.475*44/12</f>
        <v>0</v>
      </c>
      <c r="EX58" s="23">
        <f>EXP(-LN(2)/2)*EX57+(1-EXP(-LN(2)/2))/(LN(2)/2)*ER58*EU58*VLOOKUP('Données projet'!$B$15,Paramètres!$A$1:$I$89,3,0)*0.475*44/12</f>
        <v>0</v>
      </c>
      <c r="EY58" s="24">
        <f t="shared" si="21"/>
        <v>0</v>
      </c>
      <c r="EZ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>
        <f>VLOOKUP(A58,'Données projet'!$A$217:$I$237,2,0)</f>
        <v>282</v>
      </c>
      <c r="FC58" s="13">
        <f>VLOOKUP(A58,'Données projet'!$A$217:$I$237,9,0)</f>
        <v>10.199999999999999</v>
      </c>
      <c r="FD58" s="13">
        <f t="array" ref="FD58">INDEX(FC:FC,MIN(IF(ISNUMBER(FC58:FC254),ROW(FC58:FC254),"")))</f>
        <v>10.199999999999999</v>
      </c>
      <c r="FE58" s="13">
        <f>IF('Données projet'!$A$218&gt;35,FE57+FD58-FM57,IF(A58&lt;'Données projet'!$A$218,$FB$205^A58,IF(A58='Données projet'!$A$218,'Données projet'!$B$218,FE57+FD58-FM57)))</f>
        <v>282</v>
      </c>
      <c r="FF58" s="18">
        <f>FE58*VLOOKUP('Données projet'!$B$16,Paramètres!$A$1:$I$89,3,0)*VLOOKUP('Données projet'!$B$16,Paramètres!$A$1:$I$89,5,0)</f>
        <v>272.75040000000001</v>
      </c>
      <c r="FG58" s="14">
        <f t="shared" si="47"/>
        <v>65.43262883082069</v>
      </c>
      <c r="FH58" s="22">
        <f t="shared" si="22"/>
        <v>589.00210854701277</v>
      </c>
      <c r="FI58" s="60">
        <f t="shared" si="23"/>
        <v>847.32456402748414</v>
      </c>
      <c r="FJ58" s="60">
        <f ca="1">AVERAGE(OFFSET($FI$3,0,0,'Données projet'!$E$16+1,1))-AVERAGE(OFFSET($H$3,0,0,'Données projet'!$E$16+1,1))</f>
        <v>603.52431522262032</v>
      </c>
      <c r="FK58" s="60">
        <f t="shared" si="48"/>
        <v>313.56299786481338</v>
      </c>
      <c r="FL58" s="16">
        <f>IF(ISNA(VLOOKUP(A58,'Données projet'!$A$217:$I$237,3,0)),0,VLOOKUP(A58,'Données projet'!$A$217:$I$237,3,0))</f>
        <v>4</v>
      </c>
      <c r="FM58" s="16">
        <f>IF(ISNA(VLOOKUP(A58,'Données projet'!$A$217:$I$237,4,0)),0,VLOOKUP(A58,'Données projet'!$A$217:$I$237,4,0))</f>
        <v>56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>
        <f>EXP(-LN(2)/35)*FQ57+(1-EXP(-LN(2)/35))/(LN(2)/35)*FM58*FN58*VLOOKUP('Données projet'!$B$16,Paramètres!$A$1:$I$89,3,0)*0.475*44/12</f>
        <v>0</v>
      </c>
      <c r="FR58" s="23">
        <f>EXP(-LN(2)/25)*FR57+(1-EXP(-LN(2)/25))/(LN(2)/25)*Calculateur!FM58*Calculateur!FO58*VLOOKUP('Données projet'!$B$16,Paramètres!$A$1:$I$89,3,0)*0.475*44/12</f>
        <v>0</v>
      </c>
      <c r="FS58" s="23">
        <f>EXP(-LN(2)/2)*FS57+(1-EXP(-LN(2)/2))/(LN(2)/2)*FM58*FP58*VLOOKUP('Données projet'!$B$16,Paramètres!$A$1:$I$89,3,0)*0.475*44/12</f>
        <v>0</v>
      </c>
      <c r="FT58" s="24">
        <f t="shared" si="24"/>
        <v>0</v>
      </c>
      <c r="FU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>
        <f>VLOOKUP(A58,'Données projet'!$A$243:$I$263,2,0)</f>
        <v>258.33333333333331</v>
      </c>
      <c r="FX58" s="13">
        <f>VLOOKUP(A58,'Données projet'!$A$243:$I$263,9,0)</f>
        <v>6.6666666666666625</v>
      </c>
      <c r="FY58" s="13">
        <f t="array" ref="FY58">INDEX(FX:FX,MIN(IF(ISNUMBER(FX58:FX254),ROW(FX58:FX254),"")))</f>
        <v>6.6666666666666625</v>
      </c>
      <c r="FZ58" s="13">
        <f>IF('Données projet'!$A$244&gt;35,FZ57+FY58-GH57,IF(A58&lt;'Données projet'!$A$244,$FW$205^A58,IF(A58='Données projet'!$A$244,'Données projet'!$B$244,FZ57+FY58-GH57)))</f>
        <v>258.33333333333337</v>
      </c>
      <c r="GA58" s="18">
        <f>FZ58*VLOOKUP('Données projet'!$B$17,Paramètres!$A$1:$I$89,3,0)*VLOOKUP('Données projet'!$B$17,Paramètres!$A$1:$I$89,5,0)</f>
        <v>173.29000000000002</v>
      </c>
      <c r="GB58" s="14">
        <f t="shared" si="49"/>
        <v>43.826050112896048</v>
      </c>
      <c r="GC58" s="22">
        <f t="shared" si="25"/>
        <v>378.14378727996063</v>
      </c>
      <c r="GD58" s="60">
        <f t="shared" si="26"/>
        <v>636.46624276043201</v>
      </c>
      <c r="GE58" s="60">
        <f ca="1">AVERAGE(OFFSET($GD$3,0,0,'Données projet'!$E$17+1,1))-AVERAGE(OFFSET($H$3,0,0,'Données projet'!$E$17+1,1))</f>
        <v>396.0878652679051</v>
      </c>
      <c r="GF58" s="60">
        <f t="shared" si="50"/>
        <v>327.26339199235406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>
        <f>EXP(-LN(2)/35)*GL57+(1-EXP(-LN(2)/35))/(LN(2)/35)*GH58*GI58*VLOOKUP('Données projet'!$B$17,Paramètres!$A$1:$I$89,3,0)*0.475*44/12</f>
        <v>0</v>
      </c>
      <c r="GM58" s="23">
        <f>EXP(-LN(2)/25)*GM57+(1-EXP(-LN(2)/25))/(LN(2)/25)*Calculateur!GH58*Calculateur!GJ58*VLOOKUP('Données projet'!$B$17,Paramètres!$A$1:$I$89,3,0)*0.475*44/12</f>
        <v>0</v>
      </c>
      <c r="GN58" s="23">
        <f>EXP(-LN(2)/2)*GN57+(1-EXP(-LN(2)/2))/(LN(2)/2)*GH58*GK58*VLOOKUP('Données projet'!$B$17,Paramètres!$A$1:$I$89,3,0)*0.475*44/12</f>
        <v>0</v>
      </c>
      <c r="GO58" s="23">
        <f t="shared" si="27"/>
        <v>0</v>
      </c>
      <c r="GP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>
        <f>VLOOKUP(A58,'Données projet'!$A$269:$I$289,2,0)</f>
        <v>266</v>
      </c>
      <c r="GS58" s="13">
        <f>VLOOKUP(A58,'Données projet'!$A$269:$I$289,9,0)</f>
        <v>7.6</v>
      </c>
      <c r="GT58" s="13">
        <f t="array" ref="GT58">INDEX(GS:GS,MIN(IF(ISNUMBER(GS58:GS254),ROW(GS58:GS254),"")))</f>
        <v>7.6</v>
      </c>
      <c r="GU58" s="13">
        <f>IF('Données projet'!$A$270&gt;35,GU57+GT58-HC57,IF(A58&lt;'Données projet'!$A$270,$GR$205^A58,IF(A58='Données projet'!$A$270,'Données projet'!$B$270,GU57+GT58-HC57)))</f>
        <v>266</v>
      </c>
      <c r="GV58" s="18">
        <f>GU58*VLOOKUP('Données projet'!$B$18,Paramètres!$A$1:$I$89,3,0)*VLOOKUP('Données projet'!$B$18,Paramètres!$A$1:$I$89,5,0)</f>
        <v>215.7792</v>
      </c>
      <c r="GW58" s="14">
        <f t="shared" si="51"/>
        <v>53.196483976998607</v>
      </c>
      <c r="GX58" s="22">
        <f t="shared" si="28"/>
        <v>468.46598292660588</v>
      </c>
      <c r="GY58" s="60">
        <f t="shared" si="29"/>
        <v>726.78843840707725</v>
      </c>
      <c r="GZ58" s="60">
        <f ca="1">AVERAGE(OFFSET($GY$3,0,0,'Données projet'!$E$18+1,1))-AVERAGE(OFFSET($H$3,0,0,'Données projet'!$E$18+1,1))</f>
        <v>272.69564942740931</v>
      </c>
      <c r="HA58" s="60">
        <f t="shared" si="52"/>
        <v>316.57989180609252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>
        <f>EXP(-LN(2)/35)*HG57+(1-EXP(-LN(2)/35))/(LN(2)/35)*HC58*HD58*VLOOKUP('Données projet'!$B$18,Paramètres!$A$1:$I$89,3,0)*0.475*44/12</f>
        <v>0</v>
      </c>
      <c r="HH58" s="23">
        <f>EXP(-LN(2)/25)*HH57+(1-EXP(-LN(2)/25))/(LN(2)/25)*Calculateur!HC58*Calculateur!HE58*VLOOKUP('Données projet'!$B$18,Paramètres!$A$1:$I$89,3,0)*0.475*44/12</f>
        <v>0</v>
      </c>
      <c r="HI58" s="23">
        <f>EXP(-LN(2)/2)*HI57+(1-EXP(-LN(2)/2))/(LN(2)/2)*HC58*HF58*VLOOKUP('Données projet'!$B$18,Paramètres!$A$1:$I$89,3,0)*0.475*44/12</f>
        <v>0</v>
      </c>
      <c r="HJ58" s="24">
        <f t="shared" si="30"/>
        <v>0</v>
      </c>
    </row>
    <row r="59" spans="1:218" s="5" customFormat="1" x14ac:dyDescent="0.25">
      <c r="A59" s="11">
        <f t="shared" si="31"/>
        <v>56</v>
      </c>
      <c r="B59" s="75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8">
        <f t="shared" si="1"/>
        <v>183.33333333333334</v>
      </c>
      <c r="I59" s="7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9.4</v>
      </c>
      <c r="N59" s="14">
        <f>IF('Données projet'!$A$36&gt;35,N58+M59-V58,IF(A59&lt;'Données projet'!$A$36,$K$205^A59,IF(A59='Données projet'!$A$36,'Données projet'!$B$36,N58+M59-V58)))</f>
        <v>235.39999999999998</v>
      </c>
      <c r="O59" s="14">
        <f>N59*VLOOKUP('Données projet'!$B$9,Paramètres!$A$1:$I$89,3,0)*VLOOKUP('Données projet'!$B$9,Paramètres!$A$1:$I$89,5,0)</f>
        <v>212.98991999999998</v>
      </c>
      <c r="P59" s="14">
        <f t="shared" si="33"/>
        <v>52.588419883221171</v>
      </c>
      <c r="Q59" s="22">
        <f t="shared" si="53"/>
        <v>462.54894196327677</v>
      </c>
      <c r="R59" s="60">
        <f t="shared" si="0"/>
        <v>721.47875790189846</v>
      </c>
      <c r="S59" s="60">
        <f ca="1">AVERAGE(OFFSET($R$3,0,0,'Données projet'!$E$9+1,1))-AVERAGE(OFFSET($H$3,0,0,'Données projet'!$E$9+1,1))</f>
        <v>570.08763950759544</v>
      </c>
      <c r="T59" s="60">
        <f t="shared" si="34"/>
        <v>297.32483725004136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6.2799999999999958</v>
      </c>
      <c r="AI59" s="14">
        <f>IF('Données projet'!$A$62&gt;35,AI58+AH59-AQ58,IF(A59&lt;'Données projet'!$A$62,$AF$205^A59,IF(A59='Données projet'!$A$62,'Données projet'!$B$62,AI58+AH59-AQ58)))</f>
        <v>284.87999999999994</v>
      </c>
      <c r="AJ59" s="14">
        <f>AI59*VLOOKUP('Données projet'!$B$10,Paramètres!$A$1:$I$89,3,0)*VLOOKUP('Données projet'!$B$10,Paramètres!$A$1:$I$89,5,0)</f>
        <v>226.65052799999998</v>
      </c>
      <c r="AK59" s="14">
        <f t="shared" si="35"/>
        <v>55.557830188244751</v>
      </c>
      <c r="AL59" s="22">
        <f t="shared" si="4"/>
        <v>491.51289051119289</v>
      </c>
      <c r="AM59" s="60">
        <f t="shared" si="5"/>
        <v>750.44270644981464</v>
      </c>
      <c r="AN59" s="60">
        <f ca="1">AVERAGE(OFFSET($AM$3,0,0,'Données projet'!$E$10+1,1))-AVERAGE(OFFSET($H$3,0,0,'Données projet'!$E$10+1,1))</f>
        <v>394.49874384716014</v>
      </c>
      <c r="AO59" s="60">
        <f t="shared" si="36"/>
        <v>423.72519584013378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5.1600000000000019</v>
      </c>
      <c r="BD59" s="13">
        <f>IF('Données projet'!$A$88&gt;35,BD58+BC59-BL58,IF(A59&lt;'Données projet'!$A$88,$BA$205^A59,IF(A59='Données projet'!$A$88,'Données projet'!$B$88,BD58+BC59-BL58)))</f>
        <v>237.66000000000011</v>
      </c>
      <c r="BE59" s="14">
        <f>BD59*VLOOKUP('Données projet'!$B$11,Paramètres!$A$1:$I$89,3,0)*VLOOKUP('Données projet'!$B$11,Paramètres!$A$1:$I$89,5,0)</f>
        <v>207.61977600000012</v>
      </c>
      <c r="BF59" s="14">
        <f t="shared" si="37"/>
        <v>51.415102296903406</v>
      </c>
      <c r="BG59" s="22">
        <f t="shared" si="7"/>
        <v>451.1524130337736</v>
      </c>
      <c r="BH59" s="60">
        <f t="shared" si="8"/>
        <v>710.08222897239534</v>
      </c>
      <c r="BI59" s="60">
        <f ca="1">AVERAGE(OFFSET($BH$3,0,0,'Données projet'!$E$11+1,1))-AVERAGE(OFFSET($H$3,0,0,'Données projet'!$E$11+1,1))</f>
        <v>363.28611056308665</v>
      </c>
      <c r="BJ59" s="60">
        <f t="shared" si="38"/>
        <v>389.43647559455974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5.3846153846153815</v>
      </c>
      <c r="BY59" s="13">
        <f>IF('Données projet'!$A$114&gt;35,BY58+BX59-CG58,IF(A59&lt;'Données projet'!$A$114,$BV$205^A59,IF(A59='Données projet'!$A$114,'Données projet'!$B$114,BY58+BX59-CG58)))</f>
        <v>186.15384615384605</v>
      </c>
      <c r="BZ59" s="14">
        <f>BY59*VLOOKUP('Données projet'!$B$12,Paramètres!$A$1:$I$89,3,0)*VLOOKUP('Données projet'!$B$12,Paramètres!$A$1:$I$89,5,0)</f>
        <v>177.14399999999989</v>
      </c>
      <c r="CA59" s="14">
        <f t="shared" si="39"/>
        <v>44.6861885307368</v>
      </c>
      <c r="CB59" s="22">
        <f t="shared" si="10"/>
        <v>386.35424502436632</v>
      </c>
      <c r="CC59" s="60">
        <f t="shared" si="11"/>
        <v>645.28406096298806</v>
      </c>
      <c r="CD59" s="60">
        <f ca="1">AVERAGE(OFFSET($CC$3,0,0,'Données projet'!$E$12+1,1))-AVERAGE(OFFSET($H$3,0,0,'Données projet'!$E$12+1,1))</f>
        <v>441.15969139782891</v>
      </c>
      <c r="CE59" s="60">
        <f t="shared" si="40"/>
        <v>315.06466790224783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6.2799999999999958</v>
      </c>
      <c r="CT59" s="13">
        <f>IF('Données projet'!$A$140&gt;35,CT58+CS59-DB58,IF(A59&lt;'Données projet'!$A$140,$CQ$205^A59,IF(A59='Données projet'!$A$140,'Données projet'!$B$140,CT58+CS59-DB58)))</f>
        <v>284.87999999999994</v>
      </c>
      <c r="CU59" s="18">
        <f>CT59*VLOOKUP('Données projet'!$B$13,Paramètres!$A$1:$I$89,3,0)*VLOOKUP('Données projet'!$B$13,Paramètres!$A$1:$I$89,5,0)</f>
        <v>208.87401599999995</v>
      </c>
      <c r="CV59" s="14">
        <f t="shared" si="41"/>
        <v>51.689452927517024</v>
      </c>
      <c r="CW59" s="22">
        <f t="shared" si="13"/>
        <v>453.81470838209202</v>
      </c>
      <c r="CX59" s="60">
        <f t="shared" si="14"/>
        <v>712.74452432071371</v>
      </c>
      <c r="CY59" s="60">
        <f ca="1">AVERAGE(OFFSET($CX$3,0,0,'Données projet'!$E$13+1,1))-AVERAGE(OFFSET($H$3,0,0,'Données projet'!$E$13+1,1))</f>
        <v>368.35775920359396</v>
      </c>
      <c r="CZ59" s="60">
        <f t="shared" si="42"/>
        <v>395.5218438652638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9.375</v>
      </c>
      <c r="DO59" s="13">
        <f>IF('Données projet'!$A$166&gt;35,DO58+DN59-DW58,IF(A59&lt;'Données projet'!$A$166,$DL$205^A59,IF(A59='Données projet'!$A$166,'Données projet'!$B$166,DO58+DN59-DW58)))</f>
        <v>259.49999999999994</v>
      </c>
      <c r="DP59" s="18">
        <f>DO59*VLOOKUP('Données projet'!$B$14,Paramètres!$A$1:$I$89,3,0)*VLOOKUP('Données projet'!$B$14,Paramètres!$A$1:$I$89,5,0)</f>
        <v>202.40999999999997</v>
      </c>
      <c r="DQ59" s="14">
        <f t="shared" si="43"/>
        <v>50.273442991661867</v>
      </c>
      <c r="DR59" s="22">
        <f t="shared" si="16"/>
        <v>440.09032987714431</v>
      </c>
      <c r="DS59" s="60">
        <f t="shared" si="17"/>
        <v>699.020145815766</v>
      </c>
      <c r="DT59" s="60">
        <f ca="1">AVERAGE(OFFSET($DS$3,0,0,'Données projet'!$E$14+1,1))-AVERAGE(OFFSET($H$3,0,0,'Données projet'!$E$14+1,1))</f>
        <v>312.59632808777332</v>
      </c>
      <c r="DU59" s="60">
        <f t="shared" si="44"/>
        <v>302.59481222418219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0</v>
      </c>
      <c r="EE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14.833333333333334</v>
      </c>
      <c r="EJ59" s="13">
        <f>IF('Données projet'!$A$192&gt;35,EJ58+EI59-ER58,IF(A59&lt;'Données projet'!$A$192,$EG$205^A59,IF(A59='Données projet'!$A$192,'Données projet'!$B$192,EJ58+EI59-ER58)))</f>
        <v>235.66666666666654</v>
      </c>
      <c r="EK59" s="18">
        <f>EJ59*VLOOKUP('Données projet'!$B$15,Paramètres!$A$1:$I$89,3,0)*VLOOKUP('Données projet'!$B$15,Paramètres!$A$1:$I$89,5,0)</f>
        <v>202.20199999999994</v>
      </c>
      <c r="EL59" s="14">
        <f t="shared" si="45"/>
        <v>50.227791845116698</v>
      </c>
      <c r="EM59" s="22">
        <f t="shared" si="19"/>
        <v>439.6485541302448</v>
      </c>
      <c r="EN59" s="60">
        <f t="shared" si="20"/>
        <v>698.57837006886655</v>
      </c>
      <c r="EO59" s="60">
        <f ca="1">AVERAGE(OFFSET($EN$3,0,0,'Données projet'!$E$15+1,1))-AVERAGE(OFFSET($H$3,0,0,'Données projet'!$E$15+1,1))</f>
        <v>478.11504516179713</v>
      </c>
      <c r="EP59" s="60">
        <f t="shared" si="46"/>
        <v>249.93713224442419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0</v>
      </c>
      <c r="EW59" s="23">
        <f>EXP(-LN(2)/25)*EW58+(1-EXP(-LN(2)/25))/(LN(2)/25)*Calculateur!ER59*Calculateur!ET59*VLOOKUP('Données projet'!$B$15,Paramètres!$A$1:$I$89,3,0)*0.475*44/12</f>
        <v>0</v>
      </c>
      <c r="EX59" s="23">
        <f>EXP(-LN(2)/2)*EX58+(1-EXP(-LN(2)/2))/(LN(2)/2)*ER59*EU59*VLOOKUP('Données projet'!$B$15,Paramètres!$A$1:$I$89,3,0)*0.475*44/12</f>
        <v>0</v>
      </c>
      <c r="EY59" s="24">
        <f t="shared" si="21"/>
        <v>0</v>
      </c>
      <c r="EZ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9.4</v>
      </c>
      <c r="FE59" s="13">
        <f>IF('Données projet'!$A$218&gt;35,FE58+FD59-FM58,IF(A59&lt;'Données projet'!$A$218,$FB$205^A59,IF(A59='Données projet'!$A$218,'Données projet'!$B$218,FE58+FD59-FM58)))</f>
        <v>235.39999999999998</v>
      </c>
      <c r="FF59" s="18">
        <f>FE59*VLOOKUP('Données projet'!$B$16,Paramètres!$A$1:$I$89,3,0)*VLOOKUP('Données projet'!$B$16,Paramètres!$A$1:$I$89,5,0)</f>
        <v>227.67887999999996</v>
      </c>
      <c r="FG59" s="14">
        <f t="shared" si="47"/>
        <v>55.780505229774469</v>
      </c>
      <c r="FH59" s="22">
        <f t="shared" si="22"/>
        <v>493.69176260852379</v>
      </c>
      <c r="FI59" s="60">
        <f t="shared" si="23"/>
        <v>752.62157854714553</v>
      </c>
      <c r="FJ59" s="60">
        <f ca="1">AVERAGE(OFFSET($FI$3,0,0,'Données projet'!$E$16+1,1))-AVERAGE(OFFSET($H$3,0,0,'Données projet'!$E$16+1,1))</f>
        <v>603.52431522262032</v>
      </c>
      <c r="FK59" s="60">
        <f t="shared" si="48"/>
        <v>313.56299786481338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>
        <f>EXP(-LN(2)/35)*FQ58+(1-EXP(-LN(2)/35))/(LN(2)/35)*FM59*FN59*VLOOKUP('Données projet'!$B$16,Paramètres!$A$1:$I$89,3,0)*0.475*44/12</f>
        <v>0</v>
      </c>
      <c r="FR59" s="23">
        <f>EXP(-LN(2)/25)*FR58+(1-EXP(-LN(2)/25))/(LN(2)/25)*Calculateur!FM59*Calculateur!FO59*VLOOKUP('Données projet'!$B$16,Paramètres!$A$1:$I$89,3,0)*0.475*44/12</f>
        <v>0</v>
      </c>
      <c r="FS59" s="23">
        <f>EXP(-LN(2)/2)*FS58+(1-EXP(-LN(2)/2))/(LN(2)/2)*FM59*FP59*VLOOKUP('Données projet'!$B$16,Paramètres!$A$1:$I$89,3,0)*0.475*44/12</f>
        <v>0</v>
      </c>
      <c r="FT59" s="24">
        <f t="shared" si="24"/>
        <v>0</v>
      </c>
      <c r="FU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6.1538461538461551</v>
      </c>
      <c r="FZ59" s="13">
        <f>IF('Données projet'!$A$244&gt;35,FZ58+FY59-GH58,IF(A59&lt;'Données projet'!$A$244,$FW$205^A59,IF(A59='Données projet'!$A$244,'Données projet'!$B$244,FZ58+FY59-GH58)))</f>
        <v>264.4871794871795</v>
      </c>
      <c r="GA59" s="18">
        <f>FZ59*VLOOKUP('Données projet'!$B$17,Paramètres!$A$1:$I$89,3,0)*VLOOKUP('Données projet'!$B$17,Paramètres!$A$1:$I$89,5,0)</f>
        <v>177.41800000000001</v>
      </c>
      <c r="GB59" s="14">
        <f t="shared" si="49"/>
        <v>44.747256581968642</v>
      </c>
      <c r="GC59" s="22">
        <f t="shared" si="25"/>
        <v>386.93782188026211</v>
      </c>
      <c r="GD59" s="60">
        <f t="shared" si="26"/>
        <v>645.86763781888385</v>
      </c>
      <c r="GE59" s="60">
        <f ca="1">AVERAGE(OFFSET($GD$3,0,0,'Données projet'!$E$17+1,1))-AVERAGE(OFFSET($H$3,0,0,'Données projet'!$E$17+1,1))</f>
        <v>396.0878652679051</v>
      </c>
      <c r="GF59" s="60">
        <f t="shared" si="50"/>
        <v>327.26339199235406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>
        <f>EXP(-LN(2)/35)*GL58+(1-EXP(-LN(2)/35))/(LN(2)/35)*GH59*GI59*VLOOKUP('Données projet'!$B$17,Paramètres!$A$1:$I$89,3,0)*0.475*44/12</f>
        <v>0</v>
      </c>
      <c r="GM59" s="23">
        <f>EXP(-LN(2)/25)*GM58+(1-EXP(-LN(2)/25))/(LN(2)/25)*Calculateur!GH59*Calculateur!GJ59*VLOOKUP('Données projet'!$B$17,Paramètres!$A$1:$I$89,3,0)*0.475*44/12</f>
        <v>0</v>
      </c>
      <c r="GN59" s="23">
        <f>EXP(-LN(2)/2)*GN58+(1-EXP(-LN(2)/2))/(LN(2)/2)*GH59*GK59*VLOOKUP('Données projet'!$B$17,Paramètres!$A$1:$I$89,3,0)*0.475*44/12</f>
        <v>0</v>
      </c>
      <c r="GO59" s="23">
        <f t="shared" si="27"/>
        <v>0</v>
      </c>
      <c r="GP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7.4</v>
      </c>
      <c r="GU59" s="13">
        <f>IF('Données projet'!$A$270&gt;35,GU58+GT59-HC58,IF(A59&lt;'Données projet'!$A$270,$GR$205^A59,IF(A59='Données projet'!$A$270,'Données projet'!$B$270,GU58+GT59-HC58)))</f>
        <v>273.39999999999998</v>
      </c>
      <c r="GV59" s="18">
        <f>GU59*VLOOKUP('Données projet'!$B$18,Paramètres!$A$1:$I$89,3,0)*VLOOKUP('Données projet'!$B$18,Paramètres!$A$1:$I$89,5,0)</f>
        <v>221.78208000000001</v>
      </c>
      <c r="GW59" s="14">
        <f t="shared" si="51"/>
        <v>54.502029950220781</v>
      </c>
      <c r="GX59" s="22">
        <f t="shared" si="28"/>
        <v>481.19482482996779</v>
      </c>
      <c r="GY59" s="60">
        <f t="shared" si="29"/>
        <v>740.12464076858953</v>
      </c>
      <c r="GZ59" s="60">
        <f ca="1">AVERAGE(OFFSET($GY$3,0,0,'Données projet'!$E$18+1,1))-AVERAGE(OFFSET($H$3,0,0,'Données projet'!$E$18+1,1))</f>
        <v>272.69564942740931</v>
      </c>
      <c r="HA59" s="60">
        <f t="shared" si="52"/>
        <v>316.57989180609252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>
        <f>EXP(-LN(2)/35)*HG58+(1-EXP(-LN(2)/35))/(LN(2)/35)*HC59*HD59*VLOOKUP('Données projet'!$B$18,Paramètres!$A$1:$I$89,3,0)*0.475*44/12</f>
        <v>0</v>
      </c>
      <c r="HH59" s="23">
        <f>EXP(-LN(2)/25)*HH58+(1-EXP(-LN(2)/25))/(LN(2)/25)*Calculateur!HC59*Calculateur!HE59*VLOOKUP('Données projet'!$B$18,Paramètres!$A$1:$I$89,3,0)*0.475*44/12</f>
        <v>0</v>
      </c>
      <c r="HI59" s="23">
        <f>EXP(-LN(2)/2)*HI58+(1-EXP(-LN(2)/2))/(LN(2)/2)*HC59*HF59*VLOOKUP('Données projet'!$B$18,Paramètres!$A$1:$I$89,3,0)*0.475*44/12</f>
        <v>0</v>
      </c>
      <c r="HJ59" s="24">
        <f t="shared" si="30"/>
        <v>0</v>
      </c>
    </row>
    <row r="60" spans="1:218" s="5" customFormat="1" x14ac:dyDescent="0.25">
      <c r="A60" s="11">
        <f t="shared" si="31"/>
        <v>57</v>
      </c>
      <c r="B60" s="75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8">
        <f t="shared" si="1"/>
        <v>183.33333333333334</v>
      </c>
      <c r="I60" s="7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9.4</v>
      </c>
      <c r="N60" s="14">
        <f>IF('Données projet'!$A$36&gt;35,N59+M60-V59,IF(A60&lt;'Données projet'!$A$36,$K$205^A60,IF(A60='Données projet'!$A$36,'Données projet'!$B$36,N59+M60-V59)))</f>
        <v>244.79999999999998</v>
      </c>
      <c r="O60" s="14">
        <f>N60*VLOOKUP('Données projet'!$B$9,Paramètres!$A$1:$I$89,3,0)*VLOOKUP('Données projet'!$B$9,Paramètres!$A$1:$I$89,5,0)</f>
        <v>221.49503999999999</v>
      </c>
      <c r="P60" s="14">
        <f t="shared" si="33"/>
        <v>54.439697086174412</v>
      </c>
      <c r="Q60" s="22">
        <f t="shared" si="53"/>
        <v>480.58633375842032</v>
      </c>
      <c r="R60" s="60">
        <f t="shared" si="0"/>
        <v>740.11297380909809</v>
      </c>
      <c r="S60" s="60">
        <f ca="1">AVERAGE(OFFSET($R$3,0,0,'Données projet'!$E$9+1,1))-AVERAGE(OFFSET($H$3,0,0,'Données projet'!$E$9+1,1))</f>
        <v>570.08763950759544</v>
      </c>
      <c r="T60" s="60">
        <f t="shared" si="34"/>
        <v>297.32483725004136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6.2799999999999958</v>
      </c>
      <c r="AI60" s="14">
        <f>IF('Données projet'!$A$62&gt;35,AI59+AH60-AQ59,IF(A60&lt;'Données projet'!$A$62,$AF$205^A60,IF(A60='Données projet'!$A$62,'Données projet'!$B$62,AI59+AH60-AQ59)))</f>
        <v>291.15999999999991</v>
      </c>
      <c r="AJ60" s="14">
        <f>AI60*VLOOKUP('Données projet'!$B$10,Paramètres!$A$1:$I$89,3,0)*VLOOKUP('Données projet'!$B$10,Paramètres!$A$1:$I$89,5,0)</f>
        <v>231.64689599999994</v>
      </c>
      <c r="AK60" s="14">
        <f t="shared" si="35"/>
        <v>56.63863094599396</v>
      </c>
      <c r="AL60" s="22">
        <f t="shared" si="4"/>
        <v>502.09729276427265</v>
      </c>
      <c r="AM60" s="60">
        <f t="shared" si="5"/>
        <v>761.62393281495042</v>
      </c>
      <c r="AN60" s="60">
        <f ca="1">AVERAGE(OFFSET($AM$3,0,0,'Données projet'!$E$10+1,1))-AVERAGE(OFFSET($H$3,0,0,'Données projet'!$E$10+1,1))</f>
        <v>394.49874384716014</v>
      </c>
      <c r="AO60" s="60">
        <f t="shared" si="36"/>
        <v>423.72519584013378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5.1600000000000019</v>
      </c>
      <c r="BD60" s="13">
        <f>IF('Données projet'!$A$88&gt;35,BD59+BC60-BL59,IF(A60&lt;'Données projet'!$A$88,$BA$205^A60,IF(A60='Données projet'!$A$88,'Données projet'!$B$88,BD59+BC60-BL59)))</f>
        <v>242.82000000000011</v>
      </c>
      <c r="BE60" s="14">
        <f>BD60*VLOOKUP('Données projet'!$B$11,Paramètres!$A$1:$I$89,3,0)*VLOOKUP('Données projet'!$B$11,Paramètres!$A$1:$I$89,5,0)</f>
        <v>212.12755200000012</v>
      </c>
      <c r="BF60" s="14">
        <f t="shared" si="37"/>
        <v>52.400236231117169</v>
      </c>
      <c r="BG60" s="22">
        <f t="shared" si="7"/>
        <v>460.71923116919589</v>
      </c>
      <c r="BH60" s="60">
        <f t="shared" si="8"/>
        <v>720.24587121987361</v>
      </c>
      <c r="BI60" s="60">
        <f ca="1">AVERAGE(OFFSET($BH$3,0,0,'Données projet'!$E$11+1,1))-AVERAGE(OFFSET($H$3,0,0,'Données projet'!$E$11+1,1))</f>
        <v>363.28611056308665</v>
      </c>
      <c r="BJ60" s="60">
        <f t="shared" si="38"/>
        <v>389.43647559455974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5.3846153846153815</v>
      </c>
      <c r="BY60" s="13">
        <f>IF('Données projet'!$A$114&gt;35,BY59+BX60-CG59,IF(A60&lt;'Données projet'!$A$114,$BV$205^A60,IF(A60='Données projet'!$A$114,'Données projet'!$B$114,BY59+BX60-CG59)))</f>
        <v>191.53846153846143</v>
      </c>
      <c r="BZ60" s="14">
        <f>BY60*VLOOKUP('Données projet'!$B$12,Paramètres!$A$1:$I$89,3,0)*VLOOKUP('Données projet'!$B$12,Paramètres!$A$1:$I$89,5,0)</f>
        <v>182.26799999999992</v>
      </c>
      <c r="CA60" s="14">
        <f t="shared" si="39"/>
        <v>45.82640608003836</v>
      </c>
      <c r="CB60" s="22">
        <f t="shared" si="10"/>
        <v>397.26442392273333</v>
      </c>
      <c r="CC60" s="60">
        <f t="shared" si="11"/>
        <v>656.79106397341104</v>
      </c>
      <c r="CD60" s="60">
        <f ca="1">AVERAGE(OFFSET($CC$3,0,0,'Données projet'!$E$12+1,1))-AVERAGE(OFFSET($H$3,0,0,'Données projet'!$E$12+1,1))</f>
        <v>441.15969139782891</v>
      </c>
      <c r="CE60" s="60">
        <f t="shared" si="40"/>
        <v>315.06466790224783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6.2799999999999958</v>
      </c>
      <c r="CT60" s="13">
        <f>IF('Données projet'!$A$140&gt;35,CT59+CS60-DB59,IF(A60&lt;'Données projet'!$A$140,$CQ$205^A60,IF(A60='Données projet'!$A$140,'Données projet'!$B$140,CT59+CS60-DB59)))</f>
        <v>291.15999999999991</v>
      </c>
      <c r="CU60" s="18">
        <f>CT60*VLOOKUP('Données projet'!$B$13,Paramètres!$A$1:$I$89,3,0)*VLOOKUP('Données projet'!$B$13,Paramètres!$A$1:$I$89,5,0)</f>
        <v>213.47851199999994</v>
      </c>
      <c r="CV60" s="14">
        <f t="shared" si="41"/>
        <v>52.694999755073347</v>
      </c>
      <c r="CW60" s="22">
        <f t="shared" si="13"/>
        <v>463.58553297341928</v>
      </c>
      <c r="CX60" s="60">
        <f t="shared" si="14"/>
        <v>723.11217302409705</v>
      </c>
      <c r="CY60" s="60">
        <f ca="1">AVERAGE(OFFSET($CX$3,0,0,'Données projet'!$E$13+1,1))-AVERAGE(OFFSET($H$3,0,0,'Données projet'!$E$13+1,1))</f>
        <v>368.35775920359396</v>
      </c>
      <c r="CZ60" s="60">
        <f t="shared" si="42"/>
        <v>395.5218438652638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9.375</v>
      </c>
      <c r="DO60" s="13">
        <f>IF('Données projet'!$A$166&gt;35,DO59+DN60-DW59,IF(A60&lt;'Données projet'!$A$166,$DL$205^A60,IF(A60='Données projet'!$A$166,'Données projet'!$B$166,DO59+DN60-DW59)))</f>
        <v>268.87499999999994</v>
      </c>
      <c r="DP60" s="18">
        <f>DO60*VLOOKUP('Données projet'!$B$14,Paramètres!$A$1:$I$89,3,0)*VLOOKUP('Données projet'!$B$14,Paramètres!$A$1:$I$89,5,0)</f>
        <v>209.72249999999997</v>
      </c>
      <c r="DQ60" s="14">
        <f t="shared" si="43"/>
        <v>51.874940300502296</v>
      </c>
      <c r="DR60" s="22">
        <f t="shared" si="16"/>
        <v>455.61554185670815</v>
      </c>
      <c r="DS60" s="60">
        <f t="shared" si="17"/>
        <v>715.14218190738586</v>
      </c>
      <c r="DT60" s="60">
        <f ca="1">AVERAGE(OFFSET($DS$3,0,0,'Données projet'!$E$14+1,1))-AVERAGE(OFFSET($H$3,0,0,'Données projet'!$E$14+1,1))</f>
        <v>312.59632808777332</v>
      </c>
      <c r="DU60" s="60">
        <f t="shared" si="44"/>
        <v>302.59481222418219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0</v>
      </c>
      <c r="EE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14.833333333333334</v>
      </c>
      <c r="EJ60" s="13">
        <f>IF('Données projet'!$A$192&gt;35,EJ59+EI60-ER59,IF(A60&lt;'Données projet'!$A$192,$EG$205^A60,IF(A60='Données projet'!$A$192,'Données projet'!$B$192,EJ59+EI60-ER59)))</f>
        <v>250.49999999999989</v>
      </c>
      <c r="EK60" s="18">
        <f>EJ60*VLOOKUP('Données projet'!$B$15,Paramètres!$A$1:$I$89,3,0)*VLOOKUP('Données projet'!$B$15,Paramètres!$A$1:$I$89,5,0)</f>
        <v>214.92899999999992</v>
      </c>
      <c r="EL60" s="14">
        <f t="shared" si="45"/>
        <v>53.011237531572512</v>
      </c>
      <c r="EM60" s="22">
        <f t="shared" si="19"/>
        <v>466.66258036748872</v>
      </c>
      <c r="EN60" s="60">
        <f t="shared" si="20"/>
        <v>726.18922041816643</v>
      </c>
      <c r="EO60" s="60">
        <f ca="1">AVERAGE(OFFSET($EN$3,0,0,'Données projet'!$E$15+1,1))-AVERAGE(OFFSET($H$3,0,0,'Données projet'!$E$15+1,1))</f>
        <v>478.11504516179713</v>
      </c>
      <c r="EP60" s="60">
        <f t="shared" si="46"/>
        <v>249.93713224442419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0</v>
      </c>
      <c r="EW60" s="23">
        <f>EXP(-LN(2)/25)*EW59+(1-EXP(-LN(2)/25))/(LN(2)/25)*Calculateur!ER60*Calculateur!ET60*VLOOKUP('Données projet'!$B$15,Paramètres!$A$1:$I$89,3,0)*0.475*44/12</f>
        <v>0</v>
      </c>
      <c r="EX60" s="23">
        <f>EXP(-LN(2)/2)*EX59+(1-EXP(-LN(2)/2))/(LN(2)/2)*ER60*EU60*VLOOKUP('Données projet'!$B$15,Paramètres!$A$1:$I$89,3,0)*0.475*44/12</f>
        <v>0</v>
      </c>
      <c r="EY60" s="24">
        <f t="shared" si="21"/>
        <v>0</v>
      </c>
      <c r="EZ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9.4</v>
      </c>
      <c r="FE60" s="13">
        <f>IF('Données projet'!$A$218&gt;35,FE59+FD60-FM59,IF(A60&lt;'Données projet'!$A$218,$FB$205^A60,IF(A60='Données projet'!$A$218,'Données projet'!$B$218,FE59+FD60-FM59)))</f>
        <v>244.79999999999998</v>
      </c>
      <c r="FF60" s="18">
        <f>FE60*VLOOKUP('Données projet'!$B$16,Paramètres!$A$1:$I$89,3,0)*VLOOKUP('Données projet'!$B$16,Paramètres!$A$1:$I$89,5,0)</f>
        <v>236.77055999999999</v>
      </c>
      <c r="FG60" s="14">
        <f t="shared" si="47"/>
        <v>57.744153841586929</v>
      </c>
      <c r="FH60" s="22">
        <f t="shared" si="22"/>
        <v>512.94645994076382</v>
      </c>
      <c r="FI60" s="60">
        <f t="shared" si="23"/>
        <v>772.47309999144159</v>
      </c>
      <c r="FJ60" s="60">
        <f ca="1">AVERAGE(OFFSET($FI$3,0,0,'Données projet'!$E$16+1,1))-AVERAGE(OFFSET($H$3,0,0,'Données projet'!$E$16+1,1))</f>
        <v>603.52431522262032</v>
      </c>
      <c r="FK60" s="60">
        <f t="shared" si="48"/>
        <v>313.56299786481338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>
        <f>EXP(-LN(2)/35)*FQ59+(1-EXP(-LN(2)/35))/(LN(2)/35)*FM60*FN60*VLOOKUP('Données projet'!$B$16,Paramètres!$A$1:$I$89,3,0)*0.475*44/12</f>
        <v>0</v>
      </c>
      <c r="FR60" s="23">
        <f>EXP(-LN(2)/25)*FR59+(1-EXP(-LN(2)/25))/(LN(2)/25)*Calculateur!FM60*Calculateur!FO60*VLOOKUP('Données projet'!$B$16,Paramètres!$A$1:$I$89,3,0)*0.475*44/12</f>
        <v>0</v>
      </c>
      <c r="FS60" s="23">
        <f>EXP(-LN(2)/2)*FS59+(1-EXP(-LN(2)/2))/(LN(2)/2)*FM60*FP60*VLOOKUP('Données projet'!$B$16,Paramètres!$A$1:$I$89,3,0)*0.475*44/12</f>
        <v>0</v>
      </c>
      <c r="FT60" s="24">
        <f t="shared" si="24"/>
        <v>0</v>
      </c>
      <c r="FU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6.1538461538461551</v>
      </c>
      <c r="FZ60" s="13">
        <f>IF('Données projet'!$A$244&gt;35,FZ59+FY60-GH59,IF(A60&lt;'Données projet'!$A$244,$FW$205^A60,IF(A60='Données projet'!$A$244,'Données projet'!$B$244,FZ59+FY60-GH59)))</f>
        <v>270.64102564102564</v>
      </c>
      <c r="GA60" s="18">
        <f>FZ60*VLOOKUP('Données projet'!$B$17,Paramètres!$A$1:$I$89,3,0)*VLOOKUP('Données projet'!$B$17,Paramètres!$A$1:$I$89,5,0)</f>
        <v>181.54599999999999</v>
      </c>
      <c r="GB60" s="14">
        <f t="shared" si="49"/>
        <v>45.665971295569292</v>
      </c>
      <c r="GC60" s="22">
        <f t="shared" si="25"/>
        <v>395.7275166731165</v>
      </c>
      <c r="GD60" s="60">
        <f t="shared" si="26"/>
        <v>655.25415672379427</v>
      </c>
      <c r="GE60" s="60">
        <f ca="1">AVERAGE(OFFSET($GD$3,0,0,'Données projet'!$E$17+1,1))-AVERAGE(OFFSET($H$3,0,0,'Données projet'!$E$17+1,1))</f>
        <v>396.0878652679051</v>
      </c>
      <c r="GF60" s="60">
        <f t="shared" si="50"/>
        <v>327.26339199235406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>
        <f>EXP(-LN(2)/35)*GL59+(1-EXP(-LN(2)/35))/(LN(2)/35)*GH60*GI60*VLOOKUP('Données projet'!$B$17,Paramètres!$A$1:$I$89,3,0)*0.475*44/12</f>
        <v>0</v>
      </c>
      <c r="GM60" s="23">
        <f>EXP(-LN(2)/25)*GM59+(1-EXP(-LN(2)/25))/(LN(2)/25)*Calculateur!GH60*Calculateur!GJ60*VLOOKUP('Données projet'!$B$17,Paramètres!$A$1:$I$89,3,0)*0.475*44/12</f>
        <v>0</v>
      </c>
      <c r="GN60" s="23">
        <f>EXP(-LN(2)/2)*GN59+(1-EXP(-LN(2)/2))/(LN(2)/2)*GH60*GK60*VLOOKUP('Données projet'!$B$17,Paramètres!$A$1:$I$89,3,0)*0.475*44/12</f>
        <v>0</v>
      </c>
      <c r="GO60" s="23">
        <f t="shared" si="27"/>
        <v>0</v>
      </c>
      <c r="GP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7.4</v>
      </c>
      <c r="GU60" s="13">
        <f>IF('Données projet'!$A$270&gt;35,GU59+GT60-HC59,IF(A60&lt;'Données projet'!$A$270,$GR$205^A60,IF(A60='Données projet'!$A$270,'Données projet'!$B$270,GU59+GT60-HC59)))</f>
        <v>280.79999999999995</v>
      </c>
      <c r="GV60" s="18">
        <f>GU60*VLOOKUP('Données projet'!$B$18,Paramètres!$A$1:$I$89,3,0)*VLOOKUP('Données projet'!$B$18,Paramètres!$A$1:$I$89,5,0)</f>
        <v>227.78495999999998</v>
      </c>
      <c r="GW60" s="14">
        <f t="shared" si="51"/>
        <v>55.803468680001743</v>
      </c>
      <c r="GX60" s="22">
        <f t="shared" si="28"/>
        <v>493.91651328433619</v>
      </c>
      <c r="GY60" s="60">
        <f t="shared" si="29"/>
        <v>753.4431533350139</v>
      </c>
      <c r="GZ60" s="60">
        <f ca="1">AVERAGE(OFFSET($GY$3,0,0,'Données projet'!$E$18+1,1))-AVERAGE(OFFSET($H$3,0,0,'Données projet'!$E$18+1,1))</f>
        <v>272.69564942740931</v>
      </c>
      <c r="HA60" s="60">
        <f t="shared" si="52"/>
        <v>316.57989180609252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>
        <f>EXP(-LN(2)/35)*HG59+(1-EXP(-LN(2)/35))/(LN(2)/35)*HC60*HD60*VLOOKUP('Données projet'!$B$18,Paramètres!$A$1:$I$89,3,0)*0.475*44/12</f>
        <v>0</v>
      </c>
      <c r="HH60" s="23">
        <f>EXP(-LN(2)/25)*HH59+(1-EXP(-LN(2)/25))/(LN(2)/25)*Calculateur!HC60*Calculateur!HE60*VLOOKUP('Données projet'!$B$18,Paramètres!$A$1:$I$89,3,0)*0.475*44/12</f>
        <v>0</v>
      </c>
      <c r="HI60" s="23">
        <f>EXP(-LN(2)/2)*HI59+(1-EXP(-LN(2)/2))/(LN(2)/2)*HC60*HF60*VLOOKUP('Données projet'!$B$18,Paramètres!$A$1:$I$89,3,0)*0.475*44/12</f>
        <v>0</v>
      </c>
      <c r="HJ60" s="24">
        <f t="shared" si="30"/>
        <v>0</v>
      </c>
    </row>
    <row r="61" spans="1:218" s="5" customFormat="1" x14ac:dyDescent="0.25">
      <c r="A61" s="11">
        <f t="shared" si="31"/>
        <v>58</v>
      </c>
      <c r="B61" s="75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8">
        <f t="shared" si="1"/>
        <v>183.33333333333334</v>
      </c>
      <c r="I61" s="7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9.4</v>
      </c>
      <c r="N61" s="14">
        <f>IF('Données projet'!$A$36&gt;35,N60+M61-V60,IF(A61&lt;'Données projet'!$A$36,$K$205^A61,IF(A61='Données projet'!$A$36,'Données projet'!$B$36,N60+M61-V60)))</f>
        <v>254.2</v>
      </c>
      <c r="O61" s="14">
        <f>N61*VLOOKUP('Données projet'!$B$9,Paramètres!$A$1:$I$89,3,0)*VLOOKUP('Données projet'!$B$9,Paramètres!$A$1:$I$89,5,0)</f>
        <v>230.00015999999997</v>
      </c>
      <c r="P61" s="14">
        <f t="shared" si="33"/>
        <v>56.282716126880423</v>
      </c>
      <c r="Q61" s="22">
        <f t="shared" si="53"/>
        <v>498.60934258765002</v>
      </c>
      <c r="R61" s="60">
        <f t="shared" si="0"/>
        <v>758.7224531863385</v>
      </c>
      <c r="S61" s="60">
        <f ca="1">AVERAGE(OFFSET($R$3,0,0,'Données projet'!$E$9+1,1))-AVERAGE(OFFSET($H$3,0,0,'Données projet'!$E$9+1,1))</f>
        <v>570.08763950759544</v>
      </c>
      <c r="T61" s="60">
        <f t="shared" si="34"/>
        <v>297.32483725004136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6.2799999999999958</v>
      </c>
      <c r="AI61" s="14">
        <f>IF('Données projet'!$A$62&gt;35,AI60+AH61-AQ60,IF(A61&lt;'Données projet'!$A$62,$AF$205^A61,IF(A61='Données projet'!$A$62,'Données projet'!$B$62,AI60+AH61-AQ60)))</f>
        <v>297.43999999999988</v>
      </c>
      <c r="AJ61" s="14">
        <f>AI61*VLOOKUP('Données projet'!$B$10,Paramètres!$A$1:$I$89,3,0)*VLOOKUP('Données projet'!$B$10,Paramètres!$A$1:$I$89,5,0)</f>
        <v>236.64326399999993</v>
      </c>
      <c r="AK61" s="14">
        <f t="shared" si="35"/>
        <v>57.716721405473052</v>
      </c>
      <c r="AL61" s="22">
        <f t="shared" si="4"/>
        <v>512.67697458119881</v>
      </c>
      <c r="AM61" s="60">
        <f t="shared" si="5"/>
        <v>772.79008517988723</v>
      </c>
      <c r="AN61" s="60">
        <f ca="1">AVERAGE(OFFSET($AM$3,0,0,'Données projet'!$E$10+1,1))-AVERAGE(OFFSET($H$3,0,0,'Données projet'!$E$10+1,1))</f>
        <v>394.49874384716014</v>
      </c>
      <c r="AO61" s="60">
        <f t="shared" si="36"/>
        <v>423.72519584013378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5.1600000000000019</v>
      </c>
      <c r="BD61" s="13">
        <f>IF('Données projet'!$A$88&gt;35,BD60+BC61-BL60,IF(A61&lt;'Données projet'!$A$88,$BA$205^A61,IF(A61='Données projet'!$A$88,'Données projet'!$B$88,BD60+BC61-BL60)))</f>
        <v>247.9800000000001</v>
      </c>
      <c r="BE61" s="14">
        <f>BD61*VLOOKUP('Données projet'!$B$11,Paramètres!$A$1:$I$89,3,0)*VLOOKUP('Données projet'!$B$11,Paramètres!$A$1:$I$89,5,0)</f>
        <v>216.63532800000013</v>
      </c>
      <c r="BF61" s="14">
        <f t="shared" si="37"/>
        <v>53.382936218727075</v>
      </c>
      <c r="BG61" s="22">
        <f t="shared" si="7"/>
        <v>470.28181018094989</v>
      </c>
      <c r="BH61" s="60">
        <f t="shared" si="8"/>
        <v>730.39492077963837</v>
      </c>
      <c r="BI61" s="60">
        <f ca="1">AVERAGE(OFFSET($BH$3,0,0,'Données projet'!$E$11+1,1))-AVERAGE(OFFSET($H$3,0,0,'Données projet'!$E$11+1,1))</f>
        <v>363.28611056308665</v>
      </c>
      <c r="BJ61" s="60">
        <f t="shared" si="38"/>
        <v>389.43647559455974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5.3846153846153815</v>
      </c>
      <c r="BY61" s="13">
        <f>IF('Données projet'!$A$114&gt;35,BY60+BX61-CG60,IF(A61&lt;'Données projet'!$A$114,$BV$205^A61,IF(A61='Données projet'!$A$114,'Données projet'!$B$114,BY60+BX61-CG60)))</f>
        <v>196.92307692307682</v>
      </c>
      <c r="BZ61" s="14">
        <f>BY61*VLOOKUP('Données projet'!$B$12,Paramètres!$A$1:$I$89,3,0)*VLOOKUP('Données projet'!$B$12,Paramètres!$A$1:$I$89,5,0)</f>
        <v>187.39199999999988</v>
      </c>
      <c r="CA61" s="14">
        <f t="shared" si="39"/>
        <v>46.962898087285787</v>
      </c>
      <c r="CB61" s="22">
        <f t="shared" si="10"/>
        <v>408.16811416868921</v>
      </c>
      <c r="CC61" s="60">
        <f t="shared" si="11"/>
        <v>668.28122476737758</v>
      </c>
      <c r="CD61" s="60">
        <f ca="1">AVERAGE(OFFSET($CC$3,0,0,'Données projet'!$E$12+1,1))-AVERAGE(OFFSET($H$3,0,0,'Données projet'!$E$12+1,1))</f>
        <v>441.15969139782891</v>
      </c>
      <c r="CE61" s="60">
        <f t="shared" si="40"/>
        <v>315.06466790224783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6.2799999999999958</v>
      </c>
      <c r="CT61" s="13">
        <f>IF('Données projet'!$A$140&gt;35,CT60+CS61-DB60,IF(A61&lt;'Données projet'!$A$140,$CQ$205^A61,IF(A61='Données projet'!$A$140,'Données projet'!$B$140,CT60+CS61-DB60)))</f>
        <v>297.43999999999988</v>
      </c>
      <c r="CU61" s="18">
        <f>CT61*VLOOKUP('Données projet'!$B$13,Paramètres!$A$1:$I$89,3,0)*VLOOKUP('Données projet'!$B$13,Paramètres!$A$1:$I$89,5,0)</f>
        <v>218.08300799999989</v>
      </c>
      <c r="CV61" s="14">
        <f t="shared" si="41"/>
        <v>53.698024996844545</v>
      </c>
      <c r="CW61" s="22">
        <f t="shared" si="13"/>
        <v>473.35196580283736</v>
      </c>
      <c r="CX61" s="60">
        <f t="shared" si="14"/>
        <v>733.46507640152572</v>
      </c>
      <c r="CY61" s="60">
        <f ca="1">AVERAGE(OFFSET($CX$3,0,0,'Données projet'!$E$13+1,1))-AVERAGE(OFFSET($H$3,0,0,'Données projet'!$E$13+1,1))</f>
        <v>368.35775920359396</v>
      </c>
      <c r="CZ61" s="60">
        <f t="shared" si="42"/>
        <v>395.5218438652638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9.375</v>
      </c>
      <c r="DO61" s="13">
        <f>IF('Données projet'!$A$166&gt;35,DO60+DN61-DW60,IF(A61&lt;'Données projet'!$A$166,$DL$205^A61,IF(A61='Données projet'!$A$166,'Données projet'!$B$166,DO60+DN61-DW60)))</f>
        <v>278.24999999999994</v>
      </c>
      <c r="DP61" s="18">
        <f>DO61*VLOOKUP('Données projet'!$B$14,Paramètres!$A$1:$I$89,3,0)*VLOOKUP('Données projet'!$B$14,Paramètres!$A$1:$I$89,5,0)</f>
        <v>217.03499999999997</v>
      </c>
      <c r="DQ61" s="14">
        <f t="shared" si="43"/>
        <v>53.469949591969474</v>
      </c>
      <c r="DR61" s="22">
        <f t="shared" si="16"/>
        <v>471.12945387268002</v>
      </c>
      <c r="DS61" s="60">
        <f t="shared" si="17"/>
        <v>731.2425644713685</v>
      </c>
      <c r="DT61" s="60">
        <f ca="1">AVERAGE(OFFSET($DS$3,0,0,'Données projet'!$E$14+1,1))-AVERAGE(OFFSET($H$3,0,0,'Données projet'!$E$14+1,1))</f>
        <v>312.59632808777332</v>
      </c>
      <c r="DU61" s="60">
        <f t="shared" si="44"/>
        <v>302.59481222418219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0</v>
      </c>
      <c r="EE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14.833333333333334</v>
      </c>
      <c r="EJ61" s="13">
        <f>IF('Données projet'!$A$192&gt;35,EJ60+EI61-ER60,IF(A61&lt;'Données projet'!$A$192,$EG$205^A61,IF(A61='Données projet'!$A$192,'Données projet'!$B$192,EJ60+EI61-ER60)))</f>
        <v>265.3333333333332</v>
      </c>
      <c r="EK61" s="18">
        <f>EJ61*VLOOKUP('Données projet'!$B$15,Paramètres!$A$1:$I$89,3,0)*VLOOKUP('Données projet'!$B$15,Paramètres!$A$1:$I$89,5,0)</f>
        <v>227.65599999999992</v>
      </c>
      <c r="EL61" s="14">
        <f t="shared" si="45"/>
        <v>55.775552165489643</v>
      </c>
      <c r="EM61" s="22">
        <f t="shared" si="19"/>
        <v>493.64328668822759</v>
      </c>
      <c r="EN61" s="60">
        <f t="shared" si="20"/>
        <v>753.75639728691601</v>
      </c>
      <c r="EO61" s="60">
        <f ca="1">AVERAGE(OFFSET($EN$3,0,0,'Données projet'!$E$15+1,1))-AVERAGE(OFFSET($H$3,0,0,'Données projet'!$E$15+1,1))</f>
        <v>478.11504516179713</v>
      </c>
      <c r="EP61" s="60">
        <f t="shared" si="46"/>
        <v>249.93713224442419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0</v>
      </c>
      <c r="EW61" s="23">
        <f>EXP(-LN(2)/25)*EW60+(1-EXP(-LN(2)/25))/(LN(2)/25)*Calculateur!ER61*Calculateur!ET61*VLOOKUP('Données projet'!$B$15,Paramètres!$A$1:$I$89,3,0)*0.475*44/12</f>
        <v>0</v>
      </c>
      <c r="EX61" s="23">
        <f>EXP(-LN(2)/2)*EX60+(1-EXP(-LN(2)/2))/(LN(2)/2)*ER61*EU61*VLOOKUP('Données projet'!$B$15,Paramètres!$A$1:$I$89,3,0)*0.475*44/12</f>
        <v>0</v>
      </c>
      <c r="EY61" s="24">
        <f t="shared" si="21"/>
        <v>0</v>
      </c>
      <c r="EZ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9.4</v>
      </c>
      <c r="FE61" s="13">
        <f>IF('Données projet'!$A$218&gt;35,FE60+FD61-FM60,IF(A61&lt;'Données projet'!$A$218,$FB$205^A61,IF(A61='Données projet'!$A$218,'Données projet'!$B$218,FE60+FD61-FM60)))</f>
        <v>254.2</v>
      </c>
      <c r="FF61" s="18">
        <f>FE61*VLOOKUP('Données projet'!$B$16,Paramètres!$A$1:$I$89,3,0)*VLOOKUP('Données projet'!$B$16,Paramètres!$A$1:$I$89,5,0)</f>
        <v>245.86223999999999</v>
      </c>
      <c r="FG61" s="14">
        <f t="shared" si="47"/>
        <v>59.699043025687963</v>
      </c>
      <c r="FH61" s="22">
        <f t="shared" si="22"/>
        <v>532.18590126973982</v>
      </c>
      <c r="FI61" s="60">
        <f t="shared" si="23"/>
        <v>792.29901186842824</v>
      </c>
      <c r="FJ61" s="60">
        <f ca="1">AVERAGE(OFFSET($FI$3,0,0,'Données projet'!$E$16+1,1))-AVERAGE(OFFSET($H$3,0,0,'Données projet'!$E$16+1,1))</f>
        <v>603.52431522262032</v>
      </c>
      <c r="FK61" s="60">
        <f t="shared" si="48"/>
        <v>313.56299786481338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>
        <f>EXP(-LN(2)/35)*FQ60+(1-EXP(-LN(2)/35))/(LN(2)/35)*FM61*FN61*VLOOKUP('Données projet'!$B$16,Paramètres!$A$1:$I$89,3,0)*0.475*44/12</f>
        <v>0</v>
      </c>
      <c r="FR61" s="23">
        <f>EXP(-LN(2)/25)*FR60+(1-EXP(-LN(2)/25))/(LN(2)/25)*Calculateur!FM61*Calculateur!FO61*VLOOKUP('Données projet'!$B$16,Paramètres!$A$1:$I$89,3,0)*0.475*44/12</f>
        <v>0</v>
      </c>
      <c r="FS61" s="23">
        <f>EXP(-LN(2)/2)*FS60+(1-EXP(-LN(2)/2))/(LN(2)/2)*FM61*FP61*VLOOKUP('Données projet'!$B$16,Paramètres!$A$1:$I$89,3,0)*0.475*44/12</f>
        <v>0</v>
      </c>
      <c r="FT61" s="24">
        <f t="shared" si="24"/>
        <v>0</v>
      </c>
      <c r="FU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6.1538461538461551</v>
      </c>
      <c r="FZ61" s="13">
        <f>IF('Données projet'!$A$244&gt;35,FZ60+FY61-GH60,IF(A61&lt;'Données projet'!$A$244,$FW$205^A61,IF(A61='Données projet'!$A$244,'Données projet'!$B$244,FZ60+FY61-GH60)))</f>
        <v>276.79487179487177</v>
      </c>
      <c r="GA61" s="18">
        <f>FZ61*VLOOKUP('Données projet'!$B$17,Paramètres!$A$1:$I$89,3,0)*VLOOKUP('Données projet'!$B$17,Paramètres!$A$1:$I$89,5,0)</f>
        <v>185.67399999999998</v>
      </c>
      <c r="GB61" s="14">
        <f t="shared" si="49"/>
        <v>46.582257433649239</v>
      </c>
      <c r="GC61" s="22">
        <f t="shared" si="25"/>
        <v>404.51298169693899</v>
      </c>
      <c r="GD61" s="60">
        <f t="shared" si="26"/>
        <v>664.62609229562736</v>
      </c>
      <c r="GE61" s="60">
        <f ca="1">AVERAGE(OFFSET($GD$3,0,0,'Données projet'!$E$17+1,1))-AVERAGE(OFFSET($H$3,0,0,'Données projet'!$E$17+1,1))</f>
        <v>396.0878652679051</v>
      </c>
      <c r="GF61" s="60">
        <f t="shared" si="50"/>
        <v>327.26339199235406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>
        <f>EXP(-LN(2)/35)*GL60+(1-EXP(-LN(2)/35))/(LN(2)/35)*GH61*GI61*VLOOKUP('Données projet'!$B$17,Paramètres!$A$1:$I$89,3,0)*0.475*44/12</f>
        <v>0</v>
      </c>
      <c r="GM61" s="23">
        <f>EXP(-LN(2)/25)*GM60+(1-EXP(-LN(2)/25))/(LN(2)/25)*Calculateur!GH61*Calculateur!GJ61*VLOOKUP('Données projet'!$B$17,Paramètres!$A$1:$I$89,3,0)*0.475*44/12</f>
        <v>0</v>
      </c>
      <c r="GN61" s="23">
        <f>EXP(-LN(2)/2)*GN60+(1-EXP(-LN(2)/2))/(LN(2)/2)*GH61*GK61*VLOOKUP('Données projet'!$B$17,Paramètres!$A$1:$I$89,3,0)*0.475*44/12</f>
        <v>0</v>
      </c>
      <c r="GO61" s="23">
        <f t="shared" si="27"/>
        <v>0</v>
      </c>
      <c r="GP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7.4</v>
      </c>
      <c r="GU61" s="13">
        <f>IF('Données projet'!$A$270&gt;35,GU60+GT61-HC60,IF(A61&lt;'Données projet'!$A$270,$GR$205^A61,IF(A61='Données projet'!$A$270,'Données projet'!$B$270,GU60+GT61-HC60)))</f>
        <v>288.19999999999993</v>
      </c>
      <c r="GV61" s="18">
        <f>GU61*VLOOKUP('Données projet'!$B$18,Paramètres!$A$1:$I$89,3,0)*VLOOKUP('Données projet'!$B$18,Paramètres!$A$1:$I$89,5,0)</f>
        <v>233.78783999999996</v>
      </c>
      <c r="GW61" s="14">
        <f t="shared" si="51"/>
        <v>57.100920847849451</v>
      </c>
      <c r="GX61" s="22">
        <f t="shared" si="28"/>
        <v>506.63125847667106</v>
      </c>
      <c r="GY61" s="60">
        <f t="shared" si="29"/>
        <v>766.74436907535949</v>
      </c>
      <c r="GZ61" s="60">
        <f ca="1">AVERAGE(OFFSET($GY$3,0,0,'Données projet'!$E$18+1,1))-AVERAGE(OFFSET($H$3,0,0,'Données projet'!$E$18+1,1))</f>
        <v>272.69564942740931</v>
      </c>
      <c r="HA61" s="60">
        <f t="shared" si="52"/>
        <v>316.57989180609252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>
        <f>EXP(-LN(2)/35)*HG60+(1-EXP(-LN(2)/35))/(LN(2)/35)*HC61*HD61*VLOOKUP('Données projet'!$B$18,Paramètres!$A$1:$I$89,3,0)*0.475*44/12</f>
        <v>0</v>
      </c>
      <c r="HH61" s="23">
        <f>EXP(-LN(2)/25)*HH60+(1-EXP(-LN(2)/25))/(LN(2)/25)*Calculateur!HC61*Calculateur!HE61*VLOOKUP('Données projet'!$B$18,Paramètres!$A$1:$I$89,3,0)*0.475*44/12</f>
        <v>0</v>
      </c>
      <c r="HI61" s="23">
        <f>EXP(-LN(2)/2)*HI60+(1-EXP(-LN(2)/2))/(LN(2)/2)*HC61*HF61*VLOOKUP('Données projet'!$B$18,Paramètres!$A$1:$I$89,3,0)*0.475*44/12</f>
        <v>0</v>
      </c>
      <c r="HJ61" s="24">
        <f t="shared" si="30"/>
        <v>0</v>
      </c>
    </row>
    <row r="62" spans="1:218" s="5" customFormat="1" x14ac:dyDescent="0.25">
      <c r="A62" s="11">
        <f t="shared" si="31"/>
        <v>59</v>
      </c>
      <c r="B62" s="75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8">
        <f t="shared" si="1"/>
        <v>183.33333333333334</v>
      </c>
      <c r="I62" s="7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9.4</v>
      </c>
      <c r="N62" s="14">
        <f>IF('Données projet'!$A$36&gt;35,N61+M62-V61,IF(A62&lt;'Données projet'!$A$36,$K$205^A62,IF(A62='Données projet'!$A$36,'Données projet'!$B$36,N61+M62-V61)))</f>
        <v>263.59999999999997</v>
      </c>
      <c r="O62" s="14">
        <f>N62*VLOOKUP('Données projet'!$B$9,Paramètres!$A$1:$I$89,3,0)*VLOOKUP('Données projet'!$B$9,Paramètres!$A$1:$I$89,5,0)</f>
        <v>238.50527999999997</v>
      </c>
      <c r="P62" s="14">
        <f t="shared" si="33"/>
        <v>58.117817352909881</v>
      </c>
      <c r="Q62" s="22">
        <f t="shared" si="53"/>
        <v>516.61856122298457</v>
      </c>
      <c r="R62" s="60">
        <f t="shared" si="0"/>
        <v>777.30796841682741</v>
      </c>
      <c r="S62" s="60">
        <f ca="1">AVERAGE(OFFSET($R$3,0,0,'Données projet'!$E$9+1,1))-AVERAGE(OFFSET($H$3,0,0,'Données projet'!$E$9+1,1))</f>
        <v>570.08763950759544</v>
      </c>
      <c r="T62" s="60">
        <f t="shared" si="34"/>
        <v>297.32483725004136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6.2799999999999958</v>
      </c>
      <c r="AI62" s="14">
        <f>IF('Données projet'!$A$62&gt;35,AI61+AH62-AQ61,IF(A62&lt;'Données projet'!$A$62,$AF$205^A62,IF(A62='Données projet'!$A$62,'Données projet'!$B$62,AI61+AH62-AQ61)))</f>
        <v>303.71999999999986</v>
      </c>
      <c r="AJ62" s="14">
        <f>AI62*VLOOKUP('Données projet'!$B$10,Paramètres!$A$1:$I$89,3,0)*VLOOKUP('Données projet'!$B$10,Paramètres!$A$1:$I$89,5,0)</f>
        <v>241.63963199999992</v>
      </c>
      <c r="AK62" s="14">
        <f t="shared" si="35"/>
        <v>58.792165382566672</v>
      </c>
      <c r="AL62" s="22">
        <f t="shared" si="4"/>
        <v>523.25204710797016</v>
      </c>
      <c r="AM62" s="60">
        <f t="shared" si="5"/>
        <v>783.94145430181288</v>
      </c>
      <c r="AN62" s="60">
        <f ca="1">AVERAGE(OFFSET($AM$3,0,0,'Données projet'!$E$10+1,1))-AVERAGE(OFFSET($H$3,0,0,'Données projet'!$E$10+1,1))</f>
        <v>394.49874384716014</v>
      </c>
      <c r="AO62" s="60">
        <f t="shared" si="36"/>
        <v>423.72519584013378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5.1600000000000019</v>
      </c>
      <c r="BD62" s="13">
        <f>IF('Données projet'!$A$88&gt;35,BD61+BC62-BL61,IF(A62&lt;'Données projet'!$A$88,$BA$205^A62,IF(A62='Données projet'!$A$88,'Données projet'!$B$88,BD61+BC62-BL61)))</f>
        <v>253.1400000000001</v>
      </c>
      <c r="BE62" s="14">
        <f>BD62*VLOOKUP('Données projet'!$B$11,Paramètres!$A$1:$I$89,3,0)*VLOOKUP('Données projet'!$B$11,Paramètres!$A$1:$I$89,5,0)</f>
        <v>221.14310400000014</v>
      </c>
      <c r="BF62" s="14">
        <f t="shared" si="37"/>
        <v>54.36325874060109</v>
      </c>
      <c r="BG62" s="22">
        <f t="shared" si="7"/>
        <v>479.84024843988044</v>
      </c>
      <c r="BH62" s="60">
        <f t="shared" si="8"/>
        <v>740.52965563372322</v>
      </c>
      <c r="BI62" s="60">
        <f ca="1">AVERAGE(OFFSET($BH$3,0,0,'Données projet'!$E$11+1,1))-AVERAGE(OFFSET($H$3,0,0,'Données projet'!$E$11+1,1))</f>
        <v>363.28611056308665</v>
      </c>
      <c r="BJ62" s="60">
        <f t="shared" si="38"/>
        <v>389.43647559455974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5.3846153846153815</v>
      </c>
      <c r="BY62" s="13">
        <f>IF('Données projet'!$A$114&gt;35,BY61+BX62-CG61,IF(A62&lt;'Données projet'!$A$114,$BV$205^A62,IF(A62='Données projet'!$A$114,'Données projet'!$B$114,BY61+BX62-CG61)))</f>
        <v>202.30769230769221</v>
      </c>
      <c r="BZ62" s="14">
        <f>BY62*VLOOKUP('Données projet'!$B$12,Paramètres!$A$1:$I$89,3,0)*VLOOKUP('Données projet'!$B$12,Paramètres!$A$1:$I$89,5,0)</f>
        <v>192.51599999999991</v>
      </c>
      <c r="CA62" s="14">
        <f t="shared" si="39"/>
        <v>48.095778128339838</v>
      </c>
      <c r="CB62" s="22">
        <f t="shared" si="10"/>
        <v>419.06551357352504</v>
      </c>
      <c r="CC62" s="60">
        <f t="shared" si="11"/>
        <v>679.75492076736782</v>
      </c>
      <c r="CD62" s="60">
        <f ca="1">AVERAGE(OFFSET($CC$3,0,0,'Données projet'!$E$12+1,1))-AVERAGE(OFFSET($H$3,0,0,'Données projet'!$E$12+1,1))</f>
        <v>441.15969139782891</v>
      </c>
      <c r="CE62" s="60">
        <f t="shared" si="40"/>
        <v>315.06466790224783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6.2799999999999958</v>
      </c>
      <c r="CT62" s="13">
        <f>IF('Données projet'!$A$140&gt;35,CT61+CS62-DB61,IF(A62&lt;'Données projet'!$A$140,$CQ$205^A62,IF(A62='Données projet'!$A$140,'Données projet'!$B$140,CT61+CS62-DB61)))</f>
        <v>303.71999999999986</v>
      </c>
      <c r="CU62" s="18">
        <f>CT62*VLOOKUP('Données projet'!$B$13,Paramètres!$A$1:$I$89,3,0)*VLOOKUP('Données projet'!$B$13,Paramètres!$A$1:$I$89,5,0)</f>
        <v>222.68750399999988</v>
      </c>
      <c r="CV62" s="14">
        <f t="shared" si="41"/>
        <v>54.698588025346766</v>
      </c>
      <c r="CW62" s="22">
        <f t="shared" si="13"/>
        <v>483.1141102774788</v>
      </c>
      <c r="CX62" s="60">
        <f t="shared" si="14"/>
        <v>743.80351747132158</v>
      </c>
      <c r="CY62" s="60">
        <f ca="1">AVERAGE(OFFSET($CX$3,0,0,'Données projet'!$E$13+1,1))-AVERAGE(OFFSET($H$3,0,0,'Données projet'!$E$13+1,1))</f>
        <v>368.35775920359396</v>
      </c>
      <c r="CZ62" s="60">
        <f t="shared" si="42"/>
        <v>395.5218438652638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9.375</v>
      </c>
      <c r="DO62" s="13">
        <f>IF('Données projet'!$A$166&gt;35,DO61+DN62-DW61,IF(A62&lt;'Données projet'!$A$166,$DL$205^A62,IF(A62='Données projet'!$A$166,'Données projet'!$B$166,DO61+DN62-DW61)))</f>
        <v>287.62499999999994</v>
      </c>
      <c r="DP62" s="18">
        <f>DO62*VLOOKUP('Données projet'!$B$14,Paramètres!$A$1:$I$89,3,0)*VLOOKUP('Données projet'!$B$14,Paramètres!$A$1:$I$89,5,0)</f>
        <v>224.34749999999997</v>
      </c>
      <c r="DQ62" s="14">
        <f t="shared" si="43"/>
        <v>55.058714525680479</v>
      </c>
      <c r="DR62" s="22">
        <f t="shared" si="16"/>
        <v>486.63249029889352</v>
      </c>
      <c r="DS62" s="60">
        <f t="shared" si="17"/>
        <v>747.3218974927363</v>
      </c>
      <c r="DT62" s="60">
        <f ca="1">AVERAGE(OFFSET($DS$3,0,0,'Données projet'!$E$14+1,1))-AVERAGE(OFFSET($H$3,0,0,'Données projet'!$E$14+1,1))</f>
        <v>312.59632808777332</v>
      </c>
      <c r="DU62" s="60">
        <f t="shared" si="44"/>
        <v>302.59481222418219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0</v>
      </c>
      <c r="EE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14.833333333333334</v>
      </c>
      <c r="EJ62" s="13">
        <f>IF('Données projet'!$A$192&gt;35,EJ61+EI62-ER61,IF(A62&lt;'Données projet'!$A$192,$EG$205^A62,IF(A62='Données projet'!$A$192,'Données projet'!$B$192,EJ61+EI62-ER61)))</f>
        <v>280.16666666666652</v>
      </c>
      <c r="EK62" s="18">
        <f>EJ62*VLOOKUP('Données projet'!$B$15,Paramètres!$A$1:$I$89,3,0)*VLOOKUP('Données projet'!$B$15,Paramètres!$A$1:$I$89,5,0)</f>
        <v>240.38299999999987</v>
      </c>
      <c r="EL62" s="14">
        <f t="shared" si="45"/>
        <v>58.521927148992098</v>
      </c>
      <c r="EM62" s="22">
        <f t="shared" si="19"/>
        <v>520.59274811782768</v>
      </c>
      <c r="EN62" s="60">
        <f t="shared" si="20"/>
        <v>781.28215531167052</v>
      </c>
      <c r="EO62" s="60">
        <f ca="1">AVERAGE(OFFSET($EN$3,0,0,'Données projet'!$E$15+1,1))-AVERAGE(OFFSET($H$3,0,0,'Données projet'!$E$15+1,1))</f>
        <v>478.11504516179713</v>
      </c>
      <c r="EP62" s="60">
        <f t="shared" si="46"/>
        <v>249.93713224442419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0</v>
      </c>
      <c r="EW62" s="23">
        <f>EXP(-LN(2)/25)*EW61+(1-EXP(-LN(2)/25))/(LN(2)/25)*Calculateur!ER62*Calculateur!ET62*VLOOKUP('Données projet'!$B$15,Paramètres!$A$1:$I$89,3,0)*0.475*44/12</f>
        <v>0</v>
      </c>
      <c r="EX62" s="23">
        <f>EXP(-LN(2)/2)*EX61+(1-EXP(-LN(2)/2))/(LN(2)/2)*ER62*EU62*VLOOKUP('Données projet'!$B$15,Paramètres!$A$1:$I$89,3,0)*0.475*44/12</f>
        <v>0</v>
      </c>
      <c r="EY62" s="24">
        <f t="shared" si="21"/>
        <v>0</v>
      </c>
      <c r="EZ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9.4</v>
      </c>
      <c r="FE62" s="13">
        <f>IF('Données projet'!$A$218&gt;35,FE61+FD62-FM61,IF(A62&lt;'Données projet'!$A$218,$FB$205^A62,IF(A62='Données projet'!$A$218,'Données projet'!$B$218,FE61+FD62-FM61)))</f>
        <v>263.59999999999997</v>
      </c>
      <c r="FF62" s="18">
        <f>FE62*VLOOKUP('Données projet'!$B$16,Paramètres!$A$1:$I$89,3,0)*VLOOKUP('Données projet'!$B$16,Paramètres!$A$1:$I$89,5,0)</f>
        <v>254.95391999999998</v>
      </c>
      <c r="FG62" s="14">
        <f t="shared" si="47"/>
        <v>61.645533788540583</v>
      </c>
      <c r="FH62" s="22">
        <f t="shared" si="22"/>
        <v>551.41071534837477</v>
      </c>
      <c r="FI62" s="60">
        <f t="shared" si="23"/>
        <v>812.1001225422176</v>
      </c>
      <c r="FJ62" s="60">
        <f ca="1">AVERAGE(OFFSET($FI$3,0,0,'Données projet'!$E$16+1,1))-AVERAGE(OFFSET($H$3,0,0,'Données projet'!$E$16+1,1))</f>
        <v>603.52431522262032</v>
      </c>
      <c r="FK62" s="60">
        <f t="shared" si="48"/>
        <v>313.56299786481338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>
        <f>EXP(-LN(2)/35)*FQ61+(1-EXP(-LN(2)/35))/(LN(2)/35)*FM62*FN62*VLOOKUP('Données projet'!$B$16,Paramètres!$A$1:$I$89,3,0)*0.475*44/12</f>
        <v>0</v>
      </c>
      <c r="FR62" s="23">
        <f>EXP(-LN(2)/25)*FR61+(1-EXP(-LN(2)/25))/(LN(2)/25)*Calculateur!FM62*Calculateur!FO62*VLOOKUP('Données projet'!$B$16,Paramètres!$A$1:$I$89,3,0)*0.475*44/12</f>
        <v>0</v>
      </c>
      <c r="FS62" s="23">
        <f>EXP(-LN(2)/2)*FS61+(1-EXP(-LN(2)/2))/(LN(2)/2)*FM62*FP62*VLOOKUP('Données projet'!$B$16,Paramètres!$A$1:$I$89,3,0)*0.475*44/12</f>
        <v>0</v>
      </c>
      <c r="FT62" s="24">
        <f t="shared" si="24"/>
        <v>0</v>
      </c>
      <c r="FU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6.1538461538461551</v>
      </c>
      <c r="FZ62" s="13">
        <f>IF('Données projet'!$A$244&gt;35,FZ61+FY62-GH61,IF(A62&lt;'Données projet'!$A$244,$FW$205^A62,IF(A62='Données projet'!$A$244,'Données projet'!$B$244,FZ61+FY62-GH61)))</f>
        <v>282.9487179487179</v>
      </c>
      <c r="GA62" s="18">
        <f>FZ62*VLOOKUP('Données projet'!$B$17,Paramètres!$A$1:$I$89,3,0)*VLOOKUP('Données projet'!$B$17,Paramètres!$A$1:$I$89,5,0)</f>
        <v>189.80199999999996</v>
      </c>
      <c r="GB62" s="14">
        <f t="shared" si="49"/>
        <v>47.496175206468138</v>
      </c>
      <c r="GC62" s="22">
        <f t="shared" si="25"/>
        <v>413.29432181793192</v>
      </c>
      <c r="GD62" s="60">
        <f t="shared" si="26"/>
        <v>673.9837290117747</v>
      </c>
      <c r="GE62" s="60">
        <f ca="1">AVERAGE(OFFSET($GD$3,0,0,'Données projet'!$E$17+1,1))-AVERAGE(OFFSET($H$3,0,0,'Données projet'!$E$17+1,1))</f>
        <v>396.0878652679051</v>
      </c>
      <c r="GF62" s="60">
        <f t="shared" si="50"/>
        <v>327.26339199235406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>
        <f>EXP(-LN(2)/35)*GL61+(1-EXP(-LN(2)/35))/(LN(2)/35)*GH62*GI62*VLOOKUP('Données projet'!$B$17,Paramètres!$A$1:$I$89,3,0)*0.475*44/12</f>
        <v>0</v>
      </c>
      <c r="GM62" s="23">
        <f>EXP(-LN(2)/25)*GM61+(1-EXP(-LN(2)/25))/(LN(2)/25)*Calculateur!GH62*Calculateur!GJ62*VLOOKUP('Données projet'!$B$17,Paramètres!$A$1:$I$89,3,0)*0.475*44/12</f>
        <v>0</v>
      </c>
      <c r="GN62" s="23">
        <f>EXP(-LN(2)/2)*GN61+(1-EXP(-LN(2)/2))/(LN(2)/2)*GH62*GK62*VLOOKUP('Données projet'!$B$17,Paramètres!$A$1:$I$89,3,0)*0.475*44/12</f>
        <v>0</v>
      </c>
      <c r="GO62" s="23">
        <f t="shared" si="27"/>
        <v>0</v>
      </c>
      <c r="GP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7.4</v>
      </c>
      <c r="GU62" s="13">
        <f>IF('Données projet'!$A$270&gt;35,GU61+GT62-HC61,IF(A62&lt;'Données projet'!$A$270,$GR$205^A62,IF(A62='Données projet'!$A$270,'Données projet'!$B$270,GU61+GT62-HC61)))</f>
        <v>295.59999999999991</v>
      </c>
      <c r="GV62" s="18">
        <f>GU62*VLOOKUP('Données projet'!$B$18,Paramètres!$A$1:$I$89,3,0)*VLOOKUP('Données projet'!$B$18,Paramètres!$A$1:$I$89,5,0)</f>
        <v>239.79071999999994</v>
      </c>
      <c r="GW62" s="14">
        <f t="shared" si="51"/>
        <v>58.394500584818381</v>
      </c>
      <c r="GX62" s="22">
        <f t="shared" si="28"/>
        <v>519.33925918522516</v>
      </c>
      <c r="GY62" s="60">
        <f t="shared" si="29"/>
        <v>780.028666379068</v>
      </c>
      <c r="GZ62" s="60">
        <f ca="1">AVERAGE(OFFSET($GY$3,0,0,'Données projet'!$E$18+1,1))-AVERAGE(OFFSET($H$3,0,0,'Données projet'!$E$18+1,1))</f>
        <v>272.69564942740931</v>
      </c>
      <c r="HA62" s="60">
        <f t="shared" si="52"/>
        <v>316.57989180609252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>
        <f>EXP(-LN(2)/35)*HG61+(1-EXP(-LN(2)/35))/(LN(2)/35)*HC62*HD62*VLOOKUP('Données projet'!$B$18,Paramètres!$A$1:$I$89,3,0)*0.475*44/12</f>
        <v>0</v>
      </c>
      <c r="HH62" s="23">
        <f>EXP(-LN(2)/25)*HH61+(1-EXP(-LN(2)/25))/(LN(2)/25)*Calculateur!HC62*Calculateur!HE62*VLOOKUP('Données projet'!$B$18,Paramètres!$A$1:$I$89,3,0)*0.475*44/12</f>
        <v>0</v>
      </c>
      <c r="HI62" s="23">
        <f>EXP(-LN(2)/2)*HI61+(1-EXP(-LN(2)/2))/(LN(2)/2)*HC62*HF62*VLOOKUP('Données projet'!$B$18,Paramètres!$A$1:$I$89,3,0)*0.475*44/12</f>
        <v>0</v>
      </c>
      <c r="HJ62" s="24">
        <f t="shared" si="30"/>
        <v>0</v>
      </c>
    </row>
    <row r="63" spans="1:218" s="5" customFormat="1" x14ac:dyDescent="0.25">
      <c r="A63" s="11">
        <f t="shared" si="31"/>
        <v>60</v>
      </c>
      <c r="B63" s="75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8">
        <f t="shared" si="1"/>
        <v>183.33333333333334</v>
      </c>
      <c r="I63" s="7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273</v>
      </c>
      <c r="L63" s="13">
        <f>VLOOKUP(A63,'Données projet'!$A$35:$I$55,9,0)</f>
        <v>9.4</v>
      </c>
      <c r="M63" s="13">
        <f t="array" ref="M63">INDEX(L:L,MIN(IF(ISNUMBER(L63:L259),ROW(L63:L259),"")))</f>
        <v>9.4</v>
      </c>
      <c r="N63" s="14">
        <f>IF('Données projet'!$A$36&gt;35,N62+M63-V62,IF(A63&lt;'Données projet'!$A$36,$K$205^A63,IF(A63='Données projet'!$A$36,'Données projet'!$B$36,N62+M63-V62)))</f>
        <v>272.99999999999994</v>
      </c>
      <c r="O63" s="14">
        <f>N63*VLOOKUP('Données projet'!$B$9,Paramètres!$A$1:$I$89,3,0)*VLOOKUP('Données projet'!$B$9,Paramètres!$A$1:$I$89,5,0)</f>
        <v>247.01039999999992</v>
      </c>
      <c r="P63" s="14">
        <f t="shared" si="33"/>
        <v>59.945315462121812</v>
      </c>
      <c r="Q63" s="22">
        <f t="shared" si="53"/>
        <v>534.61453776319524</v>
      </c>
      <c r="R63" s="60">
        <f t="shared" si="0"/>
        <v>795.87024409467267</v>
      </c>
      <c r="S63" s="60">
        <f ca="1">AVERAGE(OFFSET($R$3,0,0,'Données projet'!$E$9+1,1))-AVERAGE(OFFSET($H$3,0,0,'Données projet'!$E$9+1,1))</f>
        <v>570.08763950759544</v>
      </c>
      <c r="T63" s="60">
        <f t="shared" si="34"/>
        <v>297.32483725004136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310</v>
      </c>
      <c r="AG63" s="13">
        <f>VLOOKUP(A63,'Données projet'!$A$61:$I$81,9,0)</f>
        <v>6.2799999999999958</v>
      </c>
      <c r="AH63" s="13">
        <f t="array" ref="AH63">INDEX(AG:AG,MIN(IF(ISNUMBER(AG63:AG259),ROW(AG63:AG259),"")))</f>
        <v>6.2799999999999958</v>
      </c>
      <c r="AI63" s="14">
        <f>IF('Données projet'!$A$62&gt;35,AI62+AH63-AQ62,IF(A63&lt;'Données projet'!$A$62,$AF$205^A63,IF(A63='Données projet'!$A$62,'Données projet'!$B$62,AI62+AH63-AQ62)))</f>
        <v>309.99999999999983</v>
      </c>
      <c r="AJ63" s="14">
        <f>AI63*VLOOKUP('Données projet'!$B$10,Paramètres!$A$1:$I$89,3,0)*VLOOKUP('Données projet'!$B$10,Paramètres!$A$1:$I$89,5,0)</f>
        <v>246.63599999999985</v>
      </c>
      <c r="AK63" s="14">
        <f t="shared" si="35"/>
        <v>59.865023903294535</v>
      </c>
      <c r="AL63" s="22">
        <f t="shared" si="4"/>
        <v>533.8226166315709</v>
      </c>
      <c r="AM63" s="60">
        <f t="shared" si="5"/>
        <v>795.07832296304832</v>
      </c>
      <c r="AN63" s="60">
        <f ca="1">AVERAGE(OFFSET($AM$3,0,0,'Données projet'!$E$10+1,1))-AVERAGE(OFFSET($H$3,0,0,'Données projet'!$E$10+1,1))</f>
        <v>394.49874384716014</v>
      </c>
      <c r="AO63" s="60">
        <f t="shared" si="36"/>
        <v>423.72519584013378</v>
      </c>
      <c r="AP63" s="16">
        <f>IF(ISNA(VLOOKUP(A63,'Données projet'!$A$61:$I$81,3,0)),0,VLOOKUP(A63,'Données projet'!$A$61:$I$81,3,0))</f>
        <v>5</v>
      </c>
      <c r="AQ63" s="16">
        <f>IF(ISNA(VLOOKUP(A63,'Données projet'!$A$61:$I$81,4,0)),0,VLOOKUP(A63,'Données projet'!$A$61:$I$81,4,0))</f>
        <v>30.2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258.3</v>
      </c>
      <c r="BB63" s="13">
        <f>VLOOKUP(A63,'Données projet'!$A$87:$I$107,9,0)</f>
        <v>5.1600000000000019</v>
      </c>
      <c r="BC63" s="13">
        <f t="array" ref="BC63">INDEX(BB:BB,MIN(IF(ISNUMBER(BB63:BB259),ROW(BB63:BB259),"")))</f>
        <v>5.1600000000000019</v>
      </c>
      <c r="BD63" s="13">
        <f>IF('Données projet'!$A$88&gt;35,BD62+BC63-BL62,IF(A63&lt;'Données projet'!$A$88,$BA$205^A63,IF(A63='Données projet'!$A$88,'Données projet'!$B$88,BD62+BC63-BL62)))</f>
        <v>258.30000000000013</v>
      </c>
      <c r="BE63" s="14">
        <f>BD63*VLOOKUP('Données projet'!$B$11,Paramètres!$A$1:$I$89,3,0)*VLOOKUP('Données projet'!$B$11,Paramètres!$A$1:$I$89,5,0)</f>
        <v>225.65088000000014</v>
      </c>
      <c r="BF63" s="14">
        <f t="shared" si="37"/>
        <v>55.341257843368382</v>
      </c>
      <c r="BG63" s="22">
        <f t="shared" si="7"/>
        <v>489.39464007720022</v>
      </c>
      <c r="BH63" s="60">
        <f t="shared" si="8"/>
        <v>750.65034640867771</v>
      </c>
      <c r="BI63" s="60">
        <f ca="1">AVERAGE(OFFSET($BH$3,0,0,'Données projet'!$E$11+1,1))-AVERAGE(OFFSET($H$3,0,0,'Données projet'!$E$11+1,1))</f>
        <v>363.28611056308665</v>
      </c>
      <c r="BJ63" s="60">
        <f t="shared" si="38"/>
        <v>389.43647559455974</v>
      </c>
      <c r="BK63" s="16">
        <f>IF(ISNA(VLOOKUP(A63,'Données projet'!$A$87:$I$107,3,0)),0,VLOOKUP(A63,'Données projet'!$A$87:$I$107,3,0))</f>
        <v>5</v>
      </c>
      <c r="BL63" s="16">
        <f>IF(ISNA(VLOOKUP(A63,'Données projet'!$A$87:$I$107,4,0)),0,VLOOKUP(A63,'Données projet'!$A$87:$I$107,4,0))</f>
        <v>25.200000000000003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207.69230769230768</v>
      </c>
      <c r="BW63" s="13">
        <f>VLOOKUP(A63,'Données projet'!$A$113:$I$133,9,0)</f>
        <v>5.3846153846153815</v>
      </c>
      <c r="BX63" s="13">
        <f t="array" ref="BX63">INDEX(BW:BW,MIN(IF(ISNUMBER(BW63:BW259),ROW(BW63:BW259),"")))</f>
        <v>5.3846153846153815</v>
      </c>
      <c r="BY63" s="13">
        <f>IF('Données projet'!$A$114&gt;35,BY62+BX63-CG62,IF(A63&lt;'Données projet'!$A$114,$BV$205^A63,IF(A63='Données projet'!$A$114,'Données projet'!$B$114,BY62+BX63-CG62)))</f>
        <v>207.69230769230759</v>
      </c>
      <c r="BZ63" s="14">
        <f>BY63*VLOOKUP('Données projet'!$B$12,Paramètres!$A$1:$I$89,3,0)*VLOOKUP('Données projet'!$B$12,Paramètres!$A$1:$I$89,5,0)</f>
        <v>197.63999999999993</v>
      </c>
      <c r="CA63" s="14">
        <f t="shared" si="39"/>
        <v>49.22515338895078</v>
      </c>
      <c r="CB63" s="22">
        <f t="shared" si="10"/>
        <v>429.95680881908919</v>
      </c>
      <c r="CC63" s="60">
        <f t="shared" si="11"/>
        <v>691.21251515056667</v>
      </c>
      <c r="CD63" s="60">
        <f ca="1">AVERAGE(OFFSET($CC$3,0,0,'Données projet'!$E$12+1,1))-AVERAGE(OFFSET($H$3,0,0,'Données projet'!$E$12+1,1))</f>
        <v>441.15969139782891</v>
      </c>
      <c r="CE63" s="60">
        <f t="shared" si="40"/>
        <v>315.06466790224783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310</v>
      </c>
      <c r="CR63" s="13">
        <f>VLOOKUP(A63,'Données projet'!$A$139:$I$159,9,0)</f>
        <v>6.2799999999999958</v>
      </c>
      <c r="CS63" s="13">
        <f t="array" ref="CS63">INDEX(CR:CR,MIN(IF(ISNUMBER(CR63:CR259),ROW(CR63:CR259),"")))</f>
        <v>6.2799999999999958</v>
      </c>
      <c r="CT63" s="13">
        <f>IF('Données projet'!$A$140&gt;35,CT62+CS63-DB62,IF(A63&lt;'Données projet'!$A$140,$CQ$205^A63,IF(A63='Données projet'!$A$140,'Données projet'!$B$140,CT62+CS63-DB62)))</f>
        <v>309.99999999999983</v>
      </c>
      <c r="CU63" s="18">
        <f>CT63*VLOOKUP('Données projet'!$B$13,Paramètres!$A$1:$I$89,3,0)*VLOOKUP('Données projet'!$B$13,Paramètres!$A$1:$I$89,5,0)</f>
        <v>227.29199999999986</v>
      </c>
      <c r="CV63" s="14">
        <f t="shared" si="41"/>
        <v>55.69674561748365</v>
      </c>
      <c r="CW63" s="22">
        <f t="shared" si="13"/>
        <v>492.8720652837838</v>
      </c>
      <c r="CX63" s="60">
        <f t="shared" si="14"/>
        <v>754.12777161526128</v>
      </c>
      <c r="CY63" s="60">
        <f ca="1">AVERAGE(OFFSET($CX$3,0,0,'Données projet'!$E$13+1,1))-AVERAGE(OFFSET($H$3,0,0,'Données projet'!$E$13+1,1))</f>
        <v>368.35775920359396</v>
      </c>
      <c r="CZ63" s="60">
        <f t="shared" si="42"/>
        <v>395.5218438652638</v>
      </c>
      <c r="DA63" s="16">
        <f>IF(ISNA(VLOOKUP(A63,'Données projet'!$A$139:$I$159,3,0)),0,VLOOKUP(A63,'Données projet'!$A$139:$I$159,3,0))</f>
        <v>5</v>
      </c>
      <c r="DB63" s="16">
        <f>IF(ISNA(VLOOKUP(A63,'Données projet'!$A$139:$I$159,4,0)),0,VLOOKUP(A63,'Données projet'!$A$139:$I$159,4,0))</f>
        <v>30.2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297</v>
      </c>
      <c r="DM63" s="13">
        <f>VLOOKUP(A63,'Données projet'!$A$165:$I$185,9,0)</f>
        <v>9.375</v>
      </c>
      <c r="DN63" s="13">
        <f t="array" ref="DN63">INDEX(DM:DM,MIN(IF(ISNUMBER(DM63:DM259),ROW(DM63:DM259),"")))</f>
        <v>9.375</v>
      </c>
      <c r="DO63" s="13">
        <f>IF('Données projet'!$A$166&gt;35,DO62+DN63-DW62,IF(A63&lt;'Données projet'!$A$166,$DL$205^A63,IF(A63='Données projet'!$A$166,'Données projet'!$B$166,DO62+DN63-DW62)))</f>
        <v>296.99999999999994</v>
      </c>
      <c r="DP63" s="18">
        <f>DO63*VLOOKUP('Données projet'!$B$14,Paramètres!$A$1:$I$89,3,0)*VLOOKUP('Données projet'!$B$14,Paramètres!$A$1:$I$89,5,0)</f>
        <v>231.65999999999997</v>
      </c>
      <c r="DQ63" s="14">
        <f t="shared" si="43"/>
        <v>56.641461975682766</v>
      </c>
      <c r="DR63" s="22">
        <f t="shared" si="16"/>
        <v>502.12504627431412</v>
      </c>
      <c r="DS63" s="60">
        <f t="shared" si="17"/>
        <v>763.3807526057916</v>
      </c>
      <c r="DT63" s="60">
        <f ca="1">AVERAGE(OFFSET($DS$3,0,0,'Données projet'!$E$14+1,1))-AVERAGE(OFFSET($H$3,0,0,'Données projet'!$E$14+1,1))</f>
        <v>312.59632808777332</v>
      </c>
      <c r="DU63" s="60">
        <f t="shared" si="44"/>
        <v>302.59481222418219</v>
      </c>
      <c r="DV63" s="16">
        <f>IF(ISNA(VLOOKUP(A63,'Données projet'!$A$165:$I$185,3,0)),0,VLOOKUP(A63,'Données projet'!$A$165:$I$185,3,0))</f>
        <v>6</v>
      </c>
      <c r="DW63" s="16">
        <f>IF(ISNA(VLOOKUP(A63,'Données projet'!$A$165:$I$185,4,0)),0,VLOOKUP(A63,'Données projet'!$A$165:$I$185,4,0))</f>
        <v>47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0</v>
      </c>
      <c r="EE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>
        <f>VLOOKUP(A63,'Données projet'!$A$191:$I$211,2,0)</f>
        <v>295</v>
      </c>
      <c r="EH63" s="13">
        <f>VLOOKUP(A63,'Données projet'!$A$191:$I$211,9,0)</f>
        <v>14.833333333333334</v>
      </c>
      <c r="EI63" s="13">
        <f t="array" ref="EI63">INDEX(EH:EH,MIN(IF(ISNUMBER(EH63:EH259),ROW(EH63:EH259),"")))</f>
        <v>14.833333333333334</v>
      </c>
      <c r="EJ63" s="13">
        <f>IF('Données projet'!$A$192&gt;35,EJ62+EI63-ER62,IF(A63&lt;'Données projet'!$A$192,$EG$205^A63,IF(A63='Données projet'!$A$192,'Données projet'!$B$192,EJ62+EI63-ER62)))</f>
        <v>294.99999999999983</v>
      </c>
      <c r="EK63" s="18">
        <f>EJ63*VLOOKUP('Données projet'!$B$15,Paramètres!$A$1:$I$89,3,0)*VLOOKUP('Données projet'!$B$15,Paramètres!$A$1:$I$89,5,0)</f>
        <v>253.10999999999987</v>
      </c>
      <c r="EL63" s="14">
        <f t="shared" si="45"/>
        <v>61.251420602177625</v>
      </c>
      <c r="EM63" s="22">
        <f t="shared" si="19"/>
        <v>547.51280754879247</v>
      </c>
      <c r="EN63" s="60">
        <f t="shared" si="20"/>
        <v>808.76851388026989</v>
      </c>
      <c r="EO63" s="60">
        <f ca="1">AVERAGE(OFFSET($EN$3,0,0,'Données projet'!$E$15+1,1))-AVERAGE(OFFSET($H$3,0,0,'Données projet'!$E$15+1,1))</f>
        <v>478.11504516179713</v>
      </c>
      <c r="EP63" s="60">
        <f t="shared" si="46"/>
        <v>249.93713224442419</v>
      </c>
      <c r="EQ63" s="16">
        <f>IF(ISNA(VLOOKUP(A63,'Données projet'!$A$191:$I$211,3,0)),0,VLOOKUP(A63,'Données projet'!$A$191:$I$211,3,0))</f>
        <v>7</v>
      </c>
      <c r="ER63" s="16">
        <f>IF(ISNA(VLOOKUP(A63,'Données projet'!$A$191:$I$211,4,0)),0,VLOOKUP(A63,'Données projet'!$A$191:$I$211,4,0))</f>
        <v>61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0</v>
      </c>
      <c r="EW63" s="23">
        <f>EXP(-LN(2)/25)*EW62+(1-EXP(-LN(2)/25))/(LN(2)/25)*Calculateur!ER63*Calculateur!ET63*VLOOKUP('Données projet'!$B$15,Paramètres!$A$1:$I$89,3,0)*0.475*44/12</f>
        <v>0</v>
      </c>
      <c r="EX63" s="23">
        <f>EXP(-LN(2)/2)*EX62+(1-EXP(-LN(2)/2))/(LN(2)/2)*ER63*EU63*VLOOKUP('Données projet'!$B$15,Paramètres!$A$1:$I$89,3,0)*0.475*44/12</f>
        <v>0</v>
      </c>
      <c r="EY63" s="24">
        <f t="shared" si="21"/>
        <v>0</v>
      </c>
      <c r="EZ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>
        <f>VLOOKUP(A63,'Données projet'!$A$217:$I$237,2,0)</f>
        <v>273</v>
      </c>
      <c r="FC63" s="13">
        <f>VLOOKUP(A63,'Données projet'!$A$217:$I$237,9,0)</f>
        <v>9.4</v>
      </c>
      <c r="FD63" s="13">
        <f t="array" ref="FD63">INDEX(FC:FC,MIN(IF(ISNUMBER(FC63:FC259),ROW(FC63:FC259),"")))</f>
        <v>9.4</v>
      </c>
      <c r="FE63" s="13">
        <f>IF('Données projet'!$A$218&gt;35,FE62+FD63-FM62,IF(A63&lt;'Données projet'!$A$218,$FB$205^A63,IF(A63='Données projet'!$A$218,'Données projet'!$B$218,FE62+FD63-FM62)))</f>
        <v>272.99999999999994</v>
      </c>
      <c r="FF63" s="18">
        <f>FE63*VLOOKUP('Données projet'!$B$16,Paramètres!$A$1:$I$89,3,0)*VLOOKUP('Données projet'!$B$16,Paramètres!$A$1:$I$89,5,0)</f>
        <v>264.04559999999992</v>
      </c>
      <c r="FG63" s="14">
        <f t="shared" si="47"/>
        <v>63.58395992997368</v>
      </c>
      <c r="FH63" s="22">
        <f t="shared" si="22"/>
        <v>570.62148354470401</v>
      </c>
      <c r="FI63" s="60">
        <f t="shared" si="23"/>
        <v>831.87718987618155</v>
      </c>
      <c r="FJ63" s="60">
        <f ca="1">AVERAGE(OFFSET($FI$3,0,0,'Données projet'!$E$16+1,1))-AVERAGE(OFFSET($H$3,0,0,'Données projet'!$E$16+1,1))</f>
        <v>603.52431522262032</v>
      </c>
      <c r="FK63" s="60">
        <f t="shared" si="48"/>
        <v>313.56299786481338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>
        <f>EXP(-LN(2)/35)*FQ62+(1-EXP(-LN(2)/35))/(LN(2)/35)*FM63*FN63*VLOOKUP('Données projet'!$B$16,Paramètres!$A$1:$I$89,3,0)*0.475*44/12</f>
        <v>0</v>
      </c>
      <c r="FR63" s="23">
        <f>EXP(-LN(2)/25)*FR62+(1-EXP(-LN(2)/25))/(LN(2)/25)*Calculateur!FM63*Calculateur!FO63*VLOOKUP('Données projet'!$B$16,Paramètres!$A$1:$I$89,3,0)*0.475*44/12</f>
        <v>0</v>
      </c>
      <c r="FS63" s="23">
        <f>EXP(-LN(2)/2)*FS62+(1-EXP(-LN(2)/2))/(LN(2)/2)*FM63*FP63*VLOOKUP('Données projet'!$B$16,Paramètres!$A$1:$I$89,3,0)*0.475*44/12</f>
        <v>0</v>
      </c>
      <c r="FT63" s="24">
        <f t="shared" si="24"/>
        <v>0</v>
      </c>
      <c r="FU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>
        <f>VLOOKUP(A63,'Données projet'!$A$243:$I$263,2,0)</f>
        <v>289.10256410256409</v>
      </c>
      <c r="FX63" s="13">
        <f>VLOOKUP(A63,'Données projet'!$A$243:$I$263,9,0)</f>
        <v>6.1538461538461551</v>
      </c>
      <c r="FY63" s="13">
        <f t="array" ref="FY63">INDEX(FX:FX,MIN(IF(ISNUMBER(FX63:FX259),ROW(FX63:FX259),"")))</f>
        <v>6.1538461538461551</v>
      </c>
      <c r="FZ63" s="13">
        <f>IF('Données projet'!$A$244&gt;35,FZ62+FY63-GH62,IF(A63&lt;'Données projet'!$A$244,$FW$205^A63,IF(A63='Données projet'!$A$244,'Données projet'!$B$244,FZ62+FY63-GH62)))</f>
        <v>289.10256410256403</v>
      </c>
      <c r="GA63" s="18">
        <f>FZ63*VLOOKUP('Données projet'!$B$17,Paramètres!$A$1:$I$89,3,0)*VLOOKUP('Données projet'!$B$17,Paramètres!$A$1:$I$89,5,0)</f>
        <v>193.92999999999995</v>
      </c>
      <c r="GB63" s="14">
        <f t="shared" si="49"/>
        <v>48.407782055683938</v>
      </c>
      <c r="GC63" s="22">
        <f t="shared" si="25"/>
        <v>422.07163708031607</v>
      </c>
      <c r="GD63" s="60">
        <f t="shared" si="26"/>
        <v>683.32734341179355</v>
      </c>
      <c r="GE63" s="60">
        <f ca="1">AVERAGE(OFFSET($GD$3,0,0,'Données projet'!$E$17+1,1))-AVERAGE(OFFSET($H$3,0,0,'Données projet'!$E$17+1,1))</f>
        <v>396.0878652679051</v>
      </c>
      <c r="GF63" s="60">
        <f t="shared" si="50"/>
        <v>327.26339199235406</v>
      </c>
      <c r="GG63" s="16">
        <f>IF(ISNA(VLOOKUP(A63,'Données projet'!$A$243:$I$263,3,0)),0,VLOOKUP(A63,'Données projet'!$A$243:$I$263,3,0))</f>
        <v>5</v>
      </c>
      <c r="GH63" s="16">
        <f>IF(ISNA(VLOOKUP(A63,'Données projet'!$A$243:$I$263,4,0)),0,VLOOKUP(A63,'Données projet'!$A$243:$I$263,4,0))</f>
        <v>35.256410256410255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>
        <f>EXP(-LN(2)/35)*GL62+(1-EXP(-LN(2)/35))/(LN(2)/35)*GH63*GI63*VLOOKUP('Données projet'!$B$17,Paramètres!$A$1:$I$89,3,0)*0.475*44/12</f>
        <v>0</v>
      </c>
      <c r="GM63" s="23">
        <f>EXP(-LN(2)/25)*GM62+(1-EXP(-LN(2)/25))/(LN(2)/25)*Calculateur!GH63*Calculateur!GJ63*VLOOKUP('Données projet'!$B$17,Paramètres!$A$1:$I$89,3,0)*0.475*44/12</f>
        <v>0</v>
      </c>
      <c r="GN63" s="23">
        <f>EXP(-LN(2)/2)*GN62+(1-EXP(-LN(2)/2))/(LN(2)/2)*GH63*GK63*VLOOKUP('Données projet'!$B$17,Paramètres!$A$1:$I$89,3,0)*0.475*44/12</f>
        <v>0</v>
      </c>
      <c r="GO63" s="23">
        <f t="shared" si="27"/>
        <v>0</v>
      </c>
      <c r="GP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>
        <f>VLOOKUP(A63,'Données projet'!$A$269:$I$289,2,0)</f>
        <v>303</v>
      </c>
      <c r="GS63" s="13">
        <f>VLOOKUP(A63,'Données projet'!$A$269:$I$289,9,0)</f>
        <v>7.4</v>
      </c>
      <c r="GT63" s="13">
        <f t="array" ref="GT63">INDEX(GS:GS,MIN(IF(ISNUMBER(GS63:GS259),ROW(GS63:GS259),"")))</f>
        <v>7.4</v>
      </c>
      <c r="GU63" s="13">
        <f>IF('Données projet'!$A$270&gt;35,GU62+GT63-HC62,IF(A63&lt;'Données projet'!$A$270,$GR$205^A63,IF(A63='Données projet'!$A$270,'Données projet'!$B$270,GU62+GT63-HC62)))</f>
        <v>302.99999999999989</v>
      </c>
      <c r="GV63" s="18">
        <f>GU63*VLOOKUP('Données projet'!$B$18,Paramètres!$A$1:$I$89,3,0)*VLOOKUP('Données projet'!$B$18,Paramètres!$A$1:$I$89,5,0)</f>
        <v>245.79359999999991</v>
      </c>
      <c r="GW63" s="14">
        <f t="shared" si="51"/>
        <v>59.684315982017168</v>
      </c>
      <c r="GX63" s="22">
        <f t="shared" si="28"/>
        <v>532.04070366867973</v>
      </c>
      <c r="GY63" s="60">
        <f t="shared" si="29"/>
        <v>793.29641000015727</v>
      </c>
      <c r="GZ63" s="60">
        <f ca="1">AVERAGE(OFFSET($GY$3,0,0,'Données projet'!$E$18+1,1))-AVERAGE(OFFSET($H$3,0,0,'Données projet'!$E$18+1,1))</f>
        <v>272.69564942740931</v>
      </c>
      <c r="HA63" s="60">
        <f t="shared" si="52"/>
        <v>316.57989180609252</v>
      </c>
      <c r="HB63" s="16">
        <f>IF(ISNA(VLOOKUP(A63,'Données projet'!$A$269:$I$289,3,0)),0,VLOOKUP(A63,'Données projet'!$A$269:$I$289,3,0))</f>
        <v>3</v>
      </c>
      <c r="HC63" s="16">
        <f>IF(ISNA(VLOOKUP(A63,'Données projet'!$A$269:$I$289,4,0)),0,VLOOKUP(A63,'Données projet'!$A$269:$I$289,4,0))</f>
        <v>303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>
        <f>EXP(-LN(2)/35)*HG62+(1-EXP(-LN(2)/35))/(LN(2)/35)*HC63*HD63*VLOOKUP('Données projet'!$B$18,Paramètres!$A$1:$I$89,3,0)*0.475*44/12</f>
        <v>0</v>
      </c>
      <c r="HH63" s="23">
        <f>EXP(-LN(2)/25)*HH62+(1-EXP(-LN(2)/25))/(LN(2)/25)*Calculateur!HC63*Calculateur!HE63*VLOOKUP('Données projet'!$B$18,Paramètres!$A$1:$I$89,3,0)*0.475*44/12</f>
        <v>0</v>
      </c>
      <c r="HI63" s="23">
        <f>EXP(-LN(2)/2)*HI62+(1-EXP(-LN(2)/2))/(LN(2)/2)*HC63*HF63*VLOOKUP('Données projet'!$B$18,Paramètres!$A$1:$I$89,3,0)*0.475*44/12</f>
        <v>0</v>
      </c>
      <c r="HJ63" s="24">
        <f t="shared" si="30"/>
        <v>0</v>
      </c>
    </row>
    <row r="64" spans="1:218" s="5" customFormat="1" x14ac:dyDescent="0.25">
      <c r="A64" s="11">
        <f t="shared" si="31"/>
        <v>61</v>
      </c>
      <c r="B64" s="75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8">
        <f t="shared" si="1"/>
        <v>183.33333333333334</v>
      </c>
      <c r="I64" s="7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8.8000000000000007</v>
      </c>
      <c r="N64" s="14">
        <f>IF('Données projet'!$A$36&gt;35,N63+M64-V63,IF(A64&lt;'Données projet'!$A$36,$K$205^A64,IF(A64='Données projet'!$A$36,'Données projet'!$B$36,N63+M64-V63)))</f>
        <v>281.79999999999995</v>
      </c>
      <c r="O64" s="14">
        <f>N64*VLOOKUP('Données projet'!$B$9,Paramètres!$A$1:$I$89,3,0)*VLOOKUP('Données projet'!$B$9,Paramètres!$A$1:$I$89,5,0)</f>
        <v>254.97263999999996</v>
      </c>
      <c r="P64" s="14">
        <f t="shared" si="33"/>
        <v>61.649533232533919</v>
      </c>
      <c r="Q64" s="22">
        <f t="shared" si="53"/>
        <v>551.45028504666311</v>
      </c>
      <c r="R64" s="60">
        <f t="shared" si="0"/>
        <v>813.26246649179245</v>
      </c>
      <c r="S64" s="60">
        <f ca="1">AVERAGE(OFFSET($R$3,0,0,'Données projet'!$E$9+1,1))-AVERAGE(OFFSET($H$3,0,0,'Données projet'!$E$9+1,1))</f>
        <v>570.08763950759544</v>
      </c>
      <c r="T64" s="60">
        <f t="shared" si="34"/>
        <v>297.32483725004136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5.2399999999999975</v>
      </c>
      <c r="AI64" s="14">
        <f>IF('Données projet'!$A$62&gt;35,AI63+AH64-AQ63,IF(A64&lt;'Données projet'!$A$62,$AF$205^A64,IF(A64='Données projet'!$A$62,'Données projet'!$B$62,AI63+AH64-AQ63)))</f>
        <v>285.03999999999985</v>
      </c>
      <c r="AJ64" s="14">
        <f>AI64*VLOOKUP('Données projet'!$B$10,Paramètres!$A$1:$I$89,3,0)*VLOOKUP('Données projet'!$B$10,Paramètres!$A$1:$I$89,5,0)</f>
        <v>226.7778239999999</v>
      </c>
      <c r="AK64" s="14">
        <f t="shared" si="35"/>
        <v>55.585400699018884</v>
      </c>
      <c r="AL64" s="22">
        <f t="shared" si="4"/>
        <v>491.78261635079099</v>
      </c>
      <c r="AM64" s="60">
        <f t="shared" si="5"/>
        <v>753.59479779592039</v>
      </c>
      <c r="AN64" s="60">
        <f ca="1">AVERAGE(OFFSET($AM$3,0,0,'Données projet'!$E$10+1,1))-AVERAGE(OFFSET($H$3,0,0,'Données projet'!$E$10+1,1))</f>
        <v>394.49874384716014</v>
      </c>
      <c r="AO64" s="60">
        <f t="shared" si="36"/>
        <v>423.72519584013378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4.3399999999999981</v>
      </c>
      <c r="BD64" s="13">
        <f>IF('Données projet'!$A$88&gt;35,BD63+BC64-BL63,IF(A64&lt;'Données projet'!$A$88,$BA$205^A64,IF(A64='Données projet'!$A$88,'Données projet'!$B$88,BD63+BC64-BL63)))</f>
        <v>237.44000000000011</v>
      </c>
      <c r="BE64" s="14">
        <f>BD64*VLOOKUP('Données projet'!$B$11,Paramètres!$A$1:$I$89,3,0)*VLOOKUP('Données projet'!$B$11,Paramètres!$A$1:$I$89,5,0)</f>
        <v>207.42758400000014</v>
      </c>
      <c r="BF64" s="14">
        <f t="shared" si="37"/>
        <v>51.373045479526681</v>
      </c>
      <c r="BG64" s="22">
        <f t="shared" si="7"/>
        <v>450.74442967684257</v>
      </c>
      <c r="BH64" s="60">
        <f t="shared" si="8"/>
        <v>712.55661112197186</v>
      </c>
      <c r="BI64" s="60">
        <f ca="1">AVERAGE(OFFSET($BH$3,0,0,'Données projet'!$E$11+1,1))-AVERAGE(OFFSET($H$3,0,0,'Données projet'!$E$11+1,1))</f>
        <v>363.28611056308665</v>
      </c>
      <c r="BJ64" s="60">
        <f t="shared" si="38"/>
        <v>389.43647559455974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5</v>
      </c>
      <c r="BY64" s="13">
        <f>IF('Données projet'!$A$114&gt;35,BY63+BX64-CG63,IF(A64&lt;'Données projet'!$A$114,$BV$205^A64,IF(A64='Données projet'!$A$114,'Données projet'!$B$114,BY63+BX64-CG63)))</f>
        <v>212.69230769230759</v>
      </c>
      <c r="BZ64" s="14">
        <f>BY64*VLOOKUP('Données projet'!$B$12,Paramètres!$A$1:$I$89,3,0)*VLOOKUP('Données projet'!$B$12,Paramètres!$A$1:$I$89,5,0)</f>
        <v>202.39799999999991</v>
      </c>
      <c r="CA64" s="14">
        <f t="shared" si="39"/>
        <v>50.270809420148282</v>
      </c>
      <c r="CB64" s="22">
        <f t="shared" si="10"/>
        <v>440.06484307342475</v>
      </c>
      <c r="CC64" s="60">
        <f t="shared" si="11"/>
        <v>701.87702451855409</v>
      </c>
      <c r="CD64" s="60">
        <f ca="1">AVERAGE(OFFSET($CC$3,0,0,'Données projet'!$E$12+1,1))-AVERAGE(OFFSET($H$3,0,0,'Données projet'!$E$12+1,1))</f>
        <v>441.15969139782891</v>
      </c>
      <c r="CE64" s="60">
        <f t="shared" si="40"/>
        <v>315.06466790224783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5.2399999999999975</v>
      </c>
      <c r="CT64" s="13">
        <f>IF('Données projet'!$A$140&gt;35,CT63+CS64-DB63,IF(A64&lt;'Données projet'!$A$140,$CQ$205^A64,IF(A64='Données projet'!$A$140,'Données projet'!$B$140,CT63+CS64-DB63)))</f>
        <v>285.03999999999985</v>
      </c>
      <c r="CU64" s="18">
        <f>CT64*VLOOKUP('Données projet'!$B$13,Paramètres!$A$1:$I$89,3,0)*VLOOKUP('Données projet'!$B$13,Paramètres!$A$1:$I$89,5,0)</f>
        <v>208.9913279999999</v>
      </c>
      <c r="CV64" s="14">
        <f t="shared" si="41"/>
        <v>51.715103760424256</v>
      </c>
      <c r="CW64" s="22">
        <f t="shared" si="13"/>
        <v>454.06370198273868</v>
      </c>
      <c r="CX64" s="60">
        <f t="shared" si="14"/>
        <v>715.87588342786808</v>
      </c>
      <c r="CY64" s="60">
        <f ca="1">AVERAGE(OFFSET($CX$3,0,0,'Données projet'!$E$13+1,1))-AVERAGE(OFFSET($H$3,0,0,'Données projet'!$E$13+1,1))</f>
        <v>368.35775920359396</v>
      </c>
      <c r="CZ64" s="60">
        <f t="shared" si="42"/>
        <v>395.5218438652638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8.6666666666666661</v>
      </c>
      <c r="DO64" s="13">
        <f>IF('Données projet'!$A$166&gt;35,DO63+DN64-DW63,IF(A64&lt;'Données projet'!$A$166,$DL$205^A64,IF(A64='Données projet'!$A$166,'Données projet'!$B$166,DO63+DN64-DW63)))</f>
        <v>258.66666666666663</v>
      </c>
      <c r="DP64" s="18">
        <f>DO64*VLOOKUP('Données projet'!$B$14,Paramètres!$A$1:$I$89,3,0)*VLOOKUP('Données projet'!$B$14,Paramètres!$A$1:$I$89,5,0)</f>
        <v>201.76</v>
      </c>
      <c r="DQ64" s="14">
        <f t="shared" si="43"/>
        <v>50.130765000424212</v>
      </c>
      <c r="DR64" s="22">
        <f t="shared" si="16"/>
        <v>438.70974904240546</v>
      </c>
      <c r="DS64" s="60">
        <f t="shared" si="17"/>
        <v>700.52193048753475</v>
      </c>
      <c r="DT64" s="60">
        <f ca="1">AVERAGE(OFFSET($DS$3,0,0,'Données projet'!$E$14+1,1))-AVERAGE(OFFSET($H$3,0,0,'Données projet'!$E$14+1,1))</f>
        <v>312.59632808777332</v>
      </c>
      <c r="DU64" s="60">
        <f t="shared" si="44"/>
        <v>302.59481222418219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0</v>
      </c>
      <c r="EE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13.777777777777779</v>
      </c>
      <c r="EJ64" s="13">
        <f>IF('Données projet'!$A$192&gt;35,EJ63+EI64-ER63,IF(A64&lt;'Données projet'!$A$192,$EG$205^A64,IF(A64='Données projet'!$A$192,'Données projet'!$B$192,EJ63+EI64-ER63)))</f>
        <v>247.7777777777776</v>
      </c>
      <c r="EK64" s="18">
        <f>EJ64*VLOOKUP('Données projet'!$B$15,Paramètres!$A$1:$I$89,3,0)*VLOOKUP('Données projet'!$B$15,Paramètres!$A$1:$I$89,5,0)</f>
        <v>212.59333333333319</v>
      </c>
      <c r="EL64" s="14">
        <f t="shared" si="45"/>
        <v>52.501888831663351</v>
      </c>
      <c r="EM64" s="22">
        <f t="shared" si="19"/>
        <v>461.70751193736891</v>
      </c>
      <c r="EN64" s="60">
        <f t="shared" si="20"/>
        <v>723.51969338249819</v>
      </c>
      <c r="EO64" s="60">
        <f ca="1">AVERAGE(OFFSET($EN$3,0,0,'Données projet'!$E$15+1,1))-AVERAGE(OFFSET($H$3,0,0,'Données projet'!$E$15+1,1))</f>
        <v>478.11504516179713</v>
      </c>
      <c r="EP64" s="60">
        <f t="shared" si="46"/>
        <v>249.93713224442419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0</v>
      </c>
      <c r="EW64" s="23">
        <f>EXP(-LN(2)/25)*EW63+(1-EXP(-LN(2)/25))/(LN(2)/25)*Calculateur!ER64*Calculateur!ET64*VLOOKUP('Données projet'!$B$15,Paramètres!$A$1:$I$89,3,0)*0.475*44/12</f>
        <v>0</v>
      </c>
      <c r="EX64" s="23">
        <f>EXP(-LN(2)/2)*EX63+(1-EXP(-LN(2)/2))/(LN(2)/2)*ER64*EU64*VLOOKUP('Données projet'!$B$15,Paramètres!$A$1:$I$89,3,0)*0.475*44/12</f>
        <v>0</v>
      </c>
      <c r="EY64" s="24">
        <f t="shared" si="21"/>
        <v>0</v>
      </c>
      <c r="EZ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8.8000000000000007</v>
      </c>
      <c r="FE64" s="13">
        <f>IF('Données projet'!$A$218&gt;35,FE63+FD64-FM63,IF(A64&lt;'Données projet'!$A$218,$FB$205^A64,IF(A64='Données projet'!$A$218,'Données projet'!$B$218,FE63+FD64-FM63)))</f>
        <v>281.79999999999995</v>
      </c>
      <c r="FF64" s="18">
        <f>FE64*VLOOKUP('Données projet'!$B$16,Paramètres!$A$1:$I$89,3,0)*VLOOKUP('Données projet'!$B$16,Paramètres!$A$1:$I$89,5,0)</f>
        <v>272.55696</v>
      </c>
      <c r="FG64" s="14">
        <f t="shared" si="47"/>
        <v>65.391622690449097</v>
      </c>
      <c r="FH64" s="22">
        <f t="shared" si="22"/>
        <v>588.59378151919873</v>
      </c>
      <c r="FI64" s="60">
        <f t="shared" si="23"/>
        <v>850.40596296432807</v>
      </c>
      <c r="FJ64" s="60">
        <f ca="1">AVERAGE(OFFSET($FI$3,0,0,'Données projet'!$E$16+1,1))-AVERAGE(OFFSET($H$3,0,0,'Données projet'!$E$16+1,1))</f>
        <v>603.52431522262032</v>
      </c>
      <c r="FK64" s="60">
        <f t="shared" si="48"/>
        <v>313.56299786481338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>
        <f>EXP(-LN(2)/35)*FQ63+(1-EXP(-LN(2)/35))/(LN(2)/35)*FM64*FN64*VLOOKUP('Données projet'!$B$16,Paramètres!$A$1:$I$89,3,0)*0.475*44/12</f>
        <v>0</v>
      </c>
      <c r="FR64" s="23">
        <f>EXP(-LN(2)/25)*FR63+(1-EXP(-LN(2)/25))/(LN(2)/25)*Calculateur!FM64*Calculateur!FO64*VLOOKUP('Données projet'!$B$16,Paramètres!$A$1:$I$89,3,0)*0.475*44/12</f>
        <v>0</v>
      </c>
      <c r="FS64" s="23">
        <f>EXP(-LN(2)/2)*FS63+(1-EXP(-LN(2)/2))/(LN(2)/2)*FM64*FP64*VLOOKUP('Données projet'!$B$16,Paramètres!$A$1:$I$89,3,0)*0.475*44/12</f>
        <v>0</v>
      </c>
      <c r="FT64" s="24">
        <f t="shared" si="24"/>
        <v>0</v>
      </c>
      <c r="FU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5.7692307692307683</v>
      </c>
      <c r="FZ64" s="13">
        <f>IF('Données projet'!$A$244&gt;35,FZ63+FY64-GH63,IF(A64&lt;'Données projet'!$A$244,$FW$205^A64,IF(A64='Données projet'!$A$244,'Données projet'!$B$244,FZ63+FY64-GH63)))</f>
        <v>259.61538461538453</v>
      </c>
      <c r="GA64" s="18">
        <f>FZ64*VLOOKUP('Données projet'!$B$17,Paramètres!$A$1:$I$89,3,0)*VLOOKUP('Données projet'!$B$17,Paramètres!$A$1:$I$89,5,0)</f>
        <v>174.14999999999995</v>
      </c>
      <c r="GB64" s="14">
        <f t="shared" si="49"/>
        <v>44.018176829931868</v>
      </c>
      <c r="GC64" s="22">
        <f t="shared" si="25"/>
        <v>379.97624131213121</v>
      </c>
      <c r="GD64" s="60">
        <f t="shared" si="26"/>
        <v>641.78842275726061</v>
      </c>
      <c r="GE64" s="60">
        <f ca="1">AVERAGE(OFFSET($GD$3,0,0,'Données projet'!$E$17+1,1))-AVERAGE(OFFSET($H$3,0,0,'Données projet'!$E$17+1,1))</f>
        <v>396.0878652679051</v>
      </c>
      <c r="GF64" s="60">
        <f t="shared" si="50"/>
        <v>327.26339199235406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>
        <f>EXP(-LN(2)/35)*GL63+(1-EXP(-LN(2)/35))/(LN(2)/35)*GH64*GI64*VLOOKUP('Données projet'!$B$17,Paramètres!$A$1:$I$89,3,0)*0.475*44/12</f>
        <v>0</v>
      </c>
      <c r="GM64" s="23">
        <f>EXP(-LN(2)/25)*GM63+(1-EXP(-LN(2)/25))/(LN(2)/25)*Calculateur!GH64*Calculateur!GJ64*VLOOKUP('Données projet'!$B$17,Paramètres!$A$1:$I$89,3,0)*0.475*44/12</f>
        <v>0</v>
      </c>
      <c r="GN64" s="23">
        <f>EXP(-LN(2)/2)*GN63+(1-EXP(-LN(2)/2))/(LN(2)/2)*GH64*GK64*VLOOKUP('Données projet'!$B$17,Paramètres!$A$1:$I$89,3,0)*0.475*44/12</f>
        <v>0</v>
      </c>
      <c r="GO64" s="23">
        <f t="shared" si="27"/>
        <v>0</v>
      </c>
      <c r="GP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-1.1368683772161603E-13</v>
      </c>
      <c r="GV64" s="18">
        <f>GU64*VLOOKUP('Données projet'!$B$18,Paramètres!$A$1:$I$89,3,0)*VLOOKUP('Données projet'!$B$18,Paramètres!$A$1:$I$89,5,0)</f>
        <v>-9.2222762759774927E-14</v>
      </c>
      <c r="GW64" s="14" t="e">
        <f t="shared" si="51"/>
        <v>#NUM!</v>
      </c>
      <c r="GX64" s="22" t="e">
        <f t="shared" si="28"/>
        <v>#NUM!</v>
      </c>
      <c r="GY64" s="60" t="e">
        <f t="shared" si="29"/>
        <v>#NUM!</v>
      </c>
      <c r="GZ64" s="60">
        <f ca="1">AVERAGE(OFFSET($GY$3,0,0,'Données projet'!$E$18+1,1))-AVERAGE(OFFSET($H$3,0,0,'Données projet'!$E$18+1,1))</f>
        <v>272.69564942740931</v>
      </c>
      <c r="HA64" s="60">
        <f t="shared" si="52"/>
        <v>316.57989180609252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>
        <f>EXP(-LN(2)/35)*HG63+(1-EXP(-LN(2)/35))/(LN(2)/35)*HC64*HD64*VLOOKUP('Données projet'!$B$18,Paramètres!$A$1:$I$89,3,0)*0.475*44/12</f>
        <v>0</v>
      </c>
      <c r="HH64" s="23">
        <f>EXP(-LN(2)/25)*HH63+(1-EXP(-LN(2)/25))/(LN(2)/25)*Calculateur!HC64*Calculateur!HE64*VLOOKUP('Données projet'!$B$18,Paramètres!$A$1:$I$89,3,0)*0.475*44/12</f>
        <v>0</v>
      </c>
      <c r="HI64" s="23">
        <f>EXP(-LN(2)/2)*HI63+(1-EXP(-LN(2)/2))/(LN(2)/2)*HC64*HF64*VLOOKUP('Données projet'!$B$18,Paramètres!$A$1:$I$89,3,0)*0.475*44/12</f>
        <v>0</v>
      </c>
      <c r="HJ64" s="24">
        <f t="shared" si="30"/>
        <v>0</v>
      </c>
    </row>
    <row r="65" spans="1:218" s="5" customFormat="1" x14ac:dyDescent="0.25">
      <c r="A65" s="11">
        <f t="shared" si="31"/>
        <v>62</v>
      </c>
      <c r="B65" s="75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8">
        <f t="shared" si="1"/>
        <v>183.33333333333334</v>
      </c>
      <c r="I65" s="7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8.8000000000000007</v>
      </c>
      <c r="N65" s="14">
        <f>IF('Données projet'!$A$36&gt;35,N64+M65-V64,IF(A65&lt;'Données projet'!$A$36,$K$205^A65,IF(A65='Données projet'!$A$36,'Données projet'!$B$36,N64+M65-V64)))</f>
        <v>290.59999999999997</v>
      </c>
      <c r="O65" s="14">
        <f>N65*VLOOKUP('Données projet'!$B$9,Paramètres!$A$1:$I$89,3,0)*VLOOKUP('Données projet'!$B$9,Paramètres!$A$1:$I$89,5,0)</f>
        <v>262.93487999999996</v>
      </c>
      <c r="P65" s="14">
        <f t="shared" si="33"/>
        <v>63.347566493432765</v>
      </c>
      <c r="Q65" s="22">
        <f t="shared" si="53"/>
        <v>568.27526097606199</v>
      </c>
      <c r="R65" s="60">
        <f t="shared" si="0"/>
        <v>830.63426393571331</v>
      </c>
      <c r="S65" s="60">
        <f ca="1">AVERAGE(OFFSET($R$3,0,0,'Données projet'!$E$9+1,1))-AVERAGE(OFFSET($H$3,0,0,'Données projet'!$E$9+1,1))</f>
        <v>570.08763950759544</v>
      </c>
      <c r="T65" s="60">
        <f t="shared" si="34"/>
        <v>297.32483725004136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5.2399999999999975</v>
      </c>
      <c r="AI65" s="14">
        <f>IF('Données projet'!$A$62&gt;35,AI64+AH65-AQ64,IF(A65&lt;'Données projet'!$A$62,$AF$205^A65,IF(A65='Données projet'!$A$62,'Données projet'!$B$62,AI64+AH65-AQ64)))</f>
        <v>290.27999999999986</v>
      </c>
      <c r="AJ65" s="14">
        <f>AI65*VLOOKUP('Données projet'!$B$10,Paramètres!$A$1:$I$89,3,0)*VLOOKUP('Données projet'!$B$10,Paramètres!$A$1:$I$89,5,0)</f>
        <v>230.94676799999991</v>
      </c>
      <c r="AK65" s="14">
        <f t="shared" si="35"/>
        <v>56.487345939251334</v>
      </c>
      <c r="AL65" s="22">
        <f t="shared" si="4"/>
        <v>500.61441511086258</v>
      </c>
      <c r="AM65" s="60">
        <f t="shared" si="5"/>
        <v>762.97341807051384</v>
      </c>
      <c r="AN65" s="60">
        <f ca="1">AVERAGE(OFFSET($AM$3,0,0,'Données projet'!$E$10+1,1))-AVERAGE(OFFSET($H$3,0,0,'Données projet'!$E$10+1,1))</f>
        <v>394.49874384716014</v>
      </c>
      <c r="AO65" s="60">
        <f t="shared" si="36"/>
        <v>423.72519584013378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4.3399999999999981</v>
      </c>
      <c r="BD65" s="13">
        <f>IF('Données projet'!$A$88&gt;35,BD64+BC65-BL64,IF(A65&lt;'Données projet'!$A$88,$BA$205^A65,IF(A65='Données projet'!$A$88,'Données projet'!$B$88,BD64+BC65-BL64)))</f>
        <v>241.78000000000011</v>
      </c>
      <c r="BE65" s="14">
        <f>BD65*VLOOKUP('Données projet'!$B$11,Paramètres!$A$1:$I$89,3,0)*VLOOKUP('Données projet'!$B$11,Paramètres!$A$1:$I$89,5,0)</f>
        <v>211.21900800000012</v>
      </c>
      <c r="BF65" s="14">
        <f t="shared" si="37"/>
        <v>52.201879814931679</v>
      </c>
      <c r="BG65" s="22">
        <f t="shared" si="7"/>
        <v>458.79137961100622</v>
      </c>
      <c r="BH65" s="60">
        <f t="shared" si="8"/>
        <v>721.15038257065748</v>
      </c>
      <c r="BI65" s="60">
        <f ca="1">AVERAGE(OFFSET($BH$3,0,0,'Données projet'!$E$11+1,1))-AVERAGE(OFFSET($H$3,0,0,'Données projet'!$E$11+1,1))</f>
        <v>363.28611056308665</v>
      </c>
      <c r="BJ65" s="60">
        <f t="shared" si="38"/>
        <v>389.43647559455974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5</v>
      </c>
      <c r="BY65" s="13">
        <f>IF('Données projet'!$A$114&gt;35,BY64+BX65-CG64,IF(A65&lt;'Données projet'!$A$114,$BV$205^A65,IF(A65='Données projet'!$A$114,'Données projet'!$B$114,BY64+BX65-CG64)))</f>
        <v>217.69230769230759</v>
      </c>
      <c r="BZ65" s="14">
        <f>BY65*VLOOKUP('Données projet'!$B$12,Paramètres!$A$1:$I$89,3,0)*VLOOKUP('Données projet'!$B$12,Paramètres!$A$1:$I$89,5,0)</f>
        <v>207.15599999999989</v>
      </c>
      <c r="CA65" s="14">
        <f t="shared" si="39"/>
        <v>51.313607806372978</v>
      </c>
      <c r="CB65" s="22">
        <f t="shared" si="10"/>
        <v>450.16790026276612</v>
      </c>
      <c r="CC65" s="60">
        <f t="shared" si="11"/>
        <v>712.52690322241745</v>
      </c>
      <c r="CD65" s="60">
        <f ca="1">AVERAGE(OFFSET($CC$3,0,0,'Données projet'!$E$12+1,1))-AVERAGE(OFFSET($H$3,0,0,'Données projet'!$E$12+1,1))</f>
        <v>441.15969139782891</v>
      </c>
      <c r="CE65" s="60">
        <f t="shared" si="40"/>
        <v>315.06466790224783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5.2399999999999975</v>
      </c>
      <c r="CT65" s="13">
        <f>IF('Données projet'!$A$140&gt;35,CT64+CS65-DB64,IF(A65&lt;'Données projet'!$A$140,$CQ$205^A65,IF(A65='Données projet'!$A$140,'Données projet'!$B$140,CT64+CS65-DB64)))</f>
        <v>290.27999999999986</v>
      </c>
      <c r="CU65" s="18">
        <f>CT65*VLOOKUP('Données projet'!$B$13,Paramètres!$A$1:$I$89,3,0)*VLOOKUP('Données projet'!$B$13,Paramètres!$A$1:$I$89,5,0)</f>
        <v>212.83329599999988</v>
      </c>
      <c r="CV65" s="14">
        <f t="shared" si="41"/>
        <v>52.554248411686309</v>
      </c>
      <c r="CW65" s="22">
        <f t="shared" si="13"/>
        <v>462.21663985035343</v>
      </c>
      <c r="CX65" s="60">
        <f t="shared" si="14"/>
        <v>724.57564281000475</v>
      </c>
      <c r="CY65" s="60">
        <f ca="1">AVERAGE(OFFSET($CX$3,0,0,'Données projet'!$E$13+1,1))-AVERAGE(OFFSET($H$3,0,0,'Données projet'!$E$13+1,1))</f>
        <v>368.35775920359396</v>
      </c>
      <c r="CZ65" s="60">
        <f t="shared" si="42"/>
        <v>395.5218438652638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8.6666666666666661</v>
      </c>
      <c r="DO65" s="13">
        <f>IF('Données projet'!$A$166&gt;35,DO64+DN65-DW64,IF(A65&lt;'Données projet'!$A$166,$DL$205^A65,IF(A65='Données projet'!$A$166,'Données projet'!$B$166,DO64+DN65-DW64)))</f>
        <v>267.33333333333331</v>
      </c>
      <c r="DP65" s="18">
        <f>DO65*VLOOKUP('Données projet'!$B$14,Paramètres!$A$1:$I$89,3,0)*VLOOKUP('Données projet'!$B$14,Paramètres!$A$1:$I$89,5,0)</f>
        <v>208.51999999999998</v>
      </c>
      <c r="DQ65" s="14">
        <f t="shared" si="43"/>
        <v>51.612035456318509</v>
      </c>
      <c r="DR65" s="22">
        <f t="shared" si="16"/>
        <v>453.06329508642131</v>
      </c>
      <c r="DS65" s="60">
        <f t="shared" si="17"/>
        <v>715.42229804607268</v>
      </c>
      <c r="DT65" s="60">
        <f ca="1">AVERAGE(OFFSET($DS$3,0,0,'Données projet'!$E$14+1,1))-AVERAGE(OFFSET($H$3,0,0,'Données projet'!$E$14+1,1))</f>
        <v>312.59632808777332</v>
      </c>
      <c r="DU65" s="60">
        <f t="shared" si="44"/>
        <v>302.59481222418219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0</v>
      </c>
      <c r="EE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13.777777777777779</v>
      </c>
      <c r="EJ65" s="13">
        <f>IF('Données projet'!$A$192&gt;35,EJ64+EI65-ER64,IF(A65&lt;'Données projet'!$A$192,$EG$205^A65,IF(A65='Données projet'!$A$192,'Données projet'!$B$192,EJ64+EI65-ER64)))</f>
        <v>261.55555555555537</v>
      </c>
      <c r="EK65" s="18">
        <f>EJ65*VLOOKUP('Données projet'!$B$15,Paramètres!$A$1:$I$89,3,0)*VLOOKUP('Données projet'!$B$15,Paramètres!$A$1:$I$89,5,0)</f>
        <v>224.41466666666653</v>
      </c>
      <c r="EL65" s="14">
        <f t="shared" si="45"/>
        <v>55.073279400945509</v>
      </c>
      <c r="EM65" s="22">
        <f t="shared" si="19"/>
        <v>486.77483940109096</v>
      </c>
      <c r="EN65" s="60">
        <f t="shared" si="20"/>
        <v>749.13384236074228</v>
      </c>
      <c r="EO65" s="60">
        <f ca="1">AVERAGE(OFFSET($EN$3,0,0,'Données projet'!$E$15+1,1))-AVERAGE(OFFSET($H$3,0,0,'Données projet'!$E$15+1,1))</f>
        <v>478.11504516179713</v>
      </c>
      <c r="EP65" s="60">
        <f t="shared" si="46"/>
        <v>249.93713224442419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0</v>
      </c>
      <c r="EW65" s="23">
        <f>EXP(-LN(2)/25)*EW64+(1-EXP(-LN(2)/25))/(LN(2)/25)*Calculateur!ER65*Calculateur!ET65*VLOOKUP('Données projet'!$B$15,Paramètres!$A$1:$I$89,3,0)*0.475*44/12</f>
        <v>0</v>
      </c>
      <c r="EX65" s="23">
        <f>EXP(-LN(2)/2)*EX64+(1-EXP(-LN(2)/2))/(LN(2)/2)*ER65*EU65*VLOOKUP('Données projet'!$B$15,Paramètres!$A$1:$I$89,3,0)*0.475*44/12</f>
        <v>0</v>
      </c>
      <c r="EY65" s="24">
        <f t="shared" si="21"/>
        <v>0</v>
      </c>
      <c r="EZ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8.8000000000000007</v>
      </c>
      <c r="FE65" s="13">
        <f>IF('Données projet'!$A$218&gt;35,FE64+FD65-FM64,IF(A65&lt;'Données projet'!$A$218,$FB$205^A65,IF(A65='Données projet'!$A$218,'Données projet'!$B$218,FE64+FD65-FM64)))</f>
        <v>290.59999999999997</v>
      </c>
      <c r="FF65" s="18">
        <f>FE65*VLOOKUP('Données projet'!$B$16,Paramètres!$A$1:$I$89,3,0)*VLOOKUP('Données projet'!$B$16,Paramètres!$A$1:$I$89,5,0)</f>
        <v>281.06831999999997</v>
      </c>
      <c r="FG65" s="14">
        <f t="shared" si="47"/>
        <v>67.19272554541665</v>
      </c>
      <c r="FH65" s="22">
        <f t="shared" si="22"/>
        <v>606.55465432493395</v>
      </c>
      <c r="FI65" s="60">
        <f t="shared" si="23"/>
        <v>868.91365728458527</v>
      </c>
      <c r="FJ65" s="60">
        <f ca="1">AVERAGE(OFFSET($FI$3,0,0,'Données projet'!$E$16+1,1))-AVERAGE(OFFSET($H$3,0,0,'Données projet'!$E$16+1,1))</f>
        <v>603.52431522262032</v>
      </c>
      <c r="FK65" s="60">
        <f t="shared" si="48"/>
        <v>313.56299786481338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>
        <f>EXP(-LN(2)/35)*FQ64+(1-EXP(-LN(2)/35))/(LN(2)/35)*FM65*FN65*VLOOKUP('Données projet'!$B$16,Paramètres!$A$1:$I$89,3,0)*0.475*44/12</f>
        <v>0</v>
      </c>
      <c r="FR65" s="23">
        <f>EXP(-LN(2)/25)*FR64+(1-EXP(-LN(2)/25))/(LN(2)/25)*Calculateur!FM65*Calculateur!FO65*VLOOKUP('Données projet'!$B$16,Paramètres!$A$1:$I$89,3,0)*0.475*44/12</f>
        <v>0</v>
      </c>
      <c r="FS65" s="23">
        <f>EXP(-LN(2)/2)*FS64+(1-EXP(-LN(2)/2))/(LN(2)/2)*FM65*FP65*VLOOKUP('Données projet'!$B$16,Paramètres!$A$1:$I$89,3,0)*0.475*44/12</f>
        <v>0</v>
      </c>
      <c r="FT65" s="24">
        <f t="shared" si="24"/>
        <v>0</v>
      </c>
      <c r="FU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5.7692307692307683</v>
      </c>
      <c r="FZ65" s="13">
        <f>IF('Données projet'!$A$244&gt;35,FZ64+FY65-GH64,IF(A65&lt;'Données projet'!$A$244,$FW$205^A65,IF(A65='Données projet'!$A$244,'Données projet'!$B$244,FZ64+FY65-GH64)))</f>
        <v>265.3846153846153</v>
      </c>
      <c r="GA65" s="18">
        <f>FZ65*VLOOKUP('Données projet'!$B$17,Paramètres!$A$1:$I$89,3,0)*VLOOKUP('Données projet'!$B$17,Paramètres!$A$1:$I$89,5,0)</f>
        <v>178.01999999999995</v>
      </c>
      <c r="GB65" s="14">
        <f t="shared" si="49"/>
        <v>44.881389467952083</v>
      </c>
      <c r="GC65" s="22">
        <f t="shared" si="25"/>
        <v>388.21991999001648</v>
      </c>
      <c r="GD65" s="60">
        <f t="shared" si="26"/>
        <v>650.5789229496678</v>
      </c>
      <c r="GE65" s="60">
        <f ca="1">AVERAGE(OFFSET($GD$3,0,0,'Données projet'!$E$17+1,1))-AVERAGE(OFFSET($H$3,0,0,'Données projet'!$E$17+1,1))</f>
        <v>396.0878652679051</v>
      </c>
      <c r="GF65" s="60">
        <f t="shared" si="50"/>
        <v>327.26339199235406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>
        <f>EXP(-LN(2)/35)*GL64+(1-EXP(-LN(2)/35))/(LN(2)/35)*GH65*GI65*VLOOKUP('Données projet'!$B$17,Paramètres!$A$1:$I$89,3,0)*0.475*44/12</f>
        <v>0</v>
      </c>
      <c r="GM65" s="23">
        <f>EXP(-LN(2)/25)*GM64+(1-EXP(-LN(2)/25))/(LN(2)/25)*Calculateur!GH65*Calculateur!GJ65*VLOOKUP('Données projet'!$B$17,Paramètres!$A$1:$I$89,3,0)*0.475*44/12</f>
        <v>0</v>
      </c>
      <c r="GN65" s="23">
        <f>EXP(-LN(2)/2)*GN64+(1-EXP(-LN(2)/2))/(LN(2)/2)*GH65*GK65*VLOOKUP('Données projet'!$B$17,Paramètres!$A$1:$I$89,3,0)*0.475*44/12</f>
        <v>0</v>
      </c>
      <c r="GO65" s="23">
        <f t="shared" si="27"/>
        <v>0</v>
      </c>
      <c r="GP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-1.1368683772161603E-13</v>
      </c>
      <c r="GV65" s="18">
        <f>GU65*VLOOKUP('Données projet'!$B$18,Paramètres!$A$1:$I$89,3,0)*VLOOKUP('Données projet'!$B$18,Paramètres!$A$1:$I$89,5,0)</f>
        <v>-9.2222762759774927E-14</v>
      </c>
      <c r="GW65" s="14" t="e">
        <f t="shared" si="51"/>
        <v>#NUM!</v>
      </c>
      <c r="GX65" s="22" t="e">
        <f t="shared" si="28"/>
        <v>#NUM!</v>
      </c>
      <c r="GY65" s="60" t="e">
        <f t="shared" si="29"/>
        <v>#NUM!</v>
      </c>
      <c r="GZ65" s="60">
        <f ca="1">AVERAGE(OFFSET($GY$3,0,0,'Données projet'!$E$18+1,1))-AVERAGE(OFFSET($H$3,0,0,'Données projet'!$E$18+1,1))</f>
        <v>272.69564942740931</v>
      </c>
      <c r="HA65" s="60">
        <f t="shared" si="52"/>
        <v>316.57989180609252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>
        <f>EXP(-LN(2)/35)*HG64+(1-EXP(-LN(2)/35))/(LN(2)/35)*HC65*HD65*VLOOKUP('Données projet'!$B$18,Paramètres!$A$1:$I$89,3,0)*0.475*44/12</f>
        <v>0</v>
      </c>
      <c r="HH65" s="23">
        <f>EXP(-LN(2)/25)*HH64+(1-EXP(-LN(2)/25))/(LN(2)/25)*Calculateur!HC65*Calculateur!HE65*VLOOKUP('Données projet'!$B$18,Paramètres!$A$1:$I$89,3,0)*0.475*44/12</f>
        <v>0</v>
      </c>
      <c r="HI65" s="23">
        <f>EXP(-LN(2)/2)*HI64+(1-EXP(-LN(2)/2))/(LN(2)/2)*HC65*HF65*VLOOKUP('Données projet'!$B$18,Paramètres!$A$1:$I$89,3,0)*0.475*44/12</f>
        <v>0</v>
      </c>
      <c r="HJ65" s="24">
        <f t="shared" si="30"/>
        <v>0</v>
      </c>
    </row>
    <row r="66" spans="1:218" s="5" customFormat="1" x14ac:dyDescent="0.25">
      <c r="A66" s="11">
        <f t="shared" si="31"/>
        <v>63</v>
      </c>
      <c r="B66" s="75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8">
        <f t="shared" si="1"/>
        <v>183.33333333333334</v>
      </c>
      <c r="I66" s="7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8.8000000000000007</v>
      </c>
      <c r="N66" s="14">
        <f>IF('Données projet'!$A$36&gt;35,N65+M66-V65,IF(A66&lt;'Données projet'!$A$36,$K$205^A66,IF(A66='Données projet'!$A$36,'Données projet'!$B$36,N65+M66-V65)))</f>
        <v>299.39999999999998</v>
      </c>
      <c r="O66" s="14">
        <f>N66*VLOOKUP('Données projet'!$B$9,Paramètres!$A$1:$I$89,3,0)*VLOOKUP('Données projet'!$B$9,Paramètres!$A$1:$I$89,5,0)</f>
        <v>270.89711999999997</v>
      </c>
      <c r="P66" s="14">
        <f t="shared" si="33"/>
        <v>65.039624021315475</v>
      </c>
      <c r="Q66" s="22">
        <f t="shared" si="53"/>
        <v>585.08982917045773</v>
      </c>
      <c r="R66" s="60">
        <f t="shared" si="0"/>
        <v>847.98616751386385</v>
      </c>
      <c r="S66" s="60">
        <f ca="1">AVERAGE(OFFSET($R$3,0,0,'Données projet'!$E$9+1,1))-AVERAGE(OFFSET($H$3,0,0,'Données projet'!$E$9+1,1))</f>
        <v>570.08763950759544</v>
      </c>
      <c r="T66" s="60">
        <f t="shared" si="34"/>
        <v>297.32483725004136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5.2399999999999975</v>
      </c>
      <c r="AI66" s="14">
        <f>IF('Données projet'!$A$62&gt;35,AI65+AH66-AQ65,IF(A66&lt;'Données projet'!$A$62,$AF$205^A66,IF(A66='Données projet'!$A$62,'Données projet'!$B$62,AI65+AH66-AQ65)))</f>
        <v>295.51999999999987</v>
      </c>
      <c r="AJ66" s="14">
        <f>AI66*VLOOKUP('Données projet'!$B$10,Paramètres!$A$1:$I$89,3,0)*VLOOKUP('Données projet'!$B$10,Paramètres!$A$1:$I$89,5,0)</f>
        <v>235.11571199999989</v>
      </c>
      <c r="AK66" s="14">
        <f t="shared" si="35"/>
        <v>57.387397894153374</v>
      </c>
      <c r="AL66" s="22">
        <f t="shared" si="4"/>
        <v>509.44291639898364</v>
      </c>
      <c r="AM66" s="60">
        <f t="shared" si="5"/>
        <v>772.33925474238981</v>
      </c>
      <c r="AN66" s="60">
        <f ca="1">AVERAGE(OFFSET($AM$3,0,0,'Données projet'!$E$10+1,1))-AVERAGE(OFFSET($H$3,0,0,'Données projet'!$E$10+1,1))</f>
        <v>394.49874384716014</v>
      </c>
      <c r="AO66" s="60">
        <f t="shared" si="36"/>
        <v>423.72519584013378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4.3399999999999981</v>
      </c>
      <c r="BD66" s="13">
        <f>IF('Données projet'!$A$88&gt;35,BD65+BC66-BL65,IF(A66&lt;'Données projet'!$A$88,$BA$205^A66,IF(A66='Données projet'!$A$88,'Données projet'!$B$88,BD65+BC66-BL65)))</f>
        <v>246.12000000000012</v>
      </c>
      <c r="BE66" s="14">
        <f>BD66*VLOOKUP('Données projet'!$B$11,Paramètres!$A$1:$I$89,3,0)*VLOOKUP('Données projet'!$B$11,Paramètres!$A$1:$I$89,5,0)</f>
        <v>215.01043200000015</v>
      </c>
      <c r="BF66" s="14">
        <f t="shared" si="37"/>
        <v>53.028984090604766</v>
      </c>
      <c r="BG66" s="22">
        <f t="shared" si="7"/>
        <v>466.83531635780349</v>
      </c>
      <c r="BH66" s="60">
        <f t="shared" si="8"/>
        <v>729.73165470120966</v>
      </c>
      <c r="BI66" s="60">
        <f ca="1">AVERAGE(OFFSET($BH$3,0,0,'Données projet'!$E$11+1,1))-AVERAGE(OFFSET($H$3,0,0,'Données projet'!$E$11+1,1))</f>
        <v>363.28611056308665</v>
      </c>
      <c r="BJ66" s="60">
        <f t="shared" si="38"/>
        <v>389.43647559455974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5</v>
      </c>
      <c r="BY66" s="13">
        <f>IF('Données projet'!$A$114&gt;35,BY65+BX66-CG65,IF(A66&lt;'Données projet'!$A$114,$BV$205^A66,IF(A66='Données projet'!$A$114,'Données projet'!$B$114,BY65+BX66-CG65)))</f>
        <v>222.69230769230759</v>
      </c>
      <c r="BZ66" s="14">
        <f>BY66*VLOOKUP('Données projet'!$B$12,Paramètres!$A$1:$I$89,3,0)*VLOOKUP('Données projet'!$B$12,Paramètres!$A$1:$I$89,5,0)</f>
        <v>211.9139999999999</v>
      </c>
      <c r="CA66" s="14">
        <f t="shared" si="39"/>
        <v>52.353621737631663</v>
      </c>
      <c r="CB66" s="22">
        <f t="shared" si="10"/>
        <v>460.26610785970826</v>
      </c>
      <c r="CC66" s="60">
        <f t="shared" si="11"/>
        <v>723.16244620311431</v>
      </c>
      <c r="CD66" s="60">
        <f ca="1">AVERAGE(OFFSET($CC$3,0,0,'Données projet'!$E$12+1,1))-AVERAGE(OFFSET($H$3,0,0,'Données projet'!$E$12+1,1))</f>
        <v>441.15969139782891</v>
      </c>
      <c r="CE66" s="60">
        <f t="shared" si="40"/>
        <v>315.06466790224783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5.2399999999999975</v>
      </c>
      <c r="CT66" s="13">
        <f>IF('Données projet'!$A$140&gt;35,CT65+CS66-DB65,IF(A66&lt;'Données projet'!$A$140,$CQ$205^A66,IF(A66='Données projet'!$A$140,'Données projet'!$B$140,CT65+CS66-DB65)))</f>
        <v>295.51999999999987</v>
      </c>
      <c r="CU66" s="18">
        <f>CT66*VLOOKUP('Données projet'!$B$13,Paramètres!$A$1:$I$89,3,0)*VLOOKUP('Données projet'!$B$13,Paramètres!$A$1:$I$89,5,0)</f>
        <v>216.67526399999991</v>
      </c>
      <c r="CV66" s="14">
        <f t="shared" si="41"/>
        <v>53.391631603175213</v>
      </c>
      <c r="CW66" s="22">
        <f t="shared" si="13"/>
        <v>470.36650984219659</v>
      </c>
      <c r="CX66" s="60">
        <f t="shared" si="14"/>
        <v>733.26284818560271</v>
      </c>
      <c r="CY66" s="60">
        <f ca="1">AVERAGE(OFFSET($CX$3,0,0,'Données projet'!$E$13+1,1))-AVERAGE(OFFSET($H$3,0,0,'Données projet'!$E$13+1,1))</f>
        <v>368.35775920359396</v>
      </c>
      <c r="CZ66" s="60">
        <f t="shared" si="42"/>
        <v>395.5218438652638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8.6666666666666661</v>
      </c>
      <c r="DO66" s="13">
        <f>IF('Données projet'!$A$166&gt;35,DO65+DN66-DW65,IF(A66&lt;'Données projet'!$A$166,$DL$205^A66,IF(A66='Données projet'!$A$166,'Données projet'!$B$166,DO65+DN66-DW65)))</f>
        <v>276</v>
      </c>
      <c r="DP66" s="18">
        <f>DO66*VLOOKUP('Données projet'!$B$14,Paramètres!$A$1:$I$89,3,0)*VLOOKUP('Données projet'!$B$14,Paramètres!$A$1:$I$89,5,0)</f>
        <v>215.28</v>
      </c>
      <c r="DQ66" s="14">
        <f t="shared" si="43"/>
        <v>53.087725740853138</v>
      </c>
      <c r="DR66" s="22">
        <f t="shared" si="16"/>
        <v>467.40712233198587</v>
      </c>
      <c r="DS66" s="60">
        <f t="shared" si="17"/>
        <v>730.30346067539199</v>
      </c>
      <c r="DT66" s="60">
        <f ca="1">AVERAGE(OFFSET($DS$3,0,0,'Données projet'!$E$14+1,1))-AVERAGE(OFFSET($H$3,0,0,'Données projet'!$E$14+1,1))</f>
        <v>312.59632808777332</v>
      </c>
      <c r="DU66" s="60">
        <f t="shared" si="44"/>
        <v>302.59481222418219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0</v>
      </c>
      <c r="EE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13.777777777777779</v>
      </c>
      <c r="EJ66" s="13">
        <f>IF('Données projet'!$A$192&gt;35,EJ65+EI66-ER65,IF(A66&lt;'Données projet'!$A$192,$EG$205^A66,IF(A66='Données projet'!$A$192,'Données projet'!$B$192,EJ65+EI66-ER65)))</f>
        <v>275.33333333333314</v>
      </c>
      <c r="EK66" s="18">
        <f>EJ66*VLOOKUP('Données projet'!$B$15,Paramètres!$A$1:$I$89,3,0)*VLOOKUP('Données projet'!$B$15,Paramètres!$A$1:$I$89,5,0)</f>
        <v>236.23599999999988</v>
      </c>
      <c r="EL66" s="14">
        <f t="shared" si="45"/>
        <v>57.628943995616872</v>
      </c>
      <c r="EM66" s="22">
        <f t="shared" si="19"/>
        <v>511.81477745903248</v>
      </c>
      <c r="EN66" s="60">
        <f t="shared" si="20"/>
        <v>774.7111158024386</v>
      </c>
      <c r="EO66" s="60">
        <f ca="1">AVERAGE(OFFSET($EN$3,0,0,'Données projet'!$E$15+1,1))-AVERAGE(OFFSET($H$3,0,0,'Données projet'!$E$15+1,1))</f>
        <v>478.11504516179713</v>
      </c>
      <c r="EP66" s="60">
        <f t="shared" si="46"/>
        <v>249.93713224442419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0</v>
      </c>
      <c r="EW66" s="23">
        <f>EXP(-LN(2)/25)*EW65+(1-EXP(-LN(2)/25))/(LN(2)/25)*Calculateur!ER66*Calculateur!ET66*VLOOKUP('Données projet'!$B$15,Paramètres!$A$1:$I$89,3,0)*0.475*44/12</f>
        <v>0</v>
      </c>
      <c r="EX66" s="23">
        <f>EXP(-LN(2)/2)*EX65+(1-EXP(-LN(2)/2))/(LN(2)/2)*ER66*EU66*VLOOKUP('Données projet'!$B$15,Paramètres!$A$1:$I$89,3,0)*0.475*44/12</f>
        <v>0</v>
      </c>
      <c r="EY66" s="24">
        <f t="shared" si="21"/>
        <v>0</v>
      </c>
      <c r="EZ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8.8000000000000007</v>
      </c>
      <c r="FE66" s="13">
        <f>IF('Données projet'!$A$218&gt;35,FE65+FD66-FM65,IF(A66&lt;'Données projet'!$A$218,$FB$205^A66,IF(A66='Données projet'!$A$218,'Données projet'!$B$218,FE65+FD66-FM65)))</f>
        <v>299.39999999999998</v>
      </c>
      <c r="FF66" s="18">
        <f>FE66*VLOOKUP('Données projet'!$B$16,Paramètres!$A$1:$I$89,3,0)*VLOOKUP('Données projet'!$B$16,Paramètres!$A$1:$I$89,5,0)</f>
        <v>289.57968</v>
      </c>
      <c r="FG66" s="14">
        <f t="shared" si="47"/>
        <v>68.987489943980663</v>
      </c>
      <c r="FH66" s="22">
        <f t="shared" si="22"/>
        <v>624.504487652433</v>
      </c>
      <c r="FI66" s="60">
        <f t="shared" si="23"/>
        <v>887.40082599583911</v>
      </c>
      <c r="FJ66" s="60">
        <f ca="1">AVERAGE(OFFSET($FI$3,0,0,'Données projet'!$E$16+1,1))-AVERAGE(OFFSET($H$3,0,0,'Données projet'!$E$16+1,1))</f>
        <v>603.52431522262032</v>
      </c>
      <c r="FK66" s="60">
        <f t="shared" si="48"/>
        <v>313.56299786481338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>
        <f>EXP(-LN(2)/35)*FQ65+(1-EXP(-LN(2)/35))/(LN(2)/35)*FM66*FN66*VLOOKUP('Données projet'!$B$16,Paramètres!$A$1:$I$89,3,0)*0.475*44/12</f>
        <v>0</v>
      </c>
      <c r="FR66" s="23">
        <f>EXP(-LN(2)/25)*FR65+(1-EXP(-LN(2)/25))/(LN(2)/25)*Calculateur!FM66*Calculateur!FO66*VLOOKUP('Données projet'!$B$16,Paramètres!$A$1:$I$89,3,0)*0.475*44/12</f>
        <v>0</v>
      </c>
      <c r="FS66" s="23">
        <f>EXP(-LN(2)/2)*FS65+(1-EXP(-LN(2)/2))/(LN(2)/2)*FM66*FP66*VLOOKUP('Données projet'!$B$16,Paramètres!$A$1:$I$89,3,0)*0.475*44/12</f>
        <v>0</v>
      </c>
      <c r="FT66" s="24">
        <f t="shared" si="24"/>
        <v>0</v>
      </c>
      <c r="FU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5.7692307692307683</v>
      </c>
      <c r="FZ66" s="13">
        <f>IF('Données projet'!$A$244&gt;35,FZ65+FY66-GH65,IF(A66&lt;'Données projet'!$A$244,$FW$205^A66,IF(A66='Données projet'!$A$244,'Données projet'!$B$244,FZ65+FY66-GH65)))</f>
        <v>271.15384615384608</v>
      </c>
      <c r="GA66" s="18">
        <f>FZ66*VLOOKUP('Données projet'!$B$17,Paramètres!$A$1:$I$89,3,0)*VLOOKUP('Données projet'!$B$17,Paramètres!$A$1:$I$89,5,0)</f>
        <v>181.88999999999996</v>
      </c>
      <c r="GB66" s="14">
        <f t="shared" si="49"/>
        <v>45.742420382341599</v>
      </c>
      <c r="GC66" s="22">
        <f t="shared" si="25"/>
        <v>396.4597988325782</v>
      </c>
      <c r="GD66" s="60">
        <f t="shared" si="26"/>
        <v>659.35613717598426</v>
      </c>
      <c r="GE66" s="60">
        <f ca="1">AVERAGE(OFFSET($GD$3,0,0,'Données projet'!$E$17+1,1))-AVERAGE(OFFSET($H$3,0,0,'Données projet'!$E$17+1,1))</f>
        <v>396.0878652679051</v>
      </c>
      <c r="GF66" s="60">
        <f t="shared" si="50"/>
        <v>327.26339199235406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>
        <f>EXP(-LN(2)/35)*GL65+(1-EXP(-LN(2)/35))/(LN(2)/35)*GH66*GI66*VLOOKUP('Données projet'!$B$17,Paramètres!$A$1:$I$89,3,0)*0.475*44/12</f>
        <v>0</v>
      </c>
      <c r="GM66" s="23">
        <f>EXP(-LN(2)/25)*GM65+(1-EXP(-LN(2)/25))/(LN(2)/25)*Calculateur!GH66*Calculateur!GJ66*VLOOKUP('Données projet'!$B$17,Paramètres!$A$1:$I$89,3,0)*0.475*44/12</f>
        <v>0</v>
      </c>
      <c r="GN66" s="23">
        <f>EXP(-LN(2)/2)*GN65+(1-EXP(-LN(2)/2))/(LN(2)/2)*GH66*GK66*VLOOKUP('Données projet'!$B$17,Paramètres!$A$1:$I$89,3,0)*0.475*44/12</f>
        <v>0</v>
      </c>
      <c r="GO66" s="23">
        <f t="shared" si="27"/>
        <v>0</v>
      </c>
      <c r="GP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-1.1368683772161603E-13</v>
      </c>
      <c r="GV66" s="18">
        <f>GU66*VLOOKUP('Données projet'!$B$18,Paramètres!$A$1:$I$89,3,0)*VLOOKUP('Données projet'!$B$18,Paramètres!$A$1:$I$89,5,0)</f>
        <v>-9.2222762759774927E-14</v>
      </c>
      <c r="GW66" s="14" t="e">
        <f t="shared" si="51"/>
        <v>#NUM!</v>
      </c>
      <c r="GX66" s="22" t="e">
        <f t="shared" si="28"/>
        <v>#NUM!</v>
      </c>
      <c r="GY66" s="60" t="e">
        <f t="shared" si="29"/>
        <v>#NUM!</v>
      </c>
      <c r="GZ66" s="60">
        <f ca="1">AVERAGE(OFFSET($GY$3,0,0,'Données projet'!$E$18+1,1))-AVERAGE(OFFSET($H$3,0,0,'Données projet'!$E$18+1,1))</f>
        <v>272.69564942740931</v>
      </c>
      <c r="HA66" s="60">
        <f t="shared" si="52"/>
        <v>316.57989180609252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>
        <f>EXP(-LN(2)/35)*HG65+(1-EXP(-LN(2)/35))/(LN(2)/35)*HC66*HD66*VLOOKUP('Données projet'!$B$18,Paramètres!$A$1:$I$89,3,0)*0.475*44/12</f>
        <v>0</v>
      </c>
      <c r="HH66" s="23">
        <f>EXP(-LN(2)/25)*HH65+(1-EXP(-LN(2)/25))/(LN(2)/25)*Calculateur!HC66*Calculateur!HE66*VLOOKUP('Données projet'!$B$18,Paramètres!$A$1:$I$89,3,0)*0.475*44/12</f>
        <v>0</v>
      </c>
      <c r="HI66" s="23">
        <f>EXP(-LN(2)/2)*HI65+(1-EXP(-LN(2)/2))/(LN(2)/2)*HC66*HF66*VLOOKUP('Données projet'!$B$18,Paramètres!$A$1:$I$89,3,0)*0.475*44/12</f>
        <v>0</v>
      </c>
      <c r="HJ66" s="24">
        <f t="shared" si="30"/>
        <v>0</v>
      </c>
    </row>
    <row r="67" spans="1:218" s="5" customFormat="1" x14ac:dyDescent="0.25">
      <c r="A67" s="11">
        <f t="shared" si="31"/>
        <v>64</v>
      </c>
      <c r="B67" s="75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8">
        <f t="shared" si="1"/>
        <v>183.33333333333334</v>
      </c>
      <c r="I67" s="7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8.8000000000000007</v>
      </c>
      <c r="N67" s="14">
        <f>IF('Données projet'!$A$36&gt;35,N66+M67-V66,IF(A67&lt;'Données projet'!$A$36,$K$205^A67,IF(A67='Données projet'!$A$36,'Données projet'!$B$36,N66+M67-V66)))</f>
        <v>308.2</v>
      </c>
      <c r="O67" s="14">
        <f>N67*VLOOKUP('Données projet'!$B$9,Paramètres!$A$1:$I$89,3,0)*VLOOKUP('Données projet'!$B$9,Paramètres!$A$1:$I$89,5,0)</f>
        <v>278.85935999999998</v>
      </c>
      <c r="P67" s="14">
        <f t="shared" si="33"/>
        <v>66.725901622172444</v>
      </c>
      <c r="Q67" s="22">
        <f t="shared" ref="Q67:Q98" si="54">(O67+P67)*0.475*44/12</f>
        <v>601.89433065861692</v>
      </c>
      <c r="R67" s="60">
        <f t="shared" ref="R67:R130" si="55">Q67+(I67+J67)*44/12</f>
        <v>865.31868281817174</v>
      </c>
      <c r="S67" s="60">
        <f ca="1">AVERAGE(OFFSET($R$3,0,0,'Données projet'!$E$9+1,1))-AVERAGE(OFFSET($H$3,0,0,'Données projet'!$E$9+1,1))</f>
        <v>570.08763950759544</v>
      </c>
      <c r="T67" s="60">
        <f t="shared" si="34"/>
        <v>297.32483725004136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5.2399999999999975</v>
      </c>
      <c r="AI67" s="14">
        <f>IF('Données projet'!$A$62&gt;35,AI66+AH67-AQ66,IF(A67&lt;'Données projet'!$A$62,$AF$205^A67,IF(A67='Données projet'!$A$62,'Données projet'!$B$62,AI66+AH67-AQ66)))</f>
        <v>300.75999999999988</v>
      </c>
      <c r="AJ67" s="14">
        <f>AI67*VLOOKUP('Données projet'!$B$10,Paramètres!$A$1:$I$89,3,0)*VLOOKUP('Données projet'!$B$10,Paramètres!$A$1:$I$89,5,0)</f>
        <v>239.2846559999999</v>
      </c>
      <c r="AK67" s="14">
        <f t="shared" si="35"/>
        <v>58.285594007367486</v>
      </c>
      <c r="AL67" s="22">
        <f t="shared" si="4"/>
        <v>518.2681854294982</v>
      </c>
      <c r="AM67" s="60">
        <f t="shared" si="5"/>
        <v>781.69253758905302</v>
      </c>
      <c r="AN67" s="60">
        <f ca="1">AVERAGE(OFFSET($AM$3,0,0,'Données projet'!$E$10+1,1))-AVERAGE(OFFSET($H$3,0,0,'Données projet'!$E$10+1,1))</f>
        <v>394.49874384716014</v>
      </c>
      <c r="AO67" s="60">
        <f t="shared" si="36"/>
        <v>423.72519584013378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4.3399999999999981</v>
      </c>
      <c r="BD67" s="13">
        <f>IF('Données projet'!$A$88&gt;35,BD66+BC67-BL66,IF(A67&lt;'Données projet'!$A$88,$BA$205^A67,IF(A67='Données projet'!$A$88,'Données projet'!$B$88,BD66+BC67-BL66)))</f>
        <v>250.46000000000012</v>
      </c>
      <c r="BE67" s="14">
        <f>BD67*VLOOKUP('Données projet'!$B$11,Paramètres!$A$1:$I$89,3,0)*VLOOKUP('Données projet'!$B$11,Paramètres!$A$1:$I$89,5,0)</f>
        <v>218.80185600000013</v>
      </c>
      <c r="BF67" s="14">
        <f t="shared" si="37"/>
        <v>53.854392333532836</v>
      </c>
      <c r="BG67" s="22">
        <f t="shared" si="7"/>
        <v>474.87629918090329</v>
      </c>
      <c r="BH67" s="60">
        <f t="shared" si="8"/>
        <v>738.30065134045799</v>
      </c>
      <c r="BI67" s="60">
        <f ca="1">AVERAGE(OFFSET($BH$3,0,0,'Données projet'!$E$11+1,1))-AVERAGE(OFFSET($H$3,0,0,'Données projet'!$E$11+1,1))</f>
        <v>363.28611056308665</v>
      </c>
      <c r="BJ67" s="60">
        <f t="shared" si="38"/>
        <v>389.43647559455974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5</v>
      </c>
      <c r="BY67" s="13">
        <f>IF('Données projet'!$A$114&gt;35,BY66+BX67-CG66,IF(A67&lt;'Données projet'!$A$114,$BV$205^A67,IF(A67='Données projet'!$A$114,'Données projet'!$B$114,BY66+BX67-CG66)))</f>
        <v>227.69230769230759</v>
      </c>
      <c r="BZ67" s="14">
        <f>BY67*VLOOKUP('Données projet'!$B$12,Paramètres!$A$1:$I$89,3,0)*VLOOKUP('Données projet'!$B$12,Paramètres!$A$1:$I$89,5,0)</f>
        <v>216.67199999999991</v>
      </c>
      <c r="CA67" s="14">
        <f t="shared" si="39"/>
        <v>53.390920929716366</v>
      </c>
      <c r="CB67" s="22">
        <f t="shared" si="10"/>
        <v>470.35958728592249</v>
      </c>
      <c r="CC67" s="60">
        <f t="shared" si="11"/>
        <v>733.78393944547724</v>
      </c>
      <c r="CD67" s="60">
        <f ca="1">AVERAGE(OFFSET($CC$3,0,0,'Données projet'!$E$12+1,1))-AVERAGE(OFFSET($H$3,0,0,'Données projet'!$E$12+1,1))</f>
        <v>441.15969139782891</v>
      </c>
      <c r="CE67" s="60">
        <f t="shared" si="40"/>
        <v>315.06466790224783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5.2399999999999975</v>
      </c>
      <c r="CT67" s="13">
        <f>IF('Données projet'!$A$140&gt;35,CT66+CS67-DB66,IF(A67&lt;'Données projet'!$A$140,$CQ$205^A67,IF(A67='Données projet'!$A$140,'Données projet'!$B$140,CT66+CS67-DB66)))</f>
        <v>300.75999999999988</v>
      </c>
      <c r="CU67" s="18">
        <f>CT67*VLOOKUP('Données projet'!$B$13,Paramètres!$A$1:$I$89,3,0)*VLOOKUP('Données projet'!$B$13,Paramètres!$A$1:$I$89,5,0)</f>
        <v>220.51723199999989</v>
      </c>
      <c r="CV67" s="14">
        <f t="shared" si="41"/>
        <v>54.22728817140964</v>
      </c>
      <c r="CW67" s="22">
        <f t="shared" si="13"/>
        <v>478.51337263187162</v>
      </c>
      <c r="CX67" s="60">
        <f t="shared" si="14"/>
        <v>741.93772479142638</v>
      </c>
      <c r="CY67" s="60">
        <f ca="1">AVERAGE(OFFSET($CX$3,0,0,'Données projet'!$E$13+1,1))-AVERAGE(OFFSET($H$3,0,0,'Données projet'!$E$13+1,1))</f>
        <v>368.35775920359396</v>
      </c>
      <c r="CZ67" s="60">
        <f t="shared" si="42"/>
        <v>395.5218438652638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8.6666666666666661</v>
      </c>
      <c r="DO67" s="13">
        <f>IF('Données projet'!$A$166&gt;35,DO66+DN67-DW66,IF(A67&lt;'Données projet'!$A$166,$DL$205^A67,IF(A67='Données projet'!$A$166,'Données projet'!$B$166,DO66+DN67-DW66)))</f>
        <v>284.66666666666669</v>
      </c>
      <c r="DP67" s="18">
        <f>DO67*VLOOKUP('Données projet'!$B$14,Paramètres!$A$1:$I$89,3,0)*VLOOKUP('Données projet'!$B$14,Paramètres!$A$1:$I$89,5,0)</f>
        <v>222.04000000000002</v>
      </c>
      <c r="DQ67" s="14">
        <f t="shared" si="43"/>
        <v>54.558031180803596</v>
      </c>
      <c r="DR67" s="22">
        <f t="shared" si="16"/>
        <v>481.74157097323291</v>
      </c>
      <c r="DS67" s="60">
        <f t="shared" si="17"/>
        <v>745.16592313278761</v>
      </c>
      <c r="DT67" s="60">
        <f ca="1">AVERAGE(OFFSET($DS$3,0,0,'Données projet'!$E$14+1,1))-AVERAGE(OFFSET($H$3,0,0,'Données projet'!$E$14+1,1))</f>
        <v>312.59632808777332</v>
      </c>
      <c r="DU67" s="60">
        <f t="shared" si="44"/>
        <v>302.59481222418219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0</v>
      </c>
      <c r="EE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13.777777777777779</v>
      </c>
      <c r="EJ67" s="13">
        <f>IF('Données projet'!$A$192&gt;35,EJ66+EI67-ER66,IF(A67&lt;'Données projet'!$A$192,$EG$205^A67,IF(A67='Données projet'!$A$192,'Données projet'!$B$192,EJ66+EI67-ER66)))</f>
        <v>289.11111111111092</v>
      </c>
      <c r="EK67" s="18">
        <f>EJ67*VLOOKUP('Données projet'!$B$15,Paramètres!$A$1:$I$89,3,0)*VLOOKUP('Données projet'!$B$15,Paramètres!$A$1:$I$89,5,0)</f>
        <v>248.05733333333319</v>
      </c>
      <c r="EL67" s="14">
        <f t="shared" si="45"/>
        <v>60.169759343876592</v>
      </c>
      <c r="EM67" s="22">
        <f t="shared" si="19"/>
        <v>536.82885307947356</v>
      </c>
      <c r="EN67" s="60">
        <f t="shared" si="20"/>
        <v>800.25320523902838</v>
      </c>
      <c r="EO67" s="60">
        <f ca="1">AVERAGE(OFFSET($EN$3,0,0,'Données projet'!$E$15+1,1))-AVERAGE(OFFSET($H$3,0,0,'Données projet'!$E$15+1,1))</f>
        <v>478.11504516179713</v>
      </c>
      <c r="EP67" s="60">
        <f t="shared" si="46"/>
        <v>249.93713224442419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0</v>
      </c>
      <c r="EW67" s="23">
        <f>EXP(-LN(2)/25)*EW66+(1-EXP(-LN(2)/25))/(LN(2)/25)*Calculateur!ER67*Calculateur!ET67*VLOOKUP('Données projet'!$B$15,Paramètres!$A$1:$I$89,3,0)*0.475*44/12</f>
        <v>0</v>
      </c>
      <c r="EX67" s="23">
        <f>EXP(-LN(2)/2)*EX66+(1-EXP(-LN(2)/2))/(LN(2)/2)*ER67*EU67*VLOOKUP('Données projet'!$B$15,Paramètres!$A$1:$I$89,3,0)*0.475*44/12</f>
        <v>0</v>
      </c>
      <c r="EY67" s="24">
        <f t="shared" si="21"/>
        <v>0</v>
      </c>
      <c r="EZ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8.8000000000000007</v>
      </c>
      <c r="FE67" s="13">
        <f>IF('Données projet'!$A$218&gt;35,FE66+FD67-FM66,IF(A67&lt;'Données projet'!$A$218,$FB$205^A67,IF(A67='Données projet'!$A$218,'Données projet'!$B$218,FE66+FD67-FM66)))</f>
        <v>308.2</v>
      </c>
      <c r="FF67" s="18">
        <f>FE67*VLOOKUP('Données projet'!$B$16,Paramètres!$A$1:$I$89,3,0)*VLOOKUP('Données projet'!$B$16,Paramètres!$A$1:$I$89,5,0)</f>
        <v>298.09104000000002</v>
      </c>
      <c r="FG67" s="14">
        <f t="shared" si="47"/>
        <v>70.776123577436934</v>
      </c>
      <c r="FH67" s="22">
        <f t="shared" si="22"/>
        <v>642.44364323070261</v>
      </c>
      <c r="FI67" s="60">
        <f t="shared" si="23"/>
        <v>905.86799539025742</v>
      </c>
      <c r="FJ67" s="60">
        <f ca="1">AVERAGE(OFFSET($FI$3,0,0,'Données projet'!$E$16+1,1))-AVERAGE(OFFSET($H$3,0,0,'Données projet'!$E$16+1,1))</f>
        <v>603.52431522262032</v>
      </c>
      <c r="FK67" s="60">
        <f t="shared" si="48"/>
        <v>313.56299786481338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>
        <f>EXP(-LN(2)/35)*FQ66+(1-EXP(-LN(2)/35))/(LN(2)/35)*FM67*FN67*VLOOKUP('Données projet'!$B$16,Paramètres!$A$1:$I$89,3,0)*0.475*44/12</f>
        <v>0</v>
      </c>
      <c r="FR67" s="23">
        <f>EXP(-LN(2)/25)*FR66+(1-EXP(-LN(2)/25))/(LN(2)/25)*Calculateur!FM67*Calculateur!FO67*VLOOKUP('Données projet'!$B$16,Paramètres!$A$1:$I$89,3,0)*0.475*44/12</f>
        <v>0</v>
      </c>
      <c r="FS67" s="23">
        <f>EXP(-LN(2)/2)*FS66+(1-EXP(-LN(2)/2))/(LN(2)/2)*FM67*FP67*VLOOKUP('Données projet'!$B$16,Paramètres!$A$1:$I$89,3,0)*0.475*44/12</f>
        <v>0</v>
      </c>
      <c r="FT67" s="24">
        <f t="shared" si="24"/>
        <v>0</v>
      </c>
      <c r="FU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5.7692307692307683</v>
      </c>
      <c r="FZ67" s="13">
        <f>IF('Données projet'!$A$244&gt;35,FZ66+FY67-GH66,IF(A67&lt;'Données projet'!$A$244,$FW$205^A67,IF(A67='Données projet'!$A$244,'Données projet'!$B$244,FZ66+FY67-GH66)))</f>
        <v>276.92307692307685</v>
      </c>
      <c r="GA67" s="18">
        <f>FZ67*VLOOKUP('Données projet'!$B$17,Paramètres!$A$1:$I$89,3,0)*VLOOKUP('Données projet'!$B$17,Paramètres!$A$1:$I$89,5,0)</f>
        <v>185.75999999999993</v>
      </c>
      <c r="GB67" s="14">
        <f t="shared" si="49"/>
        <v>46.601321339767978</v>
      </c>
      <c r="GC67" s="22">
        <f t="shared" si="25"/>
        <v>404.69596800009577</v>
      </c>
      <c r="GD67" s="60">
        <f t="shared" si="26"/>
        <v>668.12032015965053</v>
      </c>
      <c r="GE67" s="60">
        <f ca="1">AVERAGE(OFFSET($GD$3,0,0,'Données projet'!$E$17+1,1))-AVERAGE(OFFSET($H$3,0,0,'Données projet'!$E$17+1,1))</f>
        <v>396.0878652679051</v>
      </c>
      <c r="GF67" s="60">
        <f t="shared" si="50"/>
        <v>327.26339199235406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>
        <f>EXP(-LN(2)/35)*GL66+(1-EXP(-LN(2)/35))/(LN(2)/35)*GH67*GI67*VLOOKUP('Données projet'!$B$17,Paramètres!$A$1:$I$89,3,0)*0.475*44/12</f>
        <v>0</v>
      </c>
      <c r="GM67" s="23">
        <f>EXP(-LN(2)/25)*GM66+(1-EXP(-LN(2)/25))/(LN(2)/25)*Calculateur!GH67*Calculateur!GJ67*VLOOKUP('Données projet'!$B$17,Paramètres!$A$1:$I$89,3,0)*0.475*44/12</f>
        <v>0</v>
      </c>
      <c r="GN67" s="23">
        <f>EXP(-LN(2)/2)*GN66+(1-EXP(-LN(2)/2))/(LN(2)/2)*GH67*GK67*VLOOKUP('Données projet'!$B$17,Paramètres!$A$1:$I$89,3,0)*0.475*44/12</f>
        <v>0</v>
      </c>
      <c r="GO67" s="23">
        <f t="shared" si="27"/>
        <v>0</v>
      </c>
      <c r="GP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-1.1368683772161603E-13</v>
      </c>
      <c r="GV67" s="18">
        <f>GU67*VLOOKUP('Données projet'!$B$18,Paramètres!$A$1:$I$89,3,0)*VLOOKUP('Données projet'!$B$18,Paramètres!$A$1:$I$89,5,0)</f>
        <v>-9.2222762759774927E-14</v>
      </c>
      <c r="GW67" s="14" t="e">
        <f t="shared" si="51"/>
        <v>#NUM!</v>
      </c>
      <c r="GX67" s="22" t="e">
        <f t="shared" si="28"/>
        <v>#NUM!</v>
      </c>
      <c r="GY67" s="60" t="e">
        <f t="shared" si="29"/>
        <v>#NUM!</v>
      </c>
      <c r="GZ67" s="60">
        <f ca="1">AVERAGE(OFFSET($GY$3,0,0,'Données projet'!$E$18+1,1))-AVERAGE(OFFSET($H$3,0,0,'Données projet'!$E$18+1,1))</f>
        <v>272.69564942740931</v>
      </c>
      <c r="HA67" s="60">
        <f t="shared" si="52"/>
        <v>316.57989180609252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>
        <f>EXP(-LN(2)/35)*HG66+(1-EXP(-LN(2)/35))/(LN(2)/35)*HC67*HD67*VLOOKUP('Données projet'!$B$18,Paramètres!$A$1:$I$89,3,0)*0.475*44/12</f>
        <v>0</v>
      </c>
      <c r="HH67" s="23">
        <f>EXP(-LN(2)/25)*HH66+(1-EXP(-LN(2)/25))/(LN(2)/25)*Calculateur!HC67*Calculateur!HE67*VLOOKUP('Données projet'!$B$18,Paramètres!$A$1:$I$89,3,0)*0.475*44/12</f>
        <v>0</v>
      </c>
      <c r="HI67" s="23">
        <f>EXP(-LN(2)/2)*HI66+(1-EXP(-LN(2)/2))/(LN(2)/2)*HC67*HF67*VLOOKUP('Données projet'!$B$18,Paramètres!$A$1:$I$89,3,0)*0.475*44/12</f>
        <v>0</v>
      </c>
      <c r="HJ67" s="24">
        <f t="shared" si="30"/>
        <v>0</v>
      </c>
    </row>
    <row r="68" spans="1:218" s="5" customFormat="1" x14ac:dyDescent="0.25">
      <c r="A68" s="11">
        <f t="shared" si="31"/>
        <v>65</v>
      </c>
      <c r="B68" s="75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8">
        <f t="shared" ref="H68:H131" si="56">(B68+E68+F68)*44/12+(C68+D68)*0.475*44/12</f>
        <v>183.33333333333334</v>
      </c>
      <c r="I68" s="7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317</v>
      </c>
      <c r="L68" s="13">
        <f>VLOOKUP(A68,'Données projet'!$A$35:$I$55,9,0)</f>
        <v>8.8000000000000007</v>
      </c>
      <c r="M68" s="13">
        <f t="array" ref="M68">INDEX(L:L,MIN(IF(ISNUMBER(L68:L264),ROW(L68:L264),"")))</f>
        <v>8.8000000000000007</v>
      </c>
      <c r="N68" s="14">
        <f>IF('Données projet'!$A$36&gt;35,N67+M68-V67,IF(A68&lt;'Données projet'!$A$36,$K$205^A68,IF(A68='Données projet'!$A$36,'Données projet'!$B$36,N67+M68-V67)))</f>
        <v>317</v>
      </c>
      <c r="O68" s="14">
        <f>N68*VLOOKUP('Données projet'!$B$9,Paramètres!$A$1:$I$89,3,0)*VLOOKUP('Données projet'!$B$9,Paramètres!$A$1:$I$89,5,0)</f>
        <v>286.82159999999999</v>
      </c>
      <c r="P68" s="14">
        <f t="shared" si="33"/>
        <v>68.406583284351484</v>
      </c>
      <c r="Q68" s="22">
        <f t="shared" si="54"/>
        <v>618.68908588691215</v>
      </c>
      <c r="R68" s="60">
        <f t="shared" si="55"/>
        <v>882.63229200336741</v>
      </c>
      <c r="S68" s="60">
        <f ca="1">AVERAGE(OFFSET($R$3,0,0,'Données projet'!$E$9+1,1))-AVERAGE(OFFSET($H$3,0,0,'Données projet'!$E$9+1,1))</f>
        <v>570.08763950759544</v>
      </c>
      <c r="T68" s="60">
        <f t="shared" si="34"/>
        <v>297.32483725004136</v>
      </c>
      <c r="U68" s="16">
        <f>IF(ISNA(VLOOKUP(A68,'Données projet'!$A$35:$I$55,3,0)),0,VLOOKUP(A68,'Données projet'!$A$35:$I$55,3,0))</f>
        <v>5</v>
      </c>
      <c r="V68" s="16">
        <f>IF(ISNA(VLOOKUP(A68,'Données projet'!$A$35:$I$55,4,0)),0,VLOOKUP(A68,'Données projet'!$A$35:$I$55,4,0))</f>
        <v>56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306</v>
      </c>
      <c r="AG68" s="13">
        <f>VLOOKUP(A68,'Données projet'!$A$61:$I$81,9,0)</f>
        <v>5.2399999999999975</v>
      </c>
      <c r="AH68" s="13">
        <f t="array" ref="AH68">INDEX(AG:AG,MIN(IF(ISNUMBER(AG68:AG264),ROW(AG68:AG264),"")))</f>
        <v>5.2399999999999975</v>
      </c>
      <c r="AI68" s="14">
        <f>IF('Données projet'!$A$62&gt;35,AI67+AH68-AQ67,IF(A68&lt;'Données projet'!$A$62,$AF$205^A68,IF(A68='Données projet'!$A$62,'Données projet'!$B$62,AI67+AH68-AQ67)))</f>
        <v>305.99999999999989</v>
      </c>
      <c r="AJ68" s="14">
        <f>AI68*VLOOKUP('Données projet'!$B$10,Paramètres!$A$1:$I$89,3,0)*VLOOKUP('Données projet'!$B$10,Paramètres!$A$1:$I$89,5,0)</f>
        <v>243.45359999999991</v>
      </c>
      <c r="AK68" s="14">
        <f t="shared" si="35"/>
        <v>59.181970343065267</v>
      </c>
      <c r="AL68" s="22">
        <f t="shared" ref="AL68:AL131" si="58">(AJ68+AK68)*0.475*44/12</f>
        <v>527.09028501417185</v>
      </c>
      <c r="AM68" s="60">
        <f t="shared" ref="AM68:AM131" si="59">AL68+(AD68+AE68)*44/12</f>
        <v>791.033491130627</v>
      </c>
      <c r="AN68" s="60">
        <f ca="1">AVERAGE(OFFSET($AM$3,0,0,'Données projet'!$E$10+1,1))-AVERAGE(OFFSET($H$3,0,0,'Données projet'!$E$10+1,1))</f>
        <v>394.49874384716014</v>
      </c>
      <c r="AO68" s="60">
        <f t="shared" si="36"/>
        <v>423.72519584013378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254.8</v>
      </c>
      <c r="BB68" s="13">
        <f>VLOOKUP(A68,'Données projet'!$A$87:$I$107,9,0)</f>
        <v>4.3399999999999981</v>
      </c>
      <c r="BC68" s="13">
        <f t="array" ref="BC68">INDEX(BB:BB,MIN(IF(ISNUMBER(BB68:BB264),ROW(BB68:BB264),"")))</f>
        <v>4.3399999999999981</v>
      </c>
      <c r="BD68" s="13">
        <f>IF('Données projet'!$A$88&gt;35,BD67+BC68-BL67,IF(A68&lt;'Données projet'!$A$88,$BA$205^A68,IF(A68='Données projet'!$A$88,'Données projet'!$B$88,BD67+BC68-BL67)))</f>
        <v>254.80000000000013</v>
      </c>
      <c r="BE68" s="14">
        <f>BD68*VLOOKUP('Données projet'!$B$11,Paramètres!$A$1:$I$89,3,0)*VLOOKUP('Données projet'!$B$11,Paramètres!$A$1:$I$89,5,0)</f>
        <v>222.59328000000014</v>
      </c>
      <c r="BF68" s="14">
        <f t="shared" si="37"/>
        <v>54.678137323894518</v>
      </c>
      <c r="BG68" s="22">
        <f t="shared" ref="BG68:BG131" si="61">(BE68+BF68)*0.475*44/12</f>
        <v>482.91438517244984</v>
      </c>
      <c r="BH68" s="60">
        <f t="shared" ref="BH68:BH131" si="62">BG68+(AY68+AZ68)*44/12</f>
        <v>746.85759128890504</v>
      </c>
      <c r="BI68" s="60">
        <f ca="1">AVERAGE(OFFSET($BH$3,0,0,'Données projet'!$E$11+1,1))-AVERAGE(OFFSET($H$3,0,0,'Données projet'!$E$11+1,1))</f>
        <v>363.28611056308665</v>
      </c>
      <c r="BJ68" s="60">
        <f t="shared" si="38"/>
        <v>389.43647559455974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232.69230769230768</v>
      </c>
      <c r="BW68" s="13">
        <f>VLOOKUP(A68,'Données projet'!$A$113:$I$133,9,0)</f>
        <v>5</v>
      </c>
      <c r="BX68" s="13">
        <f t="array" ref="BX68">INDEX(BW:BW,MIN(IF(ISNUMBER(BW68:BW264),ROW(BW68:BW264),"")))</f>
        <v>5</v>
      </c>
      <c r="BY68" s="13">
        <f>IF('Données projet'!$A$114&gt;35,BY67+BX68-CG67,IF(A68&lt;'Données projet'!$A$114,$BV$205^A68,IF(A68='Données projet'!$A$114,'Données projet'!$B$114,BY67+BX68-CG67)))</f>
        <v>232.69230769230759</v>
      </c>
      <c r="BZ68" s="14">
        <f>BY68*VLOOKUP('Données projet'!$B$12,Paramètres!$A$1:$I$89,3,0)*VLOOKUP('Données projet'!$B$12,Paramètres!$A$1:$I$89,5,0)</f>
        <v>221.42999999999989</v>
      </c>
      <c r="CA68" s="14">
        <f t="shared" si="39"/>
        <v>54.425571861733111</v>
      </c>
      <c r="CB68" s="22">
        <f t="shared" ref="CB68:CB131" si="64">(BZ68+CA68)*0.475*44/12</f>
        <v>480.44845432585157</v>
      </c>
      <c r="CC68" s="60">
        <f t="shared" ref="CC68:CC131" si="65">CB68+(BT68+BU68)*44/12</f>
        <v>744.39166044230683</v>
      </c>
      <c r="CD68" s="60">
        <f ca="1">AVERAGE(OFFSET($CC$3,0,0,'Données projet'!$E$12+1,1))-AVERAGE(OFFSET($H$3,0,0,'Données projet'!$E$12+1,1))</f>
        <v>441.15969139782891</v>
      </c>
      <c r="CE68" s="60">
        <f t="shared" si="40"/>
        <v>315.06466790224783</v>
      </c>
      <c r="CF68" s="16">
        <f>IF(ISNA(VLOOKUP(A68,'Données projet'!$A$113:$I$133,3,0)),0,VLOOKUP(A68,'Données projet'!$A$113:$I$133,3,0))</f>
        <v>5</v>
      </c>
      <c r="CG68" s="16">
        <f>IF(ISNA(VLOOKUP(A68,'Données projet'!$A$113:$I$133,4,0)),0,VLOOKUP(A68,'Données projet'!$A$113:$I$133,4,0))</f>
        <v>32.692307692307693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306</v>
      </c>
      <c r="CR68" s="13">
        <f>VLOOKUP(A68,'Données projet'!$A$139:$I$159,9,0)</f>
        <v>5.2399999999999975</v>
      </c>
      <c r="CS68" s="13">
        <f t="array" ref="CS68">INDEX(CR:CR,MIN(IF(ISNUMBER(CR68:CR264),ROW(CR68:CR264),"")))</f>
        <v>5.2399999999999975</v>
      </c>
      <c r="CT68" s="13">
        <f>IF('Données projet'!$A$140&gt;35,CT67+CS68-DB67,IF(A68&lt;'Données projet'!$A$140,$CQ$205^A68,IF(A68='Données projet'!$A$140,'Données projet'!$B$140,CT67+CS68-DB67)))</f>
        <v>305.99999999999989</v>
      </c>
      <c r="CU68" s="18">
        <f>CT68*VLOOKUP('Données projet'!$B$13,Paramètres!$A$1:$I$89,3,0)*VLOOKUP('Données projet'!$B$13,Paramètres!$A$1:$I$89,5,0)</f>
        <v>224.3591999999999</v>
      </c>
      <c r="CV68" s="14">
        <f t="shared" si="41"/>
        <v>55.061251669487255</v>
      </c>
      <c r="CW68" s="22">
        <f t="shared" ref="CW68:CW131" si="67">(CU68+CV68)*0.475*44/12</f>
        <v>486.65728665769001</v>
      </c>
      <c r="CX68" s="60">
        <f t="shared" ref="CX68:CX131" si="68">CW68+(CO68+CP68)*44/12</f>
        <v>750.60049277414521</v>
      </c>
      <c r="CY68" s="60">
        <f ca="1">AVERAGE(OFFSET($CX$3,0,0,'Données projet'!$E$13+1,1))-AVERAGE(OFFSET($H$3,0,0,'Données projet'!$E$13+1,1))</f>
        <v>368.35775920359396</v>
      </c>
      <c r="CZ68" s="60">
        <f t="shared" si="42"/>
        <v>395.5218438652638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8.6666666666666661</v>
      </c>
      <c r="DO68" s="13">
        <f>IF('Données projet'!$A$166&gt;35,DO67+DN68-DW67,IF(A68&lt;'Données projet'!$A$166,$DL$205^A68,IF(A68='Données projet'!$A$166,'Données projet'!$B$166,DO67+DN68-DW67)))</f>
        <v>293.33333333333337</v>
      </c>
      <c r="DP68" s="18">
        <f>DO68*VLOOKUP('Données projet'!$B$14,Paramètres!$A$1:$I$89,3,0)*VLOOKUP('Données projet'!$B$14,Paramètres!$A$1:$I$89,5,0)</f>
        <v>228.80000000000004</v>
      </c>
      <c r="DQ68" s="14">
        <f t="shared" si="43"/>
        <v>56.023134533701196</v>
      </c>
      <c r="DR68" s="22">
        <f t="shared" ref="DR68:DR131" si="70">(DP68+DQ68)*0.475*44/12</f>
        <v>496.06695931286299</v>
      </c>
      <c r="DS68" s="60">
        <f t="shared" ref="DS68:DS131" si="71">DR68+(DJ68+DK68)*44/12</f>
        <v>760.01016542931825</v>
      </c>
      <c r="DT68" s="60">
        <f ca="1">AVERAGE(OFFSET($DS$3,0,0,'Données projet'!$E$14+1,1))-AVERAGE(OFFSET($H$3,0,0,'Données projet'!$E$14+1,1))</f>
        <v>312.59632808777332</v>
      </c>
      <c r="DU68" s="60">
        <f t="shared" si="44"/>
        <v>302.59481222418219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0</v>
      </c>
      <c r="EE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13.777777777777779</v>
      </c>
      <c r="EJ68" s="13">
        <f>IF('Données projet'!$A$192&gt;35,EJ67+EI68-ER67,IF(A68&lt;'Données projet'!$A$192,$EG$205^A68,IF(A68='Données projet'!$A$192,'Données projet'!$B$192,EJ67+EI68-ER67)))</f>
        <v>302.88888888888869</v>
      </c>
      <c r="EK68" s="18">
        <f>EJ68*VLOOKUP('Données projet'!$B$15,Paramètres!$A$1:$I$89,3,0)*VLOOKUP('Données projet'!$B$15,Paramètres!$A$1:$I$89,5,0)</f>
        <v>259.8786666666665</v>
      </c>
      <c r="EL68" s="14">
        <f t="shared" si="45"/>
        <v>62.69651389011603</v>
      </c>
      <c r="EM68" s="22">
        <f t="shared" ref="EM68:EM131" si="73">(EK68+EL68)*0.475*44/12</f>
        <v>561.81843946972958</v>
      </c>
      <c r="EN68" s="60">
        <f t="shared" ref="EN68:EN131" si="74">EM68+(EE68+EF68)*44/12</f>
        <v>825.76164558618484</v>
      </c>
      <c r="EO68" s="60">
        <f ca="1">AVERAGE(OFFSET($EN$3,0,0,'Données projet'!$E$15+1,1))-AVERAGE(OFFSET($H$3,0,0,'Données projet'!$E$15+1,1))</f>
        <v>478.11504516179713</v>
      </c>
      <c r="EP68" s="60">
        <f t="shared" si="46"/>
        <v>249.93713224442419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0</v>
      </c>
      <c r="EW68" s="23">
        <f>EXP(-LN(2)/25)*EW67+(1-EXP(-LN(2)/25))/(LN(2)/25)*Calculateur!ER68*Calculateur!ET68*VLOOKUP('Données projet'!$B$15,Paramètres!$A$1:$I$89,3,0)*0.475*44/12</f>
        <v>0</v>
      </c>
      <c r="EX68" s="23">
        <f>EXP(-LN(2)/2)*EX67+(1-EXP(-LN(2)/2))/(LN(2)/2)*ER68*EU68*VLOOKUP('Données projet'!$B$15,Paramètres!$A$1:$I$89,3,0)*0.475*44/12</f>
        <v>0</v>
      </c>
      <c r="EY68" s="24">
        <f t="shared" ref="EY68:EY131" si="75">SUM(EV68:EX68)</f>
        <v>0</v>
      </c>
      <c r="EZ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>
        <f>VLOOKUP(A68,'Données projet'!$A$217:$I$237,2,0)</f>
        <v>317</v>
      </c>
      <c r="FC68" s="13">
        <f>VLOOKUP(A68,'Données projet'!$A$217:$I$237,9,0)</f>
        <v>8.8000000000000007</v>
      </c>
      <c r="FD68" s="13">
        <f t="array" ref="FD68">INDEX(FC:FC,MIN(IF(ISNUMBER(FC68:FC264),ROW(FC68:FC264),"")))</f>
        <v>8.8000000000000007</v>
      </c>
      <c r="FE68" s="13">
        <f>IF('Données projet'!$A$218&gt;35,FE67+FD68-FM67,IF(A68&lt;'Données projet'!$A$218,$FB$205^A68,IF(A68='Données projet'!$A$218,'Données projet'!$B$218,FE67+FD68-FM67)))</f>
        <v>317</v>
      </c>
      <c r="FF68" s="18">
        <f>FE68*VLOOKUP('Données projet'!$B$16,Paramètres!$A$1:$I$89,3,0)*VLOOKUP('Données projet'!$B$16,Paramètres!$A$1:$I$89,5,0)</f>
        <v>306.60239999999999</v>
      </c>
      <c r="FG68" s="14">
        <f t="shared" si="47"/>
        <v>72.558821602115088</v>
      </c>
      <c r="FH68" s="22">
        <f t="shared" ref="FH68:FH131" si="76">(FF68+FG68)*0.475*44/12</f>
        <v>660.3724609570171</v>
      </c>
      <c r="FI68" s="60">
        <f t="shared" ref="FI68:FI131" si="77">FH68+(EZ68+FA68)*44/12</f>
        <v>924.31566707347224</v>
      </c>
      <c r="FJ68" s="60">
        <f ca="1">AVERAGE(OFFSET($FI$3,0,0,'Données projet'!$E$16+1,1))-AVERAGE(OFFSET($H$3,0,0,'Données projet'!$E$16+1,1))</f>
        <v>603.52431522262032</v>
      </c>
      <c r="FK68" s="60">
        <f t="shared" si="48"/>
        <v>313.56299786481338</v>
      </c>
      <c r="FL68" s="16">
        <f>IF(ISNA(VLOOKUP(A68,'Données projet'!$A$217:$I$237,3,0)),0,VLOOKUP(A68,'Données projet'!$A$217:$I$237,3,0))</f>
        <v>5</v>
      </c>
      <c r="FM68" s="16">
        <f>IF(ISNA(VLOOKUP(A68,'Données projet'!$A$217:$I$237,4,0)),0,VLOOKUP(A68,'Données projet'!$A$217:$I$237,4,0))</f>
        <v>56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>
        <f>EXP(-LN(2)/35)*FQ67+(1-EXP(-LN(2)/35))/(LN(2)/35)*FM68*FN68*VLOOKUP('Données projet'!$B$16,Paramètres!$A$1:$I$89,3,0)*0.475*44/12</f>
        <v>0</v>
      </c>
      <c r="FR68" s="23">
        <f>EXP(-LN(2)/25)*FR67+(1-EXP(-LN(2)/25))/(LN(2)/25)*Calculateur!FM68*Calculateur!FO68*VLOOKUP('Données projet'!$B$16,Paramètres!$A$1:$I$89,3,0)*0.475*44/12</f>
        <v>0</v>
      </c>
      <c r="FS68" s="23">
        <f>EXP(-LN(2)/2)*FS67+(1-EXP(-LN(2)/2))/(LN(2)/2)*FM68*FP68*VLOOKUP('Données projet'!$B$16,Paramètres!$A$1:$I$89,3,0)*0.475*44/12</f>
        <v>0</v>
      </c>
      <c r="FT68" s="24">
        <f t="shared" ref="FT68:FT131" si="78">SUM(FQ68:FS68)</f>
        <v>0</v>
      </c>
      <c r="FU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>
        <f>VLOOKUP(A68,'Données projet'!$A$243:$I$263,2,0)</f>
        <v>282.69230769230768</v>
      </c>
      <c r="FX68" s="13">
        <f>VLOOKUP(A68,'Données projet'!$A$243:$I$263,9,0)</f>
        <v>5.7692307692307683</v>
      </c>
      <c r="FY68" s="13">
        <f t="array" ref="FY68">INDEX(FX:FX,MIN(IF(ISNUMBER(FX68:FX264),ROW(FX68:FX264),"")))</f>
        <v>5.7692307692307683</v>
      </c>
      <c r="FZ68" s="13">
        <f>IF('Données projet'!$A$244&gt;35,FZ67+FY68-GH67,IF(A68&lt;'Données projet'!$A$244,$FW$205^A68,IF(A68='Données projet'!$A$244,'Données projet'!$B$244,FZ67+FY68-GH67)))</f>
        <v>282.69230769230762</v>
      </c>
      <c r="GA68" s="18">
        <f>FZ68*VLOOKUP('Données projet'!$B$17,Paramètres!$A$1:$I$89,3,0)*VLOOKUP('Données projet'!$B$17,Paramètres!$A$1:$I$89,5,0)</f>
        <v>189.62999999999997</v>
      </c>
      <c r="GB68" s="14">
        <f t="shared" si="49"/>
        <v>47.458141826690017</v>
      </c>
      <c r="GC68" s="22">
        <f t="shared" ref="GC68:GC131" si="79">(GA68+GB68)*0.475*44/12</f>
        <v>412.92851368148507</v>
      </c>
      <c r="GD68" s="60">
        <f t="shared" ref="GD68:GD131" si="80">GC68+(FU68+FV68)*44/12</f>
        <v>676.87171979794027</v>
      </c>
      <c r="GE68" s="60">
        <f ca="1">AVERAGE(OFFSET($GD$3,0,0,'Données projet'!$E$17+1,1))-AVERAGE(OFFSET($H$3,0,0,'Données projet'!$E$17+1,1))</f>
        <v>396.0878652679051</v>
      </c>
      <c r="GF68" s="60">
        <f t="shared" si="50"/>
        <v>327.26339199235406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>
        <f>EXP(-LN(2)/35)*GL67+(1-EXP(-LN(2)/35))/(LN(2)/35)*GH68*GI68*VLOOKUP('Données projet'!$B$17,Paramètres!$A$1:$I$89,3,0)*0.475*44/12</f>
        <v>0</v>
      </c>
      <c r="GM68" s="23">
        <f>EXP(-LN(2)/25)*GM67+(1-EXP(-LN(2)/25))/(LN(2)/25)*Calculateur!GH68*Calculateur!GJ68*VLOOKUP('Données projet'!$B$17,Paramètres!$A$1:$I$89,3,0)*0.475*44/12</f>
        <v>0</v>
      </c>
      <c r="GN68" s="23">
        <f>EXP(-LN(2)/2)*GN67+(1-EXP(-LN(2)/2))/(LN(2)/2)*GH68*GK68*VLOOKUP('Données projet'!$B$17,Paramètres!$A$1:$I$89,3,0)*0.475*44/12</f>
        <v>0</v>
      </c>
      <c r="GO68" s="23">
        <f t="shared" ref="GO68:GO131" si="81">SUM(GL68:GN68)</f>
        <v>0</v>
      </c>
      <c r="GP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-1.1368683772161603E-13</v>
      </c>
      <c r="GV68" s="18">
        <f>GU68*VLOOKUP('Données projet'!$B$18,Paramètres!$A$1:$I$89,3,0)*VLOOKUP('Données projet'!$B$18,Paramètres!$A$1:$I$89,5,0)</f>
        <v>-9.2222762759774927E-14</v>
      </c>
      <c r="GW68" s="14" t="e">
        <f t="shared" si="51"/>
        <v>#NUM!</v>
      </c>
      <c r="GX68" s="22" t="e">
        <f t="shared" ref="GX68:GX131" si="82">(GV68+GW68)*0.475*44/12</f>
        <v>#NUM!</v>
      </c>
      <c r="GY68" s="60" t="e">
        <f t="shared" ref="GY68:GY131" si="83">GX68+(GP68+GQ68)*44/12</f>
        <v>#NUM!</v>
      </c>
      <c r="GZ68" s="60">
        <f ca="1">AVERAGE(OFFSET($GY$3,0,0,'Données projet'!$E$18+1,1))-AVERAGE(OFFSET($H$3,0,0,'Données projet'!$E$18+1,1))</f>
        <v>272.69564942740931</v>
      </c>
      <c r="HA68" s="60">
        <f t="shared" si="52"/>
        <v>316.57989180609252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>
        <f>EXP(-LN(2)/35)*HG67+(1-EXP(-LN(2)/35))/(LN(2)/35)*HC68*HD68*VLOOKUP('Données projet'!$B$18,Paramètres!$A$1:$I$89,3,0)*0.475*44/12</f>
        <v>0</v>
      </c>
      <c r="HH68" s="23">
        <f>EXP(-LN(2)/25)*HH67+(1-EXP(-LN(2)/25))/(LN(2)/25)*Calculateur!HC68*Calculateur!HE68*VLOOKUP('Données projet'!$B$18,Paramètres!$A$1:$I$89,3,0)*0.475*44/12</f>
        <v>0</v>
      </c>
      <c r="HI68" s="23">
        <f>EXP(-LN(2)/2)*HI67+(1-EXP(-LN(2)/2))/(LN(2)/2)*HC68*HF68*VLOOKUP('Données projet'!$B$18,Paramètres!$A$1:$I$89,3,0)*0.475*44/12</f>
        <v>0</v>
      </c>
      <c r="HJ68" s="24">
        <f t="shared" ref="HJ68:HJ131" si="84">SUM(HG68:HI68)</f>
        <v>0</v>
      </c>
    </row>
    <row r="69" spans="1:218" s="5" customFormat="1" x14ac:dyDescent="0.25">
      <c r="A69" s="11">
        <f t="shared" ref="A69:A132" si="85">A68+1</f>
        <v>66</v>
      </c>
      <c r="B69" s="75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8">
        <f t="shared" si="56"/>
        <v>183.33333333333334</v>
      </c>
      <c r="I69" s="7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8.1999999999999993</v>
      </c>
      <c r="N69" s="14">
        <f>IF('Données projet'!$A$36&gt;35,N68+M69-V68,IF(A69&lt;'Données projet'!$A$36,$K$205^A69,IF(A69='Données projet'!$A$36,'Données projet'!$B$36,N68+M69-V68)))</f>
        <v>269.2</v>
      </c>
      <c r="O69" s="14">
        <f>N69*VLOOKUP('Données projet'!$B$9,Paramètres!$A$1:$I$89,3,0)*VLOOKUP('Données projet'!$B$9,Paramètres!$A$1:$I$89,5,0)</f>
        <v>243.57216</v>
      </c>
      <c r="P69" s="14">
        <f t="shared" ref="P69:P132" si="87">EXP(-1.0587+0.8836*LN(O69)+0.284)</f>
        <v>59.207435995642292</v>
      </c>
      <c r="Q69" s="22">
        <f t="shared" si="54"/>
        <v>527.34112969241028</v>
      </c>
      <c r="R69" s="60">
        <f t="shared" si="55"/>
        <v>791.79418880959736</v>
      </c>
      <c r="S69" s="60">
        <f ca="1">AVERAGE(OFFSET($R$3,0,0,'Données projet'!$E$9+1,1))-AVERAGE(OFFSET($H$3,0,0,'Données projet'!$E$9+1,1))</f>
        <v>570.08763950759544</v>
      </c>
      <c r="T69" s="60">
        <f t="shared" ref="T69:T132" si="88">$T$3</f>
        <v>297.32483725004136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4.5</v>
      </c>
      <c r="AI69" s="14">
        <f>IF('Données projet'!$A$62&gt;35,AI68+AH69-AQ68,IF(A69&lt;'Données projet'!$A$62,$AF$205^A69,IF(A69='Données projet'!$A$62,'Données projet'!$B$62,AI68+AH69-AQ68)))</f>
        <v>310.49999999999989</v>
      </c>
      <c r="AJ69" s="14">
        <f>AI69*VLOOKUP('Données projet'!$B$10,Paramètres!$A$1:$I$89,3,0)*VLOOKUP('Données projet'!$B$10,Paramètres!$A$1:$I$89,5,0)</f>
        <v>247.0337999999999</v>
      </c>
      <c r="AK69" s="14">
        <f t="shared" ref="AK69:AK132" si="89">EXP(-1.0587+0.8836*LN(AJ69)+0.284)</f>
        <v>59.950333213989722</v>
      </c>
      <c r="AL69" s="22">
        <f t="shared" si="58"/>
        <v>534.66403201436515</v>
      </c>
      <c r="AM69" s="60">
        <f t="shared" si="59"/>
        <v>799.11709113155223</v>
      </c>
      <c r="AN69" s="60">
        <f ca="1">AVERAGE(OFFSET($AM$3,0,0,'Données projet'!$E$10+1,1))-AVERAGE(OFFSET($H$3,0,0,'Données projet'!$E$10+1,1))</f>
        <v>394.49874384716014</v>
      </c>
      <c r="AO69" s="60">
        <f t="shared" ref="AO69:AO132" si="90">$AO$3</f>
        <v>423.72519584013378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3.7599999999999909</v>
      </c>
      <c r="BD69" s="13">
        <f>IF('Données projet'!$A$88&gt;35,BD68+BC69-BL68,IF(A69&lt;'Données projet'!$A$88,$BA$205^A69,IF(A69='Données projet'!$A$88,'Données projet'!$B$88,BD68+BC69-BL68)))</f>
        <v>258.56000000000012</v>
      </c>
      <c r="BE69" s="14">
        <f>BD69*VLOOKUP('Données projet'!$B$11,Paramètres!$A$1:$I$89,3,0)*VLOOKUP('Données projet'!$B$11,Paramètres!$A$1:$I$89,5,0)</f>
        <v>225.87801600000014</v>
      </c>
      <c r="BF69" s="14">
        <f t="shared" ref="BF69:BF132" si="91">EXP(-1.0587+0.8836*LN(BE69)+0.284)</f>
        <v>55.390476328358808</v>
      </c>
      <c r="BG69" s="22">
        <f t="shared" si="61"/>
        <v>489.87595747189181</v>
      </c>
      <c r="BH69" s="60">
        <f t="shared" si="62"/>
        <v>754.32901658907895</v>
      </c>
      <c r="BI69" s="60">
        <f ca="1">AVERAGE(OFFSET($BH$3,0,0,'Données projet'!$E$11+1,1))-AVERAGE(OFFSET($H$3,0,0,'Données projet'!$E$11+1,1))</f>
        <v>363.28611056308665</v>
      </c>
      <c r="BJ69" s="60">
        <f t="shared" ref="BJ69:BJ132" si="92">$BJ$3</f>
        <v>389.43647559455974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4.7435897435897401</v>
      </c>
      <c r="BY69" s="13">
        <f>IF('Données projet'!$A$114&gt;35,BY68+BX69-CG68,IF(A69&lt;'Données projet'!$A$114,$BV$205^A69,IF(A69='Données projet'!$A$114,'Données projet'!$B$114,BY68+BX69-CG68)))</f>
        <v>204.74358974358967</v>
      </c>
      <c r="BZ69" s="14">
        <f>BY69*VLOOKUP('Données projet'!$B$12,Paramètres!$A$1:$I$89,3,0)*VLOOKUP('Données projet'!$B$12,Paramètres!$A$1:$I$89,5,0)</f>
        <v>194.83399999999995</v>
      </c>
      <c r="CA69" s="14">
        <f t="shared" ref="CA69:CA132" si="93">EXP(-1.0587+0.8836*LN(BZ69)+0.284)</f>
        <v>48.607113902081203</v>
      </c>
      <c r="CB69" s="22">
        <f t="shared" si="64"/>
        <v>423.993273379458</v>
      </c>
      <c r="CC69" s="60">
        <f t="shared" si="65"/>
        <v>688.44633249664503</v>
      </c>
      <c r="CD69" s="60">
        <f ca="1">AVERAGE(OFFSET($CC$3,0,0,'Données projet'!$E$12+1,1))-AVERAGE(OFFSET($H$3,0,0,'Données projet'!$E$12+1,1))</f>
        <v>441.15969139782891</v>
      </c>
      <c r="CE69" s="60">
        <f t="shared" ref="CE69:CE132" si="94">$CE$3</f>
        <v>315.06466790224783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4.5</v>
      </c>
      <c r="CT69" s="13">
        <f>IF('Données projet'!$A$140&gt;35,CT68+CS69-DB68,IF(A69&lt;'Données projet'!$A$140,$CQ$205^A69,IF(A69='Données projet'!$A$140,'Données projet'!$B$140,CT68+CS69-DB68)))</f>
        <v>310.49999999999989</v>
      </c>
      <c r="CU69" s="18">
        <f>CT69*VLOOKUP('Données projet'!$B$13,Paramètres!$A$1:$I$89,3,0)*VLOOKUP('Données projet'!$B$13,Paramètres!$A$1:$I$89,5,0)</f>
        <v>227.65859999999992</v>
      </c>
      <c r="CV69" s="14">
        <f t="shared" ref="CV69:CV132" si="95">EXP(-1.0587+0.8836*LN(CU69)+0.284)</f>
        <v>55.776115016621809</v>
      </c>
      <c r="CW69" s="22">
        <f t="shared" si="67"/>
        <v>493.64879532061622</v>
      </c>
      <c r="CX69" s="60">
        <f t="shared" si="68"/>
        <v>758.10185443780324</v>
      </c>
      <c r="CY69" s="60">
        <f ca="1">AVERAGE(OFFSET($CX$3,0,0,'Données projet'!$E$13+1,1))-AVERAGE(OFFSET($H$3,0,0,'Données projet'!$E$13+1,1))</f>
        <v>368.35775920359396</v>
      </c>
      <c r="CZ69" s="60">
        <f t="shared" ref="CZ69:CZ132" si="96">$CZ$3</f>
        <v>395.5218438652638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8.6666666666666661</v>
      </c>
      <c r="DO69" s="13">
        <f>IF('Données projet'!$A$166&gt;35,DO68+DN69-DW68,IF(A69&lt;'Données projet'!$A$166,$DL$205^A69,IF(A69='Données projet'!$A$166,'Données projet'!$B$166,DO68+DN69-DW68)))</f>
        <v>302.00000000000006</v>
      </c>
      <c r="DP69" s="18">
        <f>DO69*VLOOKUP('Données projet'!$B$14,Paramètres!$A$1:$I$89,3,0)*VLOOKUP('Données projet'!$B$14,Paramètres!$A$1:$I$89,5,0)</f>
        <v>235.56000000000006</v>
      </c>
      <c r="DQ69" s="14">
        <f t="shared" ref="DQ69:DQ132" si="97">EXP(-1.0587+0.8836*LN(DP69)+0.284)</f>
        <v>57.483207143847771</v>
      </c>
      <c r="DR69" s="22">
        <f t="shared" si="70"/>
        <v>510.38358577553487</v>
      </c>
      <c r="DS69" s="60">
        <f t="shared" si="71"/>
        <v>774.83664489272201</v>
      </c>
      <c r="DT69" s="60">
        <f ca="1">AVERAGE(OFFSET($DS$3,0,0,'Données projet'!$E$14+1,1))-AVERAGE(OFFSET($H$3,0,0,'Données projet'!$E$14+1,1))</f>
        <v>312.59632808777332</v>
      </c>
      <c r="DU69" s="60">
        <f t="shared" ref="DU69:DU132" si="98">$DU$3</f>
        <v>302.59481222418219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0</v>
      </c>
      <c r="EE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13.777777777777779</v>
      </c>
      <c r="EJ69" s="13">
        <f>IF('Données projet'!$A$192&gt;35,EJ68+EI69-ER68,IF(A69&lt;'Données projet'!$A$192,$EG$205^A69,IF(A69='Données projet'!$A$192,'Données projet'!$B$192,EJ68+EI69-ER68)))</f>
        <v>316.66666666666646</v>
      </c>
      <c r="EK69" s="18">
        <f>EJ69*VLOOKUP('Données projet'!$B$15,Paramètres!$A$1:$I$89,3,0)*VLOOKUP('Données projet'!$B$15,Paramètres!$A$1:$I$89,5,0)</f>
        <v>271.69999999999987</v>
      </c>
      <c r="EL69" s="14">
        <f t="shared" ref="EL69:EL132" si="99">EXP(-1.0587+0.8836*LN(EK69)+0.284)</f>
        <v>65.209920294809322</v>
      </c>
      <c r="EM69" s="22">
        <f t="shared" si="73"/>
        <v>586.78477784679262</v>
      </c>
      <c r="EN69" s="60">
        <f t="shared" si="74"/>
        <v>851.2378369639797</v>
      </c>
      <c r="EO69" s="60">
        <f ca="1">AVERAGE(OFFSET($EN$3,0,0,'Données projet'!$E$15+1,1))-AVERAGE(OFFSET($H$3,0,0,'Données projet'!$E$15+1,1))</f>
        <v>478.11504516179713</v>
      </c>
      <c r="EP69" s="60">
        <f t="shared" ref="EP69:EP132" si="100">$EP$3</f>
        <v>249.93713224442419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0</v>
      </c>
      <c r="EW69" s="23">
        <f>EXP(-LN(2)/25)*EW68+(1-EXP(-LN(2)/25))/(LN(2)/25)*Calculateur!ER69*Calculateur!ET69*VLOOKUP('Données projet'!$B$15,Paramètres!$A$1:$I$89,3,0)*0.475*44/12</f>
        <v>0</v>
      </c>
      <c r="EX69" s="23">
        <f>EXP(-LN(2)/2)*EX68+(1-EXP(-LN(2)/2))/(LN(2)/2)*ER69*EU69*VLOOKUP('Données projet'!$B$15,Paramètres!$A$1:$I$89,3,0)*0.475*44/12</f>
        <v>0</v>
      </c>
      <c r="EY69" s="24">
        <f t="shared" si="75"/>
        <v>0</v>
      </c>
      <c r="EZ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8.1999999999999993</v>
      </c>
      <c r="FE69" s="13">
        <f>IF('Données projet'!$A$218&gt;35,FE68+FD69-FM68,IF(A69&lt;'Données projet'!$A$218,$FB$205^A69,IF(A69='Données projet'!$A$218,'Données projet'!$B$218,FE68+FD69-FM68)))</f>
        <v>269.2</v>
      </c>
      <c r="FF69" s="18">
        <f>FE69*VLOOKUP('Données projet'!$B$16,Paramètres!$A$1:$I$89,3,0)*VLOOKUP('Données projet'!$B$16,Paramètres!$A$1:$I$89,5,0)</f>
        <v>260.37024000000002</v>
      </c>
      <c r="FG69" s="14">
        <f t="shared" ref="FG69:FG132" si="101">EXP(-1.0587+0.8836*LN(FF69)+0.284)</f>
        <v>62.801291625234725</v>
      </c>
      <c r="FH69" s="22">
        <f t="shared" si="76"/>
        <v>562.85708424728386</v>
      </c>
      <c r="FI69" s="60">
        <f t="shared" si="77"/>
        <v>827.31014336447095</v>
      </c>
      <c r="FJ69" s="60">
        <f ca="1">AVERAGE(OFFSET($FI$3,0,0,'Données projet'!$E$16+1,1))-AVERAGE(OFFSET($H$3,0,0,'Données projet'!$E$16+1,1))</f>
        <v>603.52431522262032</v>
      </c>
      <c r="FK69" s="60">
        <f t="shared" ref="FK69:FK132" si="102">$FK$3</f>
        <v>313.56299786481338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>
        <f>EXP(-LN(2)/35)*FQ68+(1-EXP(-LN(2)/35))/(LN(2)/35)*FM69*FN69*VLOOKUP('Données projet'!$B$16,Paramètres!$A$1:$I$89,3,0)*0.475*44/12</f>
        <v>0</v>
      </c>
      <c r="FR69" s="23">
        <f>EXP(-LN(2)/25)*FR68+(1-EXP(-LN(2)/25))/(LN(2)/25)*Calculateur!FM69*Calculateur!FO69*VLOOKUP('Données projet'!$B$16,Paramètres!$A$1:$I$89,3,0)*0.475*44/12</f>
        <v>0</v>
      </c>
      <c r="FS69" s="23">
        <f>EXP(-LN(2)/2)*FS68+(1-EXP(-LN(2)/2))/(LN(2)/2)*FM69*FP69*VLOOKUP('Données projet'!$B$16,Paramètres!$A$1:$I$89,3,0)*0.475*44/12</f>
        <v>0</v>
      </c>
      <c r="FT69" s="24">
        <f t="shared" si="78"/>
        <v>0</v>
      </c>
      <c r="FU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5.2564102564102537</v>
      </c>
      <c r="FZ69" s="13">
        <f>IF('Données projet'!$A$244&gt;35,FZ68+FY69-GH68,IF(A69&lt;'Données projet'!$A$244,$FW$205^A69,IF(A69='Données projet'!$A$244,'Données projet'!$B$244,FZ68+FY69-GH68)))</f>
        <v>287.9487179487179</v>
      </c>
      <c r="GA69" s="18">
        <f>FZ69*VLOOKUP('Données projet'!$B$17,Paramètres!$A$1:$I$89,3,0)*VLOOKUP('Données projet'!$B$17,Paramètres!$A$1:$I$89,5,0)</f>
        <v>193.15599999999998</v>
      </c>
      <c r="GB69" s="14">
        <f t="shared" ref="GB69:GB132" si="103">EXP(-1.0587+0.8836*LN(GA69)+0.284)</f>
        <v>48.237029240325811</v>
      </c>
      <c r="GC69" s="22">
        <f t="shared" si="79"/>
        <v>420.42619259356735</v>
      </c>
      <c r="GD69" s="60">
        <f t="shared" si="80"/>
        <v>684.87925171075449</v>
      </c>
      <c r="GE69" s="60">
        <f ca="1">AVERAGE(OFFSET($GD$3,0,0,'Données projet'!$E$17+1,1))-AVERAGE(OFFSET($H$3,0,0,'Données projet'!$E$17+1,1))</f>
        <v>396.0878652679051</v>
      </c>
      <c r="GF69" s="60">
        <f t="shared" ref="GF69:GF132" si="104">$GF$3</f>
        <v>327.26339199235406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>
        <f>EXP(-LN(2)/35)*GL68+(1-EXP(-LN(2)/35))/(LN(2)/35)*GH69*GI69*VLOOKUP('Données projet'!$B$17,Paramètres!$A$1:$I$89,3,0)*0.475*44/12</f>
        <v>0</v>
      </c>
      <c r="GM69" s="23">
        <f>EXP(-LN(2)/25)*GM68+(1-EXP(-LN(2)/25))/(LN(2)/25)*Calculateur!GH69*Calculateur!GJ69*VLOOKUP('Données projet'!$B$17,Paramètres!$A$1:$I$89,3,0)*0.475*44/12</f>
        <v>0</v>
      </c>
      <c r="GN69" s="23">
        <f>EXP(-LN(2)/2)*GN68+(1-EXP(-LN(2)/2))/(LN(2)/2)*GH69*GK69*VLOOKUP('Données projet'!$B$17,Paramètres!$A$1:$I$89,3,0)*0.475*44/12</f>
        <v>0</v>
      </c>
      <c r="GO69" s="23">
        <f t="shared" si="81"/>
        <v>0</v>
      </c>
      <c r="GP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-1.1368683772161603E-13</v>
      </c>
      <c r="GV69" s="18">
        <f>GU69*VLOOKUP('Données projet'!$B$18,Paramètres!$A$1:$I$89,3,0)*VLOOKUP('Données projet'!$B$18,Paramètres!$A$1:$I$89,5,0)</f>
        <v>-9.2222762759774927E-14</v>
      </c>
      <c r="GW69" s="14" t="e">
        <f t="shared" ref="GW69:GW132" si="105">EXP(-1.0587+0.8836*LN(GV69)+0.284)</f>
        <v>#NUM!</v>
      </c>
      <c r="GX69" s="22" t="e">
        <f t="shared" si="82"/>
        <v>#NUM!</v>
      </c>
      <c r="GY69" s="60" t="e">
        <f t="shared" si="83"/>
        <v>#NUM!</v>
      </c>
      <c r="GZ69" s="60">
        <f ca="1">AVERAGE(OFFSET($GY$3,0,0,'Données projet'!$E$18+1,1))-AVERAGE(OFFSET($H$3,0,0,'Données projet'!$E$18+1,1))</f>
        <v>272.69564942740931</v>
      </c>
      <c r="HA69" s="60">
        <f t="shared" ref="HA69:HA132" si="106">$HA$3</f>
        <v>316.57989180609252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>
        <f>EXP(-LN(2)/35)*HG68+(1-EXP(-LN(2)/35))/(LN(2)/35)*HC69*HD69*VLOOKUP('Données projet'!$B$18,Paramètres!$A$1:$I$89,3,0)*0.475*44/12</f>
        <v>0</v>
      </c>
      <c r="HH69" s="23">
        <f>EXP(-LN(2)/25)*HH68+(1-EXP(-LN(2)/25))/(LN(2)/25)*Calculateur!HC69*Calculateur!HE69*VLOOKUP('Données projet'!$B$18,Paramètres!$A$1:$I$89,3,0)*0.475*44/12</f>
        <v>0</v>
      </c>
      <c r="HI69" s="23">
        <f>EXP(-LN(2)/2)*HI68+(1-EXP(-LN(2)/2))/(LN(2)/2)*HC69*HF69*VLOOKUP('Données projet'!$B$18,Paramètres!$A$1:$I$89,3,0)*0.475*44/12</f>
        <v>0</v>
      </c>
      <c r="HJ69" s="24">
        <f t="shared" si="84"/>
        <v>0</v>
      </c>
    </row>
    <row r="70" spans="1:218" s="5" customFormat="1" x14ac:dyDescent="0.25">
      <c r="A70" s="11">
        <f t="shared" si="85"/>
        <v>67</v>
      </c>
      <c r="B70" s="75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8">
        <f t="shared" si="56"/>
        <v>183.33333333333334</v>
      </c>
      <c r="I70" s="7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8.1999999999999993</v>
      </c>
      <c r="N70" s="14">
        <f>IF('Données projet'!$A$36&gt;35,N69+M70-V69,IF(A70&lt;'Données projet'!$A$36,$K$205^A70,IF(A70='Données projet'!$A$36,'Données projet'!$B$36,N69+M70-V69)))</f>
        <v>277.39999999999998</v>
      </c>
      <c r="O70" s="14">
        <f>N70*VLOOKUP('Données projet'!$B$9,Paramètres!$A$1:$I$89,3,0)*VLOOKUP('Données projet'!$B$9,Paramètres!$A$1:$I$89,5,0)</f>
        <v>250.99151999999995</v>
      </c>
      <c r="P70" s="14">
        <f t="shared" si="87"/>
        <v>60.798211000769406</v>
      </c>
      <c r="Q70" s="22">
        <f t="shared" si="54"/>
        <v>543.03378149300659</v>
      </c>
      <c r="R70" s="60">
        <f t="shared" si="55"/>
        <v>807.98784880122344</v>
      </c>
      <c r="S70" s="60">
        <f ca="1">AVERAGE(OFFSET($R$3,0,0,'Données projet'!$E$9+1,1))-AVERAGE(OFFSET($H$3,0,0,'Données projet'!$E$9+1,1))</f>
        <v>570.08763950759544</v>
      </c>
      <c r="T70" s="60">
        <f t="shared" si="88"/>
        <v>297.32483725004136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4.5</v>
      </c>
      <c r="AI70" s="14">
        <f>IF('Données projet'!$A$62&gt;35,AI69+AH70-AQ69,IF(A70&lt;'Données projet'!$A$62,$AF$205^A70,IF(A70='Données projet'!$A$62,'Données projet'!$B$62,AI69+AH70-AQ69)))</f>
        <v>314.99999999999989</v>
      </c>
      <c r="AJ70" s="14">
        <f>AI70*VLOOKUP('Données projet'!$B$10,Paramètres!$A$1:$I$89,3,0)*VLOOKUP('Données projet'!$B$10,Paramètres!$A$1:$I$89,5,0)</f>
        <v>250.61399999999992</v>
      </c>
      <c r="AK70" s="14">
        <f t="shared" si="89"/>
        <v>60.717400934916043</v>
      </c>
      <c r="AL70" s="22">
        <f t="shared" si="58"/>
        <v>542.23552329497863</v>
      </c>
      <c r="AM70" s="60">
        <f t="shared" si="59"/>
        <v>807.18959060319548</v>
      </c>
      <c r="AN70" s="60">
        <f ca="1">AVERAGE(OFFSET($AM$3,0,0,'Données projet'!$E$10+1,1))-AVERAGE(OFFSET($H$3,0,0,'Données projet'!$E$10+1,1))</f>
        <v>394.49874384716014</v>
      </c>
      <c r="AO70" s="60">
        <f t="shared" si="90"/>
        <v>423.72519584013378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3.7599999999999909</v>
      </c>
      <c r="BD70" s="13">
        <f>IF('Données projet'!$A$88&gt;35,BD69+BC70-BL69,IF(A70&lt;'Données projet'!$A$88,$BA$205^A70,IF(A70='Données projet'!$A$88,'Données projet'!$B$88,BD69+BC70-BL69)))</f>
        <v>262.32000000000011</v>
      </c>
      <c r="BE70" s="14">
        <f>BD70*VLOOKUP('Données projet'!$B$11,Paramètres!$A$1:$I$89,3,0)*VLOOKUP('Données projet'!$B$11,Paramètres!$A$1:$I$89,5,0)</f>
        <v>229.1627520000001</v>
      </c>
      <c r="BF70" s="14">
        <f t="shared" si="91"/>
        <v>56.101610533032222</v>
      </c>
      <c r="BG70" s="22">
        <f t="shared" si="61"/>
        <v>496.83543141169798</v>
      </c>
      <c r="BH70" s="60">
        <f t="shared" si="62"/>
        <v>761.78949871991495</v>
      </c>
      <c r="BI70" s="60">
        <f ca="1">AVERAGE(OFFSET($BH$3,0,0,'Données projet'!$E$11+1,1))-AVERAGE(OFFSET($H$3,0,0,'Données projet'!$E$11+1,1))</f>
        <v>363.28611056308665</v>
      </c>
      <c r="BJ70" s="60">
        <f t="shared" si="92"/>
        <v>389.43647559455974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4.7435897435897401</v>
      </c>
      <c r="BY70" s="13">
        <f>IF('Données projet'!$A$114&gt;35,BY69+BX70-CG69,IF(A70&lt;'Données projet'!$A$114,$BV$205^A70,IF(A70='Données projet'!$A$114,'Données projet'!$B$114,BY69+BX70-CG69)))</f>
        <v>209.48717948717942</v>
      </c>
      <c r="BZ70" s="14">
        <f>BY70*VLOOKUP('Données projet'!$B$12,Paramètres!$A$1:$I$89,3,0)*VLOOKUP('Données projet'!$B$12,Paramètres!$A$1:$I$89,5,0)</f>
        <v>199.34799999999993</v>
      </c>
      <c r="CA70" s="14">
        <f t="shared" si="93"/>
        <v>49.600850639748678</v>
      </c>
      <c r="CB70" s="22">
        <f t="shared" si="64"/>
        <v>433.58591486422876</v>
      </c>
      <c r="CC70" s="60">
        <f t="shared" si="65"/>
        <v>698.53998217244566</v>
      </c>
      <c r="CD70" s="60">
        <f ca="1">AVERAGE(OFFSET($CC$3,0,0,'Données projet'!$E$12+1,1))-AVERAGE(OFFSET($H$3,0,0,'Données projet'!$E$12+1,1))</f>
        <v>441.15969139782891</v>
      </c>
      <c r="CE70" s="60">
        <f t="shared" si="94"/>
        <v>315.06466790224783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4.5</v>
      </c>
      <c r="CT70" s="13">
        <f>IF('Données projet'!$A$140&gt;35,CT69+CS70-DB69,IF(A70&lt;'Données projet'!$A$140,$CQ$205^A70,IF(A70='Données projet'!$A$140,'Données projet'!$B$140,CT69+CS70-DB69)))</f>
        <v>314.99999999999989</v>
      </c>
      <c r="CU70" s="18">
        <f>CT70*VLOOKUP('Données projet'!$B$13,Paramètres!$A$1:$I$89,3,0)*VLOOKUP('Données projet'!$B$13,Paramètres!$A$1:$I$89,5,0)</f>
        <v>230.95799999999988</v>
      </c>
      <c r="CV70" s="14">
        <f t="shared" si="95"/>
        <v>56.489773392384429</v>
      </c>
      <c r="CW70" s="22">
        <f t="shared" si="67"/>
        <v>500.63820532506929</v>
      </c>
      <c r="CX70" s="60">
        <f t="shared" si="68"/>
        <v>765.59227263328626</v>
      </c>
      <c r="CY70" s="60">
        <f ca="1">AVERAGE(OFFSET($CX$3,0,0,'Données projet'!$E$13+1,1))-AVERAGE(OFFSET($H$3,0,0,'Données projet'!$E$13+1,1))</f>
        <v>368.35775920359396</v>
      </c>
      <c r="CZ70" s="60">
        <f t="shared" si="96"/>
        <v>395.5218438652638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8.6666666666666661</v>
      </c>
      <c r="DO70" s="13">
        <f>IF('Données projet'!$A$166&gt;35,DO69+DN70-DW69,IF(A70&lt;'Données projet'!$A$166,$DL$205^A70,IF(A70='Données projet'!$A$166,'Données projet'!$B$166,DO69+DN70-DW69)))</f>
        <v>310.66666666666674</v>
      </c>
      <c r="DP70" s="18">
        <f>DO70*VLOOKUP('Données projet'!$B$14,Paramètres!$A$1:$I$89,3,0)*VLOOKUP('Données projet'!$B$14,Paramètres!$A$1:$I$89,5,0)</f>
        <v>242.32000000000008</v>
      </c>
      <c r="DQ70" s="14">
        <f t="shared" si="97"/>
        <v>58.938409961900909</v>
      </c>
      <c r="DR70" s="22">
        <f t="shared" si="70"/>
        <v>524.69173068364421</v>
      </c>
      <c r="DS70" s="60">
        <f t="shared" si="71"/>
        <v>789.64579799186117</v>
      </c>
      <c r="DT70" s="60">
        <f ca="1">AVERAGE(OFFSET($DS$3,0,0,'Données projet'!$E$14+1,1))-AVERAGE(OFFSET($H$3,0,0,'Données projet'!$E$14+1,1))</f>
        <v>312.59632808777332</v>
      </c>
      <c r="DU70" s="60">
        <f t="shared" si="98"/>
        <v>302.59481222418219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0</v>
      </c>
      <c r="EE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13.777777777777779</v>
      </c>
      <c r="EJ70" s="13">
        <f>IF('Données projet'!$A$192&gt;35,EJ69+EI70-ER69,IF(A70&lt;'Données projet'!$A$192,$EG$205^A70,IF(A70='Données projet'!$A$192,'Données projet'!$B$192,EJ69+EI70-ER69)))</f>
        <v>330.44444444444423</v>
      </c>
      <c r="EK70" s="18">
        <f>EJ70*VLOOKUP('Données projet'!$B$15,Paramètres!$A$1:$I$89,3,0)*VLOOKUP('Données projet'!$B$15,Paramètres!$A$1:$I$89,5,0)</f>
        <v>283.52133333333319</v>
      </c>
      <c r="EL70" s="14">
        <f t="shared" si="99"/>
        <v>67.71062569759917</v>
      </c>
      <c r="EM70" s="22">
        <f t="shared" si="73"/>
        <v>611.72899531220708</v>
      </c>
      <c r="EN70" s="60">
        <f t="shared" si="74"/>
        <v>876.68306262042393</v>
      </c>
      <c r="EO70" s="60">
        <f ca="1">AVERAGE(OFFSET($EN$3,0,0,'Données projet'!$E$15+1,1))-AVERAGE(OFFSET($H$3,0,0,'Données projet'!$E$15+1,1))</f>
        <v>478.11504516179713</v>
      </c>
      <c r="EP70" s="60">
        <f t="shared" si="100"/>
        <v>249.93713224442419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0</v>
      </c>
      <c r="EW70" s="23">
        <f>EXP(-LN(2)/25)*EW69+(1-EXP(-LN(2)/25))/(LN(2)/25)*Calculateur!ER70*Calculateur!ET70*VLOOKUP('Données projet'!$B$15,Paramètres!$A$1:$I$89,3,0)*0.475*44/12</f>
        <v>0</v>
      </c>
      <c r="EX70" s="23">
        <f>EXP(-LN(2)/2)*EX69+(1-EXP(-LN(2)/2))/(LN(2)/2)*ER70*EU70*VLOOKUP('Données projet'!$B$15,Paramètres!$A$1:$I$89,3,0)*0.475*44/12</f>
        <v>0</v>
      </c>
      <c r="EY70" s="24">
        <f t="shared" si="75"/>
        <v>0</v>
      </c>
      <c r="EZ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8.1999999999999993</v>
      </c>
      <c r="FE70" s="13">
        <f>IF('Données projet'!$A$218&gt;35,FE69+FD70-FM69,IF(A70&lt;'Données projet'!$A$218,$FB$205^A70,IF(A70='Données projet'!$A$218,'Données projet'!$B$218,FE69+FD70-FM69)))</f>
        <v>277.39999999999998</v>
      </c>
      <c r="FF70" s="18">
        <f>FE70*VLOOKUP('Données projet'!$B$16,Paramètres!$A$1:$I$89,3,0)*VLOOKUP('Données projet'!$B$16,Paramètres!$A$1:$I$89,5,0)</f>
        <v>268.30127999999996</v>
      </c>
      <c r="FG70" s="14">
        <f t="shared" si="101"/>
        <v>64.488625713042012</v>
      </c>
      <c r="FH70" s="22">
        <f t="shared" si="76"/>
        <v>579.60908578354815</v>
      </c>
      <c r="FI70" s="60">
        <f t="shared" si="77"/>
        <v>844.56315309176512</v>
      </c>
      <c r="FJ70" s="60">
        <f ca="1">AVERAGE(OFFSET($FI$3,0,0,'Données projet'!$E$16+1,1))-AVERAGE(OFFSET($H$3,0,0,'Données projet'!$E$16+1,1))</f>
        <v>603.52431522262032</v>
      </c>
      <c r="FK70" s="60">
        <f t="shared" si="102"/>
        <v>313.56299786481338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>
        <f>EXP(-LN(2)/35)*FQ69+(1-EXP(-LN(2)/35))/(LN(2)/35)*FM70*FN70*VLOOKUP('Données projet'!$B$16,Paramètres!$A$1:$I$89,3,0)*0.475*44/12</f>
        <v>0</v>
      </c>
      <c r="FR70" s="23">
        <f>EXP(-LN(2)/25)*FR69+(1-EXP(-LN(2)/25))/(LN(2)/25)*Calculateur!FM70*Calculateur!FO70*VLOOKUP('Données projet'!$B$16,Paramètres!$A$1:$I$89,3,0)*0.475*44/12</f>
        <v>0</v>
      </c>
      <c r="FS70" s="23">
        <f>EXP(-LN(2)/2)*FS69+(1-EXP(-LN(2)/2))/(LN(2)/2)*FM70*FP70*VLOOKUP('Données projet'!$B$16,Paramètres!$A$1:$I$89,3,0)*0.475*44/12</f>
        <v>0</v>
      </c>
      <c r="FT70" s="24">
        <f t="shared" si="78"/>
        <v>0</v>
      </c>
      <c r="FU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5.2564102564102537</v>
      </c>
      <c r="FZ70" s="13">
        <f>IF('Données projet'!$A$244&gt;35,FZ69+FY70-GH69,IF(A70&lt;'Données projet'!$A$244,$FW$205^A70,IF(A70='Données projet'!$A$244,'Données projet'!$B$244,FZ69+FY70-GH69)))</f>
        <v>293.20512820512818</v>
      </c>
      <c r="GA70" s="18">
        <f>FZ70*VLOOKUP('Données projet'!$B$17,Paramètres!$A$1:$I$89,3,0)*VLOOKUP('Données projet'!$B$17,Paramètres!$A$1:$I$89,5,0)</f>
        <v>196.68199999999999</v>
      </c>
      <c r="GB70" s="14">
        <f t="shared" si="103"/>
        <v>49.014263299588542</v>
      </c>
      <c r="GC70" s="22">
        <f t="shared" si="79"/>
        <v>427.92099191345005</v>
      </c>
      <c r="GD70" s="60">
        <f t="shared" si="80"/>
        <v>692.87505922166702</v>
      </c>
      <c r="GE70" s="60">
        <f ca="1">AVERAGE(OFFSET($GD$3,0,0,'Données projet'!$E$17+1,1))-AVERAGE(OFFSET($H$3,0,0,'Données projet'!$E$17+1,1))</f>
        <v>396.0878652679051</v>
      </c>
      <c r="GF70" s="60">
        <f t="shared" si="104"/>
        <v>327.26339199235406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>
        <f>EXP(-LN(2)/35)*GL69+(1-EXP(-LN(2)/35))/(LN(2)/35)*GH70*GI70*VLOOKUP('Données projet'!$B$17,Paramètres!$A$1:$I$89,3,0)*0.475*44/12</f>
        <v>0</v>
      </c>
      <c r="GM70" s="23">
        <f>EXP(-LN(2)/25)*GM69+(1-EXP(-LN(2)/25))/(LN(2)/25)*Calculateur!GH70*Calculateur!GJ70*VLOOKUP('Données projet'!$B$17,Paramètres!$A$1:$I$89,3,0)*0.475*44/12</f>
        <v>0</v>
      </c>
      <c r="GN70" s="23">
        <f>EXP(-LN(2)/2)*GN69+(1-EXP(-LN(2)/2))/(LN(2)/2)*GH70*GK70*VLOOKUP('Données projet'!$B$17,Paramètres!$A$1:$I$89,3,0)*0.475*44/12</f>
        <v>0</v>
      </c>
      <c r="GO70" s="23">
        <f t="shared" si="81"/>
        <v>0</v>
      </c>
      <c r="GP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-1.1368683772161603E-13</v>
      </c>
      <c r="GV70" s="18">
        <f>GU70*VLOOKUP('Données projet'!$B$18,Paramètres!$A$1:$I$89,3,0)*VLOOKUP('Données projet'!$B$18,Paramètres!$A$1:$I$89,5,0)</f>
        <v>-9.2222762759774927E-14</v>
      </c>
      <c r="GW70" s="14" t="e">
        <f t="shared" si="105"/>
        <v>#NUM!</v>
      </c>
      <c r="GX70" s="22" t="e">
        <f t="shared" si="82"/>
        <v>#NUM!</v>
      </c>
      <c r="GY70" s="60" t="e">
        <f t="shared" si="83"/>
        <v>#NUM!</v>
      </c>
      <c r="GZ70" s="60">
        <f ca="1">AVERAGE(OFFSET($GY$3,0,0,'Données projet'!$E$18+1,1))-AVERAGE(OFFSET($H$3,0,0,'Données projet'!$E$18+1,1))</f>
        <v>272.69564942740931</v>
      </c>
      <c r="HA70" s="60">
        <f t="shared" si="106"/>
        <v>316.57989180609252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>
        <f>EXP(-LN(2)/35)*HG69+(1-EXP(-LN(2)/35))/(LN(2)/35)*HC70*HD70*VLOOKUP('Données projet'!$B$18,Paramètres!$A$1:$I$89,3,0)*0.475*44/12</f>
        <v>0</v>
      </c>
      <c r="HH70" s="23">
        <f>EXP(-LN(2)/25)*HH69+(1-EXP(-LN(2)/25))/(LN(2)/25)*Calculateur!HC70*Calculateur!HE70*VLOOKUP('Données projet'!$B$18,Paramètres!$A$1:$I$89,3,0)*0.475*44/12</f>
        <v>0</v>
      </c>
      <c r="HI70" s="23">
        <f>EXP(-LN(2)/2)*HI69+(1-EXP(-LN(2)/2))/(LN(2)/2)*HC70*HF70*VLOOKUP('Données projet'!$B$18,Paramètres!$A$1:$I$89,3,0)*0.475*44/12</f>
        <v>0</v>
      </c>
      <c r="HJ70" s="24">
        <f t="shared" si="84"/>
        <v>0</v>
      </c>
    </row>
    <row r="71" spans="1:218" s="5" customFormat="1" x14ac:dyDescent="0.25">
      <c r="A71" s="11">
        <f t="shared" si="85"/>
        <v>68</v>
      </c>
      <c r="B71" s="75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8">
        <f t="shared" si="56"/>
        <v>183.33333333333334</v>
      </c>
      <c r="I71" s="7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8.1999999999999993</v>
      </c>
      <c r="N71" s="14">
        <f>IF('Données projet'!$A$36&gt;35,N70+M71-V70,IF(A71&lt;'Données projet'!$A$36,$K$205^A71,IF(A71='Données projet'!$A$36,'Données projet'!$B$36,N70+M71-V70)))</f>
        <v>285.59999999999997</v>
      </c>
      <c r="O71" s="14">
        <f>N71*VLOOKUP('Données projet'!$B$9,Paramètres!$A$1:$I$89,3,0)*VLOOKUP('Données projet'!$B$9,Paramètres!$A$1:$I$89,5,0)</f>
        <v>258.41087999999996</v>
      </c>
      <c r="P71" s="14">
        <f t="shared" si="87"/>
        <v>62.383521020316756</v>
      </c>
      <c r="Q71" s="22">
        <f t="shared" si="54"/>
        <v>558.71691511038489</v>
      </c>
      <c r="R71" s="60">
        <f t="shared" si="55"/>
        <v>824.16329923760372</v>
      </c>
      <c r="S71" s="60">
        <f ca="1">AVERAGE(OFFSET($R$3,0,0,'Données projet'!$E$9+1,1))-AVERAGE(OFFSET($H$3,0,0,'Données projet'!$E$9+1,1))</f>
        <v>570.08763950759544</v>
      </c>
      <c r="T71" s="60">
        <f t="shared" si="88"/>
        <v>297.32483725004136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4.5</v>
      </c>
      <c r="AI71" s="14">
        <f>IF('Données projet'!$A$62&gt;35,AI70+AH71-AQ70,IF(A71&lt;'Données projet'!$A$62,$AF$205^A71,IF(A71='Données projet'!$A$62,'Données projet'!$B$62,AI70+AH71-AQ70)))</f>
        <v>319.49999999999989</v>
      </c>
      <c r="AJ71" s="14">
        <f>AI71*VLOOKUP('Données projet'!$B$10,Paramètres!$A$1:$I$89,3,0)*VLOOKUP('Données projet'!$B$10,Paramètres!$A$1:$I$89,5,0)</f>
        <v>254.19419999999991</v>
      </c>
      <c r="AK71" s="14">
        <f t="shared" si="89"/>
        <v>61.483194145885243</v>
      </c>
      <c r="AL71" s="22">
        <f t="shared" si="58"/>
        <v>549.80479480408326</v>
      </c>
      <c r="AM71" s="60">
        <f t="shared" si="59"/>
        <v>815.25117893130209</v>
      </c>
      <c r="AN71" s="60">
        <f ca="1">AVERAGE(OFFSET($AM$3,0,0,'Données projet'!$E$10+1,1))-AVERAGE(OFFSET($H$3,0,0,'Données projet'!$E$10+1,1))</f>
        <v>394.49874384716014</v>
      </c>
      <c r="AO71" s="60">
        <f t="shared" si="90"/>
        <v>423.72519584013378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3.7599999999999909</v>
      </c>
      <c r="BD71" s="13">
        <f>IF('Données projet'!$A$88&gt;35,BD70+BC71-BL70,IF(A71&lt;'Données projet'!$A$88,$BA$205^A71,IF(A71='Données projet'!$A$88,'Données projet'!$B$88,BD70+BC71-BL70)))</f>
        <v>266.0800000000001</v>
      </c>
      <c r="BE71" s="14">
        <f>BD71*VLOOKUP('Données projet'!$B$11,Paramètres!$A$1:$I$89,3,0)*VLOOKUP('Données projet'!$B$11,Paramètres!$A$1:$I$89,5,0)</f>
        <v>232.44748800000013</v>
      </c>
      <c r="BF71" s="14">
        <f t="shared" si="91"/>
        <v>56.811559202463812</v>
      </c>
      <c r="BG71" s="22">
        <f t="shared" si="61"/>
        <v>503.79284054429132</v>
      </c>
      <c r="BH71" s="60">
        <f t="shared" si="62"/>
        <v>769.2392246715101</v>
      </c>
      <c r="BI71" s="60">
        <f ca="1">AVERAGE(OFFSET($BH$3,0,0,'Données projet'!$E$11+1,1))-AVERAGE(OFFSET($H$3,0,0,'Données projet'!$E$11+1,1))</f>
        <v>363.28611056308665</v>
      </c>
      <c r="BJ71" s="60">
        <f t="shared" si="92"/>
        <v>389.43647559455974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4.7435897435897401</v>
      </c>
      <c r="BY71" s="13">
        <f>IF('Données projet'!$A$114&gt;35,BY70+BX71-CG70,IF(A71&lt;'Données projet'!$A$114,$BV$205^A71,IF(A71='Données projet'!$A$114,'Données projet'!$B$114,BY70+BX71-CG70)))</f>
        <v>214.23076923076917</v>
      </c>
      <c r="BZ71" s="14">
        <f>BY71*VLOOKUP('Données projet'!$B$12,Paramètres!$A$1:$I$89,3,0)*VLOOKUP('Données projet'!$B$12,Paramètres!$A$1:$I$89,5,0)</f>
        <v>203.86199999999994</v>
      </c>
      <c r="CA71" s="14">
        <f t="shared" si="93"/>
        <v>50.591971357727658</v>
      </c>
      <c r="CB71" s="22">
        <f t="shared" si="64"/>
        <v>443.17400011470886</v>
      </c>
      <c r="CC71" s="60">
        <f t="shared" si="65"/>
        <v>708.6203842419277</v>
      </c>
      <c r="CD71" s="60">
        <f ca="1">AVERAGE(OFFSET($CC$3,0,0,'Données projet'!$E$12+1,1))-AVERAGE(OFFSET($H$3,0,0,'Données projet'!$E$12+1,1))</f>
        <v>441.15969139782891</v>
      </c>
      <c r="CE71" s="60">
        <f t="shared" si="94"/>
        <v>315.06466790224783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4.5</v>
      </c>
      <c r="CT71" s="13">
        <f>IF('Données projet'!$A$140&gt;35,CT70+CS71-DB70,IF(A71&lt;'Données projet'!$A$140,$CQ$205^A71,IF(A71='Données projet'!$A$140,'Données projet'!$B$140,CT70+CS71-DB70)))</f>
        <v>319.49999999999989</v>
      </c>
      <c r="CU71" s="18">
        <f>CT71*VLOOKUP('Données projet'!$B$13,Paramètres!$A$1:$I$89,3,0)*VLOOKUP('Données projet'!$B$13,Paramètres!$A$1:$I$89,5,0)</f>
        <v>234.2573999999999</v>
      </c>
      <c r="CV71" s="14">
        <f t="shared" si="95"/>
        <v>57.202245999692629</v>
      </c>
      <c r="CW71" s="22">
        <f t="shared" si="67"/>
        <v>507.62555011613114</v>
      </c>
      <c r="CX71" s="60">
        <f t="shared" si="68"/>
        <v>773.07193424334992</v>
      </c>
      <c r="CY71" s="60">
        <f ca="1">AVERAGE(OFFSET($CX$3,0,0,'Données projet'!$E$13+1,1))-AVERAGE(OFFSET($H$3,0,0,'Données projet'!$E$13+1,1))</f>
        <v>368.35775920359396</v>
      </c>
      <c r="CZ71" s="60">
        <f t="shared" si="96"/>
        <v>395.5218438652638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8.6666666666666661</v>
      </c>
      <c r="DO71" s="13">
        <f>IF('Données projet'!$A$166&gt;35,DO70+DN71-DW70,IF(A71&lt;'Données projet'!$A$166,$DL$205^A71,IF(A71='Données projet'!$A$166,'Données projet'!$B$166,DO70+DN71-DW70)))</f>
        <v>319.33333333333343</v>
      </c>
      <c r="DP71" s="18">
        <f>DO71*VLOOKUP('Données projet'!$B$14,Paramètres!$A$1:$I$89,3,0)*VLOOKUP('Données projet'!$B$14,Paramètres!$A$1:$I$89,5,0)</f>
        <v>249.08000000000007</v>
      </c>
      <c r="DQ71" s="14">
        <f t="shared" si="97"/>
        <v>60.388894447487807</v>
      </c>
      <c r="DR71" s="22">
        <f t="shared" si="70"/>
        <v>538.99165782937473</v>
      </c>
      <c r="DS71" s="60">
        <f t="shared" si="71"/>
        <v>804.43804195659357</v>
      </c>
      <c r="DT71" s="60">
        <f ca="1">AVERAGE(OFFSET($DS$3,0,0,'Données projet'!$E$14+1,1))-AVERAGE(OFFSET($H$3,0,0,'Données projet'!$E$14+1,1))</f>
        <v>312.59632808777332</v>
      </c>
      <c r="DU71" s="60">
        <f t="shared" si="98"/>
        <v>302.59481222418219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0</v>
      </c>
      <c r="EE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13.777777777777779</v>
      </c>
      <c r="EJ71" s="13">
        <f>IF('Données projet'!$A$192&gt;35,EJ70+EI71-ER70,IF(A71&lt;'Données projet'!$A$192,$EG$205^A71,IF(A71='Données projet'!$A$192,'Données projet'!$B$192,EJ70+EI71-ER70)))</f>
        <v>344.222222222222</v>
      </c>
      <c r="EK71" s="18">
        <f>EJ71*VLOOKUP('Données projet'!$B$15,Paramètres!$A$1:$I$89,3,0)*VLOOKUP('Données projet'!$B$15,Paramètres!$A$1:$I$89,5,0)</f>
        <v>295.3426666666665</v>
      </c>
      <c r="EL71" s="14">
        <f t="shared" si="99"/>
        <v>70.199220220485287</v>
      </c>
      <c r="EM71" s="22">
        <f t="shared" si="73"/>
        <v>636.65211966178947</v>
      </c>
      <c r="EN71" s="60">
        <f t="shared" si="74"/>
        <v>902.0985037890083</v>
      </c>
      <c r="EO71" s="60">
        <f ca="1">AVERAGE(OFFSET($EN$3,0,0,'Données projet'!$E$15+1,1))-AVERAGE(OFFSET($H$3,0,0,'Données projet'!$E$15+1,1))</f>
        <v>478.11504516179713</v>
      </c>
      <c r="EP71" s="60">
        <f t="shared" si="100"/>
        <v>249.93713224442419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0</v>
      </c>
      <c r="EW71" s="23">
        <f>EXP(-LN(2)/25)*EW70+(1-EXP(-LN(2)/25))/(LN(2)/25)*Calculateur!ER71*Calculateur!ET71*VLOOKUP('Données projet'!$B$15,Paramètres!$A$1:$I$89,3,0)*0.475*44/12</f>
        <v>0</v>
      </c>
      <c r="EX71" s="23">
        <f>EXP(-LN(2)/2)*EX70+(1-EXP(-LN(2)/2))/(LN(2)/2)*ER71*EU71*VLOOKUP('Données projet'!$B$15,Paramètres!$A$1:$I$89,3,0)*0.475*44/12</f>
        <v>0</v>
      </c>
      <c r="EY71" s="24">
        <f t="shared" si="75"/>
        <v>0</v>
      </c>
      <c r="EZ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8.1999999999999993</v>
      </c>
      <c r="FE71" s="13">
        <f>IF('Données projet'!$A$218&gt;35,FE70+FD71-FM70,IF(A71&lt;'Données projet'!$A$218,$FB$205^A71,IF(A71='Données projet'!$A$218,'Données projet'!$B$218,FE70+FD71-FM70)))</f>
        <v>285.59999999999997</v>
      </c>
      <c r="FF71" s="18">
        <f>FE71*VLOOKUP('Données projet'!$B$16,Paramètres!$A$1:$I$89,3,0)*VLOOKUP('Données projet'!$B$16,Paramètres!$A$1:$I$89,5,0)</f>
        <v>276.23231999999996</v>
      </c>
      <c r="FG71" s="14">
        <f t="shared" si="101"/>
        <v>66.170163093943458</v>
      </c>
      <c r="FH71" s="22">
        <f t="shared" si="76"/>
        <v>596.35099138861813</v>
      </c>
      <c r="FI71" s="60">
        <f t="shared" si="77"/>
        <v>861.79737551583696</v>
      </c>
      <c r="FJ71" s="60">
        <f ca="1">AVERAGE(OFFSET($FI$3,0,0,'Données projet'!$E$16+1,1))-AVERAGE(OFFSET($H$3,0,0,'Données projet'!$E$16+1,1))</f>
        <v>603.52431522262032</v>
      </c>
      <c r="FK71" s="60">
        <f t="shared" si="102"/>
        <v>313.56299786481338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>
        <f>EXP(-LN(2)/35)*FQ70+(1-EXP(-LN(2)/35))/(LN(2)/35)*FM71*FN71*VLOOKUP('Données projet'!$B$16,Paramètres!$A$1:$I$89,3,0)*0.475*44/12</f>
        <v>0</v>
      </c>
      <c r="FR71" s="23">
        <f>EXP(-LN(2)/25)*FR70+(1-EXP(-LN(2)/25))/(LN(2)/25)*Calculateur!FM71*Calculateur!FO71*VLOOKUP('Données projet'!$B$16,Paramètres!$A$1:$I$89,3,0)*0.475*44/12</f>
        <v>0</v>
      </c>
      <c r="FS71" s="23">
        <f>EXP(-LN(2)/2)*FS70+(1-EXP(-LN(2)/2))/(LN(2)/2)*FM71*FP71*VLOOKUP('Données projet'!$B$16,Paramètres!$A$1:$I$89,3,0)*0.475*44/12</f>
        <v>0</v>
      </c>
      <c r="FT71" s="24">
        <f t="shared" si="78"/>
        <v>0</v>
      </c>
      <c r="FU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5.2564102564102537</v>
      </c>
      <c r="FZ71" s="13">
        <f>IF('Données projet'!$A$244&gt;35,FZ70+FY71-GH70,IF(A71&lt;'Données projet'!$A$244,$FW$205^A71,IF(A71='Données projet'!$A$244,'Données projet'!$B$244,FZ70+FY71-GH70)))</f>
        <v>298.46153846153845</v>
      </c>
      <c r="GA71" s="18">
        <f>FZ71*VLOOKUP('Données projet'!$B$17,Paramètres!$A$1:$I$89,3,0)*VLOOKUP('Données projet'!$B$17,Paramètres!$A$1:$I$89,5,0)</f>
        <v>200.208</v>
      </c>
      <c r="GB71" s="14">
        <f t="shared" si="103"/>
        <v>49.789877064057393</v>
      </c>
      <c r="GC71" s="22">
        <f t="shared" si="79"/>
        <v>435.41296921989988</v>
      </c>
      <c r="GD71" s="60">
        <f t="shared" si="80"/>
        <v>700.85935334711871</v>
      </c>
      <c r="GE71" s="60">
        <f ca="1">AVERAGE(OFFSET($GD$3,0,0,'Données projet'!$E$17+1,1))-AVERAGE(OFFSET($H$3,0,0,'Données projet'!$E$17+1,1))</f>
        <v>396.0878652679051</v>
      </c>
      <c r="GF71" s="60">
        <f t="shared" si="104"/>
        <v>327.26339199235406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>
        <f>EXP(-LN(2)/35)*GL70+(1-EXP(-LN(2)/35))/(LN(2)/35)*GH71*GI71*VLOOKUP('Données projet'!$B$17,Paramètres!$A$1:$I$89,3,0)*0.475*44/12</f>
        <v>0</v>
      </c>
      <c r="GM71" s="23">
        <f>EXP(-LN(2)/25)*GM70+(1-EXP(-LN(2)/25))/(LN(2)/25)*Calculateur!GH71*Calculateur!GJ71*VLOOKUP('Données projet'!$B$17,Paramètres!$A$1:$I$89,3,0)*0.475*44/12</f>
        <v>0</v>
      </c>
      <c r="GN71" s="23">
        <f>EXP(-LN(2)/2)*GN70+(1-EXP(-LN(2)/2))/(LN(2)/2)*GH71*GK71*VLOOKUP('Données projet'!$B$17,Paramètres!$A$1:$I$89,3,0)*0.475*44/12</f>
        <v>0</v>
      </c>
      <c r="GO71" s="23">
        <f t="shared" si="81"/>
        <v>0</v>
      </c>
      <c r="GP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-1.1368683772161603E-13</v>
      </c>
      <c r="GV71" s="18">
        <f>GU71*VLOOKUP('Données projet'!$B$18,Paramètres!$A$1:$I$89,3,0)*VLOOKUP('Données projet'!$B$18,Paramètres!$A$1:$I$89,5,0)</f>
        <v>-9.2222762759774927E-14</v>
      </c>
      <c r="GW71" s="14" t="e">
        <f t="shared" si="105"/>
        <v>#NUM!</v>
      </c>
      <c r="GX71" s="22" t="e">
        <f t="shared" si="82"/>
        <v>#NUM!</v>
      </c>
      <c r="GY71" s="60" t="e">
        <f t="shared" si="83"/>
        <v>#NUM!</v>
      </c>
      <c r="GZ71" s="60">
        <f ca="1">AVERAGE(OFFSET($GY$3,0,0,'Données projet'!$E$18+1,1))-AVERAGE(OFFSET($H$3,0,0,'Données projet'!$E$18+1,1))</f>
        <v>272.69564942740931</v>
      </c>
      <c r="HA71" s="60">
        <f t="shared" si="106"/>
        <v>316.57989180609252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>
        <f>EXP(-LN(2)/35)*HG70+(1-EXP(-LN(2)/35))/(LN(2)/35)*HC71*HD71*VLOOKUP('Données projet'!$B$18,Paramètres!$A$1:$I$89,3,0)*0.475*44/12</f>
        <v>0</v>
      </c>
      <c r="HH71" s="23">
        <f>EXP(-LN(2)/25)*HH70+(1-EXP(-LN(2)/25))/(LN(2)/25)*Calculateur!HC71*Calculateur!HE71*VLOOKUP('Données projet'!$B$18,Paramètres!$A$1:$I$89,3,0)*0.475*44/12</f>
        <v>0</v>
      </c>
      <c r="HI71" s="23">
        <f>EXP(-LN(2)/2)*HI70+(1-EXP(-LN(2)/2))/(LN(2)/2)*HC71*HF71*VLOOKUP('Données projet'!$B$18,Paramètres!$A$1:$I$89,3,0)*0.475*44/12</f>
        <v>0</v>
      </c>
      <c r="HJ71" s="24">
        <f t="shared" si="84"/>
        <v>0</v>
      </c>
    </row>
    <row r="72" spans="1:218" s="5" customFormat="1" x14ac:dyDescent="0.25">
      <c r="A72" s="11">
        <f t="shared" si="85"/>
        <v>69</v>
      </c>
      <c r="B72" s="75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8">
        <f t="shared" si="56"/>
        <v>183.33333333333334</v>
      </c>
      <c r="I72" s="7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8.1999999999999993</v>
      </c>
      <c r="N72" s="14">
        <f>IF('Données projet'!$A$36&gt;35,N71+M72-V71,IF(A72&lt;'Données projet'!$A$36,$K$205^A72,IF(A72='Données projet'!$A$36,'Données projet'!$B$36,N71+M72-V71)))</f>
        <v>293.79999999999995</v>
      </c>
      <c r="O72" s="14">
        <f>N72*VLOOKUP('Données projet'!$B$9,Paramètres!$A$1:$I$89,3,0)*VLOOKUP('Données projet'!$B$9,Paramètres!$A$1:$I$89,5,0)</f>
        <v>265.83023999999995</v>
      </c>
      <c r="P72" s="14">
        <f t="shared" si="87"/>
        <v>63.963540982526439</v>
      </c>
      <c r="Q72" s="22">
        <f t="shared" si="54"/>
        <v>574.39083521123348</v>
      </c>
      <c r="R72" s="60">
        <f t="shared" si="55"/>
        <v>840.32099556130004</v>
      </c>
      <c r="S72" s="60">
        <f ca="1">AVERAGE(OFFSET($R$3,0,0,'Données projet'!$E$9+1,1))-AVERAGE(OFFSET($H$3,0,0,'Données projet'!$E$9+1,1))</f>
        <v>570.08763950759544</v>
      </c>
      <c r="T72" s="60">
        <f t="shared" si="88"/>
        <v>297.32483725004136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4.5</v>
      </c>
      <c r="AI72" s="14">
        <f>IF('Données projet'!$A$62&gt;35,AI71+AH72-AQ71,IF(A72&lt;'Données projet'!$A$62,$AF$205^A72,IF(A72='Données projet'!$A$62,'Données projet'!$B$62,AI71+AH72-AQ71)))</f>
        <v>323.99999999999989</v>
      </c>
      <c r="AJ72" s="14">
        <f>AI72*VLOOKUP('Données projet'!$B$10,Paramètres!$A$1:$I$89,3,0)*VLOOKUP('Données projet'!$B$10,Paramètres!$A$1:$I$89,5,0)</f>
        <v>257.77439999999996</v>
      </c>
      <c r="AK72" s="14">
        <f t="shared" si="89"/>
        <v>62.247732872134293</v>
      </c>
      <c r="AL72" s="22">
        <f t="shared" si="58"/>
        <v>557.37188141896718</v>
      </c>
      <c r="AM72" s="60">
        <f t="shared" si="59"/>
        <v>823.30204176903374</v>
      </c>
      <c r="AN72" s="60">
        <f ca="1">AVERAGE(OFFSET($AM$3,0,0,'Données projet'!$E$10+1,1))-AVERAGE(OFFSET($H$3,0,0,'Données projet'!$E$10+1,1))</f>
        <v>394.49874384716014</v>
      </c>
      <c r="AO72" s="60">
        <f t="shared" si="90"/>
        <v>423.72519584013378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3.7599999999999909</v>
      </c>
      <c r="BD72" s="13">
        <f>IF('Données projet'!$A$88&gt;35,BD71+BC72-BL71,IF(A72&lt;'Données projet'!$A$88,$BA$205^A72,IF(A72='Données projet'!$A$88,'Données projet'!$B$88,BD71+BC72-BL71)))</f>
        <v>269.84000000000009</v>
      </c>
      <c r="BE72" s="14">
        <f>BD72*VLOOKUP('Données projet'!$B$11,Paramètres!$A$1:$I$89,3,0)*VLOOKUP('Données projet'!$B$11,Paramètres!$A$1:$I$89,5,0)</f>
        <v>235.73222400000009</v>
      </c>
      <c r="BF72" s="14">
        <f t="shared" si="91"/>
        <v>57.520341025473186</v>
      </c>
      <c r="BG72" s="22">
        <f t="shared" si="61"/>
        <v>510.7482174193658</v>
      </c>
      <c r="BH72" s="60">
        <f t="shared" si="62"/>
        <v>776.67837776943236</v>
      </c>
      <c r="BI72" s="60">
        <f ca="1">AVERAGE(OFFSET($BH$3,0,0,'Données projet'!$E$11+1,1))-AVERAGE(OFFSET($H$3,0,0,'Données projet'!$E$11+1,1))</f>
        <v>363.28611056308665</v>
      </c>
      <c r="BJ72" s="60">
        <f t="shared" si="92"/>
        <v>389.43647559455974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4.7435897435897401</v>
      </c>
      <c r="BY72" s="13">
        <f>IF('Données projet'!$A$114&gt;35,BY71+BX72-CG71,IF(A72&lt;'Données projet'!$A$114,$BV$205^A72,IF(A72='Données projet'!$A$114,'Données projet'!$B$114,BY71+BX72-CG71)))</f>
        <v>218.97435897435892</v>
      </c>
      <c r="BZ72" s="14">
        <f>BY72*VLOOKUP('Données projet'!$B$12,Paramètres!$A$1:$I$89,3,0)*VLOOKUP('Données projet'!$B$12,Paramètres!$A$1:$I$89,5,0)</f>
        <v>208.37599999999995</v>
      </c>
      <c r="CA72" s="14">
        <f t="shared" si="93"/>
        <v>51.580540650922785</v>
      </c>
      <c r="CB72" s="22">
        <f t="shared" si="64"/>
        <v>452.75764163369041</v>
      </c>
      <c r="CC72" s="60">
        <f t="shared" si="65"/>
        <v>718.68780198375703</v>
      </c>
      <c r="CD72" s="60">
        <f ca="1">AVERAGE(OFFSET($CC$3,0,0,'Données projet'!$E$12+1,1))-AVERAGE(OFFSET($H$3,0,0,'Données projet'!$E$12+1,1))</f>
        <v>441.15969139782891</v>
      </c>
      <c r="CE72" s="60">
        <f t="shared" si="94"/>
        <v>315.06466790224783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4.5</v>
      </c>
      <c r="CT72" s="13">
        <f>IF('Données projet'!$A$140&gt;35,CT71+CS72-DB71,IF(A72&lt;'Données projet'!$A$140,$CQ$205^A72,IF(A72='Données projet'!$A$140,'Données projet'!$B$140,CT71+CS72-DB71)))</f>
        <v>323.99999999999989</v>
      </c>
      <c r="CU72" s="18">
        <f>CT72*VLOOKUP('Données projet'!$B$13,Paramètres!$A$1:$I$89,3,0)*VLOOKUP('Données projet'!$B$13,Paramètres!$A$1:$I$89,5,0)</f>
        <v>237.55679999999992</v>
      </c>
      <c r="CV72" s="14">
        <f t="shared" si="95"/>
        <v>57.913551469467308</v>
      </c>
      <c r="CW72" s="22">
        <f t="shared" si="67"/>
        <v>514.61086214265538</v>
      </c>
      <c r="CX72" s="60">
        <f t="shared" si="68"/>
        <v>780.54102249272194</v>
      </c>
      <c r="CY72" s="60">
        <f ca="1">AVERAGE(OFFSET($CX$3,0,0,'Données projet'!$E$13+1,1))-AVERAGE(OFFSET($H$3,0,0,'Données projet'!$E$13+1,1))</f>
        <v>368.35775920359396</v>
      </c>
      <c r="CZ72" s="60">
        <f t="shared" si="96"/>
        <v>395.5218438652638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>
        <f>VLOOKUP(A72,'Données projet'!$A$165:$I$185,2,0)</f>
        <v>328</v>
      </c>
      <c r="DM72" s="13">
        <f>VLOOKUP(A72,'Données projet'!$A$165:$I$185,9,0)</f>
        <v>8.6666666666666661</v>
      </c>
      <c r="DN72" s="13">
        <f t="array" ref="DN72">INDEX(DM:DM,MIN(IF(ISNUMBER(DM72:DM268),ROW(DM72:DM268),"")))</f>
        <v>8.6666666666666661</v>
      </c>
      <c r="DO72" s="13">
        <f>IF('Données projet'!$A$166&gt;35,DO71+DN72-DW71,IF(A72&lt;'Données projet'!$A$166,$DL$205^A72,IF(A72='Données projet'!$A$166,'Données projet'!$B$166,DO71+DN72-DW71)))</f>
        <v>328.00000000000011</v>
      </c>
      <c r="DP72" s="18">
        <f>DO72*VLOOKUP('Données projet'!$B$14,Paramètres!$A$1:$I$89,3,0)*VLOOKUP('Données projet'!$B$14,Paramètres!$A$1:$I$89,5,0)</f>
        <v>255.84000000000009</v>
      </c>
      <c r="DQ72" s="14">
        <f t="shared" si="97"/>
        <v>61.834803371075836</v>
      </c>
      <c r="DR72" s="22">
        <f t="shared" si="70"/>
        <v>553.28361587129064</v>
      </c>
      <c r="DS72" s="60">
        <f t="shared" si="71"/>
        <v>819.21377622135719</v>
      </c>
      <c r="DT72" s="60">
        <f ca="1">AVERAGE(OFFSET($DS$3,0,0,'Données projet'!$E$14+1,1))-AVERAGE(OFFSET($H$3,0,0,'Données projet'!$E$14+1,1))</f>
        <v>312.59632808777332</v>
      </c>
      <c r="DU72" s="60">
        <f t="shared" si="98"/>
        <v>302.59481222418219</v>
      </c>
      <c r="DV72" s="16">
        <f>IF(ISNA(VLOOKUP(A72,'Données projet'!$A$165:$I$185,3,0)),0,VLOOKUP(A72,'Données projet'!$A$165:$I$185,3,0))</f>
        <v>7</v>
      </c>
      <c r="DW72" s="16">
        <f>IF(ISNA(VLOOKUP(A72,'Données projet'!$A$165:$I$185,4,0)),0,VLOOKUP(A72,'Données projet'!$A$165:$I$185,4,0))</f>
        <v>328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0</v>
      </c>
      <c r="EE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>
        <f>VLOOKUP(A72,'Données projet'!$A$191:$I$211,2,0)</f>
        <v>358</v>
      </c>
      <c r="EH72" s="13">
        <f>VLOOKUP(A72,'Données projet'!$A$191:$I$211,9,0)</f>
        <v>13.777777777777779</v>
      </c>
      <c r="EI72" s="13">
        <f t="array" ref="EI72">INDEX(EH:EH,MIN(IF(ISNUMBER(EH72:EH268),ROW(EH72:EH268),"")))</f>
        <v>13.777777777777779</v>
      </c>
      <c r="EJ72" s="13">
        <f>IF('Données projet'!$A$192&gt;35,EJ71+EI72-ER71,IF(A72&lt;'Données projet'!$A$192,$EG$205^A72,IF(A72='Données projet'!$A$192,'Données projet'!$B$192,EJ71+EI72-ER71)))</f>
        <v>357.99999999999977</v>
      </c>
      <c r="EK72" s="18">
        <f>EJ72*VLOOKUP('Données projet'!$B$15,Paramètres!$A$1:$I$89,3,0)*VLOOKUP('Données projet'!$B$15,Paramètres!$A$1:$I$89,5,0)</f>
        <v>307.16399999999982</v>
      </c>
      <c r="EL72" s="14">
        <f t="shared" si="99"/>
        <v>72.676244071302918</v>
      </c>
      <c r="EM72" s="22">
        <f t="shared" si="73"/>
        <v>661.55509175751888</v>
      </c>
      <c r="EN72" s="60">
        <f t="shared" si="74"/>
        <v>927.48525210758544</v>
      </c>
      <c r="EO72" s="60">
        <f ca="1">AVERAGE(OFFSET($EN$3,0,0,'Données projet'!$E$15+1,1))-AVERAGE(OFFSET($H$3,0,0,'Données projet'!$E$15+1,1))</f>
        <v>478.11504516179713</v>
      </c>
      <c r="EP72" s="60">
        <f t="shared" si="100"/>
        <v>249.93713224442419</v>
      </c>
      <c r="EQ72" s="16">
        <f>IF(ISNA(VLOOKUP(A72,'Données projet'!$A$191:$I$211,3,0)),0,VLOOKUP(A72,'Données projet'!$A$191:$I$211,3,0))</f>
        <v>8</v>
      </c>
      <c r="ER72" s="16">
        <f>IF(ISNA(VLOOKUP(A72,'Données projet'!$A$191:$I$211,4,0)),0,VLOOKUP(A72,'Données projet'!$A$191:$I$211,4,0))</f>
        <v>84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0</v>
      </c>
      <c r="EW72" s="23">
        <f>EXP(-LN(2)/25)*EW71+(1-EXP(-LN(2)/25))/(LN(2)/25)*Calculateur!ER72*Calculateur!ET72*VLOOKUP('Données projet'!$B$15,Paramètres!$A$1:$I$89,3,0)*0.475*44/12</f>
        <v>0</v>
      </c>
      <c r="EX72" s="23">
        <f>EXP(-LN(2)/2)*EX71+(1-EXP(-LN(2)/2))/(LN(2)/2)*ER72*EU72*VLOOKUP('Données projet'!$B$15,Paramètres!$A$1:$I$89,3,0)*0.475*44/12</f>
        <v>0</v>
      </c>
      <c r="EY72" s="24">
        <f t="shared" si="75"/>
        <v>0</v>
      </c>
      <c r="EZ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8.1999999999999993</v>
      </c>
      <c r="FE72" s="13">
        <f>IF('Données projet'!$A$218&gt;35,FE71+FD72-FM71,IF(A72&lt;'Données projet'!$A$218,$FB$205^A72,IF(A72='Données projet'!$A$218,'Données projet'!$B$218,FE71+FD72-FM71)))</f>
        <v>293.79999999999995</v>
      </c>
      <c r="FF72" s="18">
        <f>FE72*VLOOKUP('Données projet'!$B$16,Paramètres!$A$1:$I$89,3,0)*VLOOKUP('Données projet'!$B$16,Paramètres!$A$1:$I$89,5,0)</f>
        <v>284.16335999999995</v>
      </c>
      <c r="FG72" s="14">
        <f t="shared" si="101"/>
        <v>67.846089314219739</v>
      </c>
      <c r="FH72" s="22">
        <f t="shared" si="76"/>
        <v>613.08312422226595</v>
      </c>
      <c r="FI72" s="60">
        <f t="shared" si="77"/>
        <v>879.01328457233251</v>
      </c>
      <c r="FJ72" s="60">
        <f ca="1">AVERAGE(OFFSET($FI$3,0,0,'Données projet'!$E$16+1,1))-AVERAGE(OFFSET($H$3,0,0,'Données projet'!$E$16+1,1))</f>
        <v>603.52431522262032</v>
      </c>
      <c r="FK72" s="60">
        <f t="shared" si="102"/>
        <v>313.56299786481338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>
        <f>EXP(-LN(2)/35)*FQ71+(1-EXP(-LN(2)/35))/(LN(2)/35)*FM72*FN72*VLOOKUP('Données projet'!$B$16,Paramètres!$A$1:$I$89,3,0)*0.475*44/12</f>
        <v>0</v>
      </c>
      <c r="FR72" s="23">
        <f>EXP(-LN(2)/25)*FR71+(1-EXP(-LN(2)/25))/(LN(2)/25)*Calculateur!FM72*Calculateur!FO72*VLOOKUP('Données projet'!$B$16,Paramètres!$A$1:$I$89,3,0)*0.475*44/12</f>
        <v>0</v>
      </c>
      <c r="FS72" s="23">
        <f>EXP(-LN(2)/2)*FS71+(1-EXP(-LN(2)/2))/(LN(2)/2)*FM72*FP72*VLOOKUP('Données projet'!$B$16,Paramètres!$A$1:$I$89,3,0)*0.475*44/12</f>
        <v>0</v>
      </c>
      <c r="FT72" s="24">
        <f t="shared" si="78"/>
        <v>0</v>
      </c>
      <c r="FU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5.2564102564102537</v>
      </c>
      <c r="FZ72" s="13">
        <f>IF('Données projet'!$A$244&gt;35,FZ71+FY72-GH71,IF(A72&lt;'Données projet'!$A$244,$FW$205^A72,IF(A72='Données projet'!$A$244,'Données projet'!$B$244,FZ71+FY72-GH71)))</f>
        <v>303.71794871794873</v>
      </c>
      <c r="GA72" s="18">
        <f>FZ72*VLOOKUP('Données projet'!$B$17,Paramètres!$A$1:$I$89,3,0)*VLOOKUP('Données projet'!$B$17,Paramètres!$A$1:$I$89,5,0)</f>
        <v>203.73400000000004</v>
      </c>
      <c r="GB72" s="14">
        <f t="shared" si="103"/>
        <v>50.563902362141633</v>
      </c>
      <c r="GC72" s="22">
        <f t="shared" si="79"/>
        <v>442.90217994739669</v>
      </c>
      <c r="GD72" s="60">
        <f t="shared" si="80"/>
        <v>708.83234029746325</v>
      </c>
      <c r="GE72" s="60">
        <f ca="1">AVERAGE(OFFSET($GD$3,0,0,'Données projet'!$E$17+1,1))-AVERAGE(OFFSET($H$3,0,0,'Données projet'!$E$17+1,1))</f>
        <v>396.0878652679051</v>
      </c>
      <c r="GF72" s="60">
        <f t="shared" si="104"/>
        <v>327.26339199235406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>
        <f>EXP(-LN(2)/35)*GL71+(1-EXP(-LN(2)/35))/(LN(2)/35)*GH72*GI72*VLOOKUP('Données projet'!$B$17,Paramètres!$A$1:$I$89,3,0)*0.475*44/12</f>
        <v>0</v>
      </c>
      <c r="GM72" s="23">
        <f>EXP(-LN(2)/25)*GM71+(1-EXP(-LN(2)/25))/(LN(2)/25)*Calculateur!GH72*Calculateur!GJ72*VLOOKUP('Données projet'!$B$17,Paramètres!$A$1:$I$89,3,0)*0.475*44/12</f>
        <v>0</v>
      </c>
      <c r="GN72" s="23">
        <f>EXP(-LN(2)/2)*GN71+(1-EXP(-LN(2)/2))/(LN(2)/2)*GH72*GK72*VLOOKUP('Données projet'!$B$17,Paramètres!$A$1:$I$89,3,0)*0.475*44/12</f>
        <v>0</v>
      </c>
      <c r="GO72" s="23">
        <f t="shared" si="81"/>
        <v>0</v>
      </c>
      <c r="GP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-1.1368683772161603E-13</v>
      </c>
      <c r="GV72" s="18">
        <f>GU72*VLOOKUP('Données projet'!$B$18,Paramètres!$A$1:$I$89,3,0)*VLOOKUP('Données projet'!$B$18,Paramètres!$A$1:$I$89,5,0)</f>
        <v>-9.2222762759774927E-14</v>
      </c>
      <c r="GW72" s="14" t="e">
        <f t="shared" si="105"/>
        <v>#NUM!</v>
      </c>
      <c r="GX72" s="22" t="e">
        <f t="shared" si="82"/>
        <v>#NUM!</v>
      </c>
      <c r="GY72" s="60" t="e">
        <f t="shared" si="83"/>
        <v>#NUM!</v>
      </c>
      <c r="GZ72" s="60">
        <f ca="1">AVERAGE(OFFSET($GY$3,0,0,'Données projet'!$E$18+1,1))-AVERAGE(OFFSET($H$3,0,0,'Données projet'!$E$18+1,1))</f>
        <v>272.69564942740931</v>
      </c>
      <c r="HA72" s="60">
        <f t="shared" si="106"/>
        <v>316.57989180609252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>
        <f>EXP(-LN(2)/35)*HG71+(1-EXP(-LN(2)/35))/(LN(2)/35)*HC72*HD72*VLOOKUP('Données projet'!$B$18,Paramètres!$A$1:$I$89,3,0)*0.475*44/12</f>
        <v>0</v>
      </c>
      <c r="HH72" s="23">
        <f>EXP(-LN(2)/25)*HH71+(1-EXP(-LN(2)/25))/(LN(2)/25)*Calculateur!HC72*Calculateur!HE72*VLOOKUP('Données projet'!$B$18,Paramètres!$A$1:$I$89,3,0)*0.475*44/12</f>
        <v>0</v>
      </c>
      <c r="HI72" s="23">
        <f>EXP(-LN(2)/2)*HI71+(1-EXP(-LN(2)/2))/(LN(2)/2)*HC72*HF72*VLOOKUP('Données projet'!$B$18,Paramètres!$A$1:$I$89,3,0)*0.475*44/12</f>
        <v>0</v>
      </c>
      <c r="HJ72" s="24">
        <f t="shared" si="84"/>
        <v>0</v>
      </c>
    </row>
    <row r="73" spans="1:218" s="5" customFormat="1" x14ac:dyDescent="0.25">
      <c r="A73" s="11">
        <f t="shared" si="85"/>
        <v>70</v>
      </c>
      <c r="B73" s="75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8">
        <f t="shared" si="56"/>
        <v>183.33333333333334</v>
      </c>
      <c r="I73" s="7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302</v>
      </c>
      <c r="L73" s="13">
        <f>VLOOKUP(A73,'Données projet'!$A$35:$I$55,9,0)</f>
        <v>8.1999999999999993</v>
      </c>
      <c r="M73" s="13">
        <f t="array" ref="M73">INDEX(L:L,MIN(IF(ISNUMBER(L73:L269),ROW(L73:L269),"")))</f>
        <v>8.1999999999999993</v>
      </c>
      <c r="N73" s="14">
        <f>IF('Données projet'!$A$36&gt;35,N72+M73-V72,IF(A73&lt;'Données projet'!$A$36,$K$205^A73,IF(A73='Données projet'!$A$36,'Données projet'!$B$36,N72+M73-V72)))</f>
        <v>301.99999999999994</v>
      </c>
      <c r="O73" s="14">
        <f>N73*VLOOKUP('Données projet'!$B$9,Paramètres!$A$1:$I$89,3,0)*VLOOKUP('Données projet'!$B$9,Paramètres!$A$1:$I$89,5,0)</f>
        <v>273.24959999999999</v>
      </c>
      <c r="P73" s="14">
        <f t="shared" si="87"/>
        <v>65.538435495514321</v>
      </c>
      <c r="Q73" s="22">
        <f t="shared" si="54"/>
        <v>590.05582848802067</v>
      </c>
      <c r="R73" s="60">
        <f t="shared" si="55"/>
        <v>856.46137262503021</v>
      </c>
      <c r="S73" s="60">
        <f ca="1">AVERAGE(OFFSET($R$3,0,0,'Données projet'!$E$9+1,1))-AVERAGE(OFFSET($H$3,0,0,'Données projet'!$E$9+1,1))</f>
        <v>570.08763950759544</v>
      </c>
      <c r="T73" s="60">
        <f t="shared" si="88"/>
        <v>297.32483725004136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328.5</v>
      </c>
      <c r="AG73" s="13">
        <f>VLOOKUP(A73,'Données projet'!$A$61:$I$81,9,0)</f>
        <v>4.5</v>
      </c>
      <c r="AH73" s="13">
        <f t="array" ref="AH73">INDEX(AG:AG,MIN(IF(ISNUMBER(AG73:AG269),ROW(AG73:AG269),"")))</f>
        <v>4.5</v>
      </c>
      <c r="AI73" s="14">
        <f>IF('Données projet'!$A$62&gt;35,AI72+AH73-AQ72,IF(A73&lt;'Données projet'!$A$62,$AF$205^A73,IF(A73='Données projet'!$A$62,'Données projet'!$B$62,AI72+AH73-AQ72)))</f>
        <v>328.49999999999989</v>
      </c>
      <c r="AJ73" s="14">
        <f>AI73*VLOOKUP('Données projet'!$B$10,Paramètres!$A$1:$I$89,3,0)*VLOOKUP('Données projet'!$B$10,Paramètres!$A$1:$I$89,5,0)</f>
        <v>261.35459999999989</v>
      </c>
      <c r="AK73" s="14">
        <f t="shared" si="89"/>
        <v>63.01103655068848</v>
      </c>
      <c r="AL73" s="22">
        <f t="shared" si="58"/>
        <v>564.93681699244883</v>
      </c>
      <c r="AM73" s="60">
        <f t="shared" si="59"/>
        <v>831.34236112945837</v>
      </c>
      <c r="AN73" s="60">
        <f ca="1">AVERAGE(OFFSET($AM$3,0,0,'Données projet'!$E$10+1,1))-AVERAGE(OFFSET($H$3,0,0,'Données projet'!$E$10+1,1))</f>
        <v>394.49874384716014</v>
      </c>
      <c r="AO73" s="60">
        <f t="shared" si="90"/>
        <v>423.72519584013378</v>
      </c>
      <c r="AP73" s="16">
        <f>IF(ISNA(VLOOKUP(A73,'Données projet'!$A$61:$I$81,3,0)),0,VLOOKUP(A73,'Données projet'!$A$61:$I$81,3,0))</f>
        <v>6</v>
      </c>
      <c r="AQ73" s="16">
        <f>IF(ISNA(VLOOKUP(A73,'Données projet'!$A$61:$I$81,4,0)),0,VLOOKUP(A73,'Données projet'!$A$61:$I$81,4,0))</f>
        <v>25.9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273.59999999999997</v>
      </c>
      <c r="BB73" s="13">
        <f>VLOOKUP(A73,'Données projet'!$A$87:$I$107,9,0)</f>
        <v>3.7599999999999909</v>
      </c>
      <c r="BC73" s="13">
        <f t="array" ref="BC73">INDEX(BB:BB,MIN(IF(ISNUMBER(BB73:BB269),ROW(BB73:BB269),"")))</f>
        <v>3.7599999999999909</v>
      </c>
      <c r="BD73" s="13">
        <f>IF('Données projet'!$A$88&gt;35,BD72+BC73-BL72,IF(A73&lt;'Données projet'!$A$88,$BA$205^A73,IF(A73='Données projet'!$A$88,'Données projet'!$B$88,BD72+BC73-BL72)))</f>
        <v>273.60000000000008</v>
      </c>
      <c r="BE73" s="14">
        <f>BD73*VLOOKUP('Données projet'!$B$11,Paramètres!$A$1:$I$89,3,0)*VLOOKUP('Données projet'!$B$11,Paramètres!$A$1:$I$89,5,0)</f>
        <v>239.0169600000001</v>
      </c>
      <c r="BF73" s="14">
        <f t="shared" si="91"/>
        <v>58.22797414013467</v>
      </c>
      <c r="BG73" s="22">
        <f t="shared" si="61"/>
        <v>517.70159362740139</v>
      </c>
      <c r="BH73" s="60">
        <f t="shared" si="62"/>
        <v>784.10713776441094</v>
      </c>
      <c r="BI73" s="60">
        <f ca="1">AVERAGE(OFFSET($BH$3,0,0,'Données projet'!$E$11+1,1))-AVERAGE(OFFSET($H$3,0,0,'Données projet'!$E$11+1,1))</f>
        <v>363.28611056308665</v>
      </c>
      <c r="BJ73" s="60">
        <f t="shared" si="92"/>
        <v>389.43647559455974</v>
      </c>
      <c r="BK73" s="16">
        <f>IF(ISNA(VLOOKUP(A73,'Données projet'!$A$87:$I$107,3,0)),0,VLOOKUP(A73,'Données projet'!$A$87:$I$107,3,0))</f>
        <v>6</v>
      </c>
      <c r="BL73" s="16">
        <f>IF(ISNA(VLOOKUP(A73,'Données projet'!$A$87:$I$107,4,0)),0,VLOOKUP(A73,'Données projet'!$A$87:$I$107,4,0))</f>
        <v>20.9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223.7179487179487</v>
      </c>
      <c r="BW73" s="13">
        <f>VLOOKUP(A73,'Données projet'!$A$113:$I$133,9,0)</f>
        <v>4.7435897435897401</v>
      </c>
      <c r="BX73" s="13">
        <f t="array" ref="BX73">INDEX(BW:BW,MIN(IF(ISNUMBER(BW73:BW269),ROW(BW73:BW269),"")))</f>
        <v>4.7435897435897401</v>
      </c>
      <c r="BY73" s="13">
        <f>IF('Données projet'!$A$114&gt;35,BY72+BX73-CG72,IF(A73&lt;'Données projet'!$A$114,$BV$205^A73,IF(A73='Données projet'!$A$114,'Données projet'!$B$114,BY72+BX73-CG72)))</f>
        <v>223.71794871794867</v>
      </c>
      <c r="BZ73" s="14">
        <f>BY73*VLOOKUP('Données projet'!$B$12,Paramètres!$A$1:$I$89,3,0)*VLOOKUP('Données projet'!$B$12,Paramètres!$A$1:$I$89,5,0)</f>
        <v>212.89</v>
      </c>
      <c r="CA73" s="14">
        <f t="shared" si="93"/>
        <v>52.566620155786865</v>
      </c>
      <c r="CB73" s="22">
        <f t="shared" si="64"/>
        <v>462.33694677132871</v>
      </c>
      <c r="CC73" s="60">
        <f t="shared" si="65"/>
        <v>728.74249090833814</v>
      </c>
      <c r="CD73" s="60">
        <f ca="1">AVERAGE(OFFSET($CC$3,0,0,'Données projet'!$E$12+1,1))-AVERAGE(OFFSET($H$3,0,0,'Données projet'!$E$12+1,1))</f>
        <v>441.15969139782891</v>
      </c>
      <c r="CE73" s="60">
        <f t="shared" si="94"/>
        <v>315.06466790224783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328.5</v>
      </c>
      <c r="CR73" s="13">
        <f>VLOOKUP(A73,'Données projet'!$A$139:$I$159,9,0)</f>
        <v>4.5</v>
      </c>
      <c r="CS73" s="13">
        <f t="array" ref="CS73">INDEX(CR:CR,MIN(IF(ISNUMBER(CR73:CR269),ROW(CR73:CR269),"")))</f>
        <v>4.5</v>
      </c>
      <c r="CT73" s="13">
        <f>IF('Données projet'!$A$140&gt;35,CT72+CS73-DB72,IF(A73&lt;'Données projet'!$A$140,$CQ$205^A73,IF(A73='Données projet'!$A$140,'Données projet'!$B$140,CT72+CS73-DB72)))</f>
        <v>328.49999999999989</v>
      </c>
      <c r="CU73" s="18">
        <f>CT73*VLOOKUP('Données projet'!$B$13,Paramètres!$A$1:$I$89,3,0)*VLOOKUP('Données projet'!$B$13,Paramètres!$A$1:$I$89,5,0)</f>
        <v>240.85619999999989</v>
      </c>
      <c r="CV73" s="14">
        <f t="shared" si="95"/>
        <v>58.623707885373882</v>
      </c>
      <c r="CW73" s="22">
        <f t="shared" si="67"/>
        <v>521.59417290035935</v>
      </c>
      <c r="CX73" s="60">
        <f t="shared" si="68"/>
        <v>787.99971703736878</v>
      </c>
      <c r="CY73" s="60">
        <f ca="1">AVERAGE(OFFSET($CX$3,0,0,'Données projet'!$E$13+1,1))-AVERAGE(OFFSET($H$3,0,0,'Données projet'!$E$13+1,1))</f>
        <v>368.35775920359396</v>
      </c>
      <c r="CZ73" s="60">
        <f t="shared" si="96"/>
        <v>395.5218438652638</v>
      </c>
      <c r="DA73" s="16">
        <f>IF(ISNA(VLOOKUP(A73,'Données projet'!$A$139:$I$159,3,0)),0,VLOOKUP(A73,'Données projet'!$A$139:$I$159,3,0))</f>
        <v>6</v>
      </c>
      <c r="DB73" s="16">
        <f>IF(ISNA(VLOOKUP(A73,'Données projet'!$A$139:$I$159,4,0)),0,VLOOKUP(A73,'Données projet'!$A$139:$I$159,4,0))</f>
        <v>25.9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1.1368683772161603E-13</v>
      </c>
      <c r="DP73" s="18">
        <f>DO73*VLOOKUP('Données projet'!$B$14,Paramètres!$A$1:$I$89,3,0)*VLOOKUP('Données projet'!$B$14,Paramètres!$A$1:$I$89,5,0)</f>
        <v>8.8675733422860506E-14</v>
      </c>
      <c r="DQ73" s="14">
        <f t="shared" si="97"/>
        <v>1.3509285393066301E-12</v>
      </c>
      <c r="DR73" s="22">
        <f t="shared" si="70"/>
        <v>2.5073107750038623E-12</v>
      </c>
      <c r="DS73" s="60">
        <f t="shared" si="71"/>
        <v>266.40554413701199</v>
      </c>
      <c r="DT73" s="60">
        <f ca="1">AVERAGE(OFFSET($DS$3,0,0,'Données projet'!$E$14+1,1))-AVERAGE(OFFSET($H$3,0,0,'Données projet'!$E$14+1,1))</f>
        <v>312.59632808777332</v>
      </c>
      <c r="DU73" s="60">
        <f t="shared" si="98"/>
        <v>302.59481222418219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0</v>
      </c>
      <c r="EE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12.555555555555555</v>
      </c>
      <c r="EJ73" s="13">
        <f>IF('Données projet'!$A$192&gt;35,EJ72+EI73-ER72,IF(A73&lt;'Données projet'!$A$192,$EG$205^A73,IF(A73='Données projet'!$A$192,'Données projet'!$B$192,EJ72+EI73-ER72)))</f>
        <v>286.55555555555532</v>
      </c>
      <c r="EK73" s="18">
        <f>EJ73*VLOOKUP('Données projet'!$B$15,Paramètres!$A$1:$I$89,3,0)*VLOOKUP('Données projet'!$B$15,Paramètres!$A$1:$I$89,5,0)</f>
        <v>245.86466666666649</v>
      </c>
      <c r="EL73" s="14">
        <f t="shared" si="99"/>
        <v>59.699563669987469</v>
      </c>
      <c r="EM73" s="22">
        <f t="shared" si="73"/>
        <v>532.19103450300565</v>
      </c>
      <c r="EN73" s="60">
        <f t="shared" si="74"/>
        <v>798.5965786400152</v>
      </c>
      <c r="EO73" s="60">
        <f ca="1">AVERAGE(OFFSET($EN$3,0,0,'Données projet'!$E$15+1,1))-AVERAGE(OFFSET($H$3,0,0,'Données projet'!$E$15+1,1))</f>
        <v>478.11504516179713</v>
      </c>
      <c r="EP73" s="60">
        <f t="shared" si="100"/>
        <v>249.93713224442419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0</v>
      </c>
      <c r="EW73" s="23">
        <f>EXP(-LN(2)/25)*EW72+(1-EXP(-LN(2)/25))/(LN(2)/25)*Calculateur!ER73*Calculateur!ET73*VLOOKUP('Données projet'!$B$15,Paramètres!$A$1:$I$89,3,0)*0.475*44/12</f>
        <v>0</v>
      </c>
      <c r="EX73" s="23">
        <f>EXP(-LN(2)/2)*EX72+(1-EXP(-LN(2)/2))/(LN(2)/2)*ER73*EU73*VLOOKUP('Données projet'!$B$15,Paramètres!$A$1:$I$89,3,0)*0.475*44/12</f>
        <v>0</v>
      </c>
      <c r="EY73" s="24">
        <f t="shared" si="75"/>
        <v>0</v>
      </c>
      <c r="EZ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>
        <f>VLOOKUP(A73,'Données projet'!$A$217:$I$237,2,0)</f>
        <v>302</v>
      </c>
      <c r="FC73" s="13">
        <f>VLOOKUP(A73,'Données projet'!$A$217:$I$237,9,0)</f>
        <v>8.1999999999999993</v>
      </c>
      <c r="FD73" s="13">
        <f t="array" ref="FD73">INDEX(FC:FC,MIN(IF(ISNUMBER(FC73:FC269),ROW(FC73:FC269),"")))</f>
        <v>8.1999999999999993</v>
      </c>
      <c r="FE73" s="13">
        <f>IF('Données projet'!$A$218&gt;35,FE72+FD73-FM72,IF(A73&lt;'Données projet'!$A$218,$FB$205^A73,IF(A73='Données projet'!$A$218,'Données projet'!$B$218,FE72+FD73-FM72)))</f>
        <v>301.99999999999994</v>
      </c>
      <c r="FF73" s="18">
        <f>FE73*VLOOKUP('Données projet'!$B$16,Paramètres!$A$1:$I$89,3,0)*VLOOKUP('Données projet'!$B$16,Paramètres!$A$1:$I$89,5,0)</f>
        <v>292.09439999999995</v>
      </c>
      <c r="FG73" s="14">
        <f t="shared" si="101"/>
        <v>69.516578973599849</v>
      </c>
      <c r="FH73" s="22">
        <f t="shared" si="76"/>
        <v>629.80578837901965</v>
      </c>
      <c r="FI73" s="60">
        <f t="shared" si="77"/>
        <v>896.21133251602919</v>
      </c>
      <c r="FJ73" s="60">
        <f ca="1">AVERAGE(OFFSET($FI$3,0,0,'Données projet'!$E$16+1,1))-AVERAGE(OFFSET($H$3,0,0,'Données projet'!$E$16+1,1))</f>
        <v>603.52431522262032</v>
      </c>
      <c r="FK73" s="60">
        <f t="shared" si="102"/>
        <v>313.56299786481338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>
        <f>EXP(-LN(2)/35)*FQ72+(1-EXP(-LN(2)/35))/(LN(2)/35)*FM73*FN73*VLOOKUP('Données projet'!$B$16,Paramètres!$A$1:$I$89,3,0)*0.475*44/12</f>
        <v>0</v>
      </c>
      <c r="FR73" s="23">
        <f>EXP(-LN(2)/25)*FR72+(1-EXP(-LN(2)/25))/(LN(2)/25)*Calculateur!FM73*Calculateur!FO73*VLOOKUP('Données projet'!$B$16,Paramètres!$A$1:$I$89,3,0)*0.475*44/12</f>
        <v>0</v>
      </c>
      <c r="FS73" s="23">
        <f>EXP(-LN(2)/2)*FS72+(1-EXP(-LN(2)/2))/(LN(2)/2)*FM73*FP73*VLOOKUP('Données projet'!$B$16,Paramètres!$A$1:$I$89,3,0)*0.475*44/12</f>
        <v>0</v>
      </c>
      <c r="FT73" s="24">
        <f t="shared" si="78"/>
        <v>0</v>
      </c>
      <c r="FU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>
        <f>VLOOKUP(A73,'Données projet'!$A$243:$I$263,2,0)</f>
        <v>308.97435897435895</v>
      </c>
      <c r="FX73" s="13">
        <f>VLOOKUP(A73,'Données projet'!$A$243:$I$263,9,0)</f>
        <v>5.2564102564102537</v>
      </c>
      <c r="FY73" s="13">
        <f t="array" ref="FY73">INDEX(FX:FX,MIN(IF(ISNUMBER(FX73:FX269),ROW(FX73:FX269),"")))</f>
        <v>5.2564102564102537</v>
      </c>
      <c r="FZ73" s="13">
        <f>IF('Données projet'!$A$244&gt;35,FZ72+FY73-GH72,IF(A73&lt;'Données projet'!$A$244,$FW$205^A73,IF(A73='Données projet'!$A$244,'Données projet'!$B$244,FZ72+FY73-GH72)))</f>
        <v>308.97435897435901</v>
      </c>
      <c r="GA73" s="18">
        <f>FZ73*VLOOKUP('Données projet'!$B$17,Paramètres!$A$1:$I$89,3,0)*VLOOKUP('Données projet'!$B$17,Paramètres!$A$1:$I$89,5,0)</f>
        <v>207.26000000000002</v>
      </c>
      <c r="GB73" s="14">
        <f t="shared" si="103"/>
        <v>51.336369857430014</v>
      </c>
      <c r="GC73" s="22">
        <f t="shared" si="79"/>
        <v>450.38867750169061</v>
      </c>
      <c r="GD73" s="60">
        <f t="shared" si="80"/>
        <v>716.79422163870004</v>
      </c>
      <c r="GE73" s="60">
        <f ca="1">AVERAGE(OFFSET($GD$3,0,0,'Données projet'!$E$17+1,1))-AVERAGE(OFFSET($H$3,0,0,'Données projet'!$E$17+1,1))</f>
        <v>396.0878652679051</v>
      </c>
      <c r="GF73" s="60">
        <f t="shared" si="104"/>
        <v>327.26339199235406</v>
      </c>
      <c r="GG73" s="16">
        <f>IF(ISNA(VLOOKUP(A73,'Données projet'!$A$243:$I$263,3,0)),0,VLOOKUP(A73,'Données projet'!$A$243:$I$263,3,0))</f>
        <v>6</v>
      </c>
      <c r="GH73" s="16">
        <f>IF(ISNA(VLOOKUP(A73,'Données projet'!$A$243:$I$263,4,0)),0,VLOOKUP(A73,'Données projet'!$A$243:$I$263,4,0))</f>
        <v>31.410256410256409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>
        <f>EXP(-LN(2)/35)*GL72+(1-EXP(-LN(2)/35))/(LN(2)/35)*GH73*GI73*VLOOKUP('Données projet'!$B$17,Paramètres!$A$1:$I$89,3,0)*0.475*44/12</f>
        <v>0</v>
      </c>
      <c r="GM73" s="23">
        <f>EXP(-LN(2)/25)*GM72+(1-EXP(-LN(2)/25))/(LN(2)/25)*Calculateur!GH73*Calculateur!GJ73*VLOOKUP('Données projet'!$B$17,Paramètres!$A$1:$I$89,3,0)*0.475*44/12</f>
        <v>0</v>
      </c>
      <c r="GN73" s="23">
        <f>EXP(-LN(2)/2)*GN72+(1-EXP(-LN(2)/2))/(LN(2)/2)*GH73*GK73*VLOOKUP('Données projet'!$B$17,Paramètres!$A$1:$I$89,3,0)*0.475*44/12</f>
        <v>0</v>
      </c>
      <c r="GO73" s="23">
        <f t="shared" si="81"/>
        <v>0</v>
      </c>
      <c r="GP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-1.1368683772161603E-13</v>
      </c>
      <c r="GV73" s="18">
        <f>GU73*VLOOKUP('Données projet'!$B$18,Paramètres!$A$1:$I$89,3,0)*VLOOKUP('Données projet'!$B$18,Paramètres!$A$1:$I$89,5,0)</f>
        <v>-9.2222762759774927E-14</v>
      </c>
      <c r="GW73" s="14" t="e">
        <f t="shared" si="105"/>
        <v>#NUM!</v>
      </c>
      <c r="GX73" s="22" t="e">
        <f t="shared" si="82"/>
        <v>#NUM!</v>
      </c>
      <c r="GY73" s="60" t="e">
        <f t="shared" si="83"/>
        <v>#NUM!</v>
      </c>
      <c r="GZ73" s="60">
        <f ca="1">AVERAGE(OFFSET($GY$3,0,0,'Données projet'!$E$18+1,1))-AVERAGE(OFFSET($H$3,0,0,'Données projet'!$E$18+1,1))</f>
        <v>272.69564942740931</v>
      </c>
      <c r="HA73" s="60">
        <f t="shared" si="106"/>
        <v>316.57989180609252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>
        <f>EXP(-LN(2)/35)*HG72+(1-EXP(-LN(2)/35))/(LN(2)/35)*HC73*HD73*VLOOKUP('Données projet'!$B$18,Paramètres!$A$1:$I$89,3,0)*0.475*44/12</f>
        <v>0</v>
      </c>
      <c r="HH73" s="23">
        <f>EXP(-LN(2)/25)*HH72+(1-EXP(-LN(2)/25))/(LN(2)/25)*Calculateur!HC73*Calculateur!HE73*VLOOKUP('Données projet'!$B$18,Paramètres!$A$1:$I$89,3,0)*0.475*44/12</f>
        <v>0</v>
      </c>
      <c r="HI73" s="23">
        <f>EXP(-LN(2)/2)*HI72+(1-EXP(-LN(2)/2))/(LN(2)/2)*HC73*HF73*VLOOKUP('Données projet'!$B$18,Paramètres!$A$1:$I$89,3,0)*0.475*44/12</f>
        <v>0</v>
      </c>
      <c r="HJ73" s="24">
        <f t="shared" si="84"/>
        <v>0</v>
      </c>
    </row>
    <row r="74" spans="1:218" s="5" customFormat="1" x14ac:dyDescent="0.25">
      <c r="A74" s="11">
        <f t="shared" si="85"/>
        <v>71</v>
      </c>
      <c r="B74" s="75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8">
        <f t="shared" si="56"/>
        <v>183.33333333333334</v>
      </c>
      <c r="I74" s="7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7.6</v>
      </c>
      <c r="N74" s="14">
        <f>IF('Données projet'!$A$36&gt;35,N73+M74-V73,IF(A74&lt;'Données projet'!$A$36,$K$205^A74,IF(A74='Données projet'!$A$36,'Données projet'!$B$36,N73+M74-V73)))</f>
        <v>309.59999999999997</v>
      </c>
      <c r="O74" s="14">
        <f>N74*VLOOKUP('Données projet'!$B$9,Paramètres!$A$1:$I$89,3,0)*VLOOKUP('Données projet'!$B$9,Paramètres!$A$1:$I$89,5,0)</f>
        <v>280.12607999999994</v>
      </c>
      <c r="P74" s="14">
        <f t="shared" si="87"/>
        <v>66.993652511337999</v>
      </c>
      <c r="Q74" s="22">
        <f t="shared" si="54"/>
        <v>604.56686745724687</v>
      </c>
      <c r="R74" s="60">
        <f t="shared" si="55"/>
        <v>871.43954853529476</v>
      </c>
      <c r="S74" s="60">
        <f ca="1">AVERAGE(OFFSET($R$3,0,0,'Données projet'!$E$9+1,1))-AVERAGE(OFFSET($H$3,0,0,'Données projet'!$E$9+1,1))</f>
        <v>570.08763950759544</v>
      </c>
      <c r="T74" s="60">
        <f t="shared" si="88"/>
        <v>297.32483725004136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4.1799999999999953</v>
      </c>
      <c r="AI74" s="14">
        <f>IF('Données projet'!$A$62&gt;35,AI73+AH74-AQ73,IF(A74&lt;'Données projet'!$A$62,$AF$205^A74,IF(A74='Données projet'!$A$62,'Données projet'!$B$62,AI73+AH74-AQ73)))</f>
        <v>306.77999999999992</v>
      </c>
      <c r="AJ74" s="14">
        <f>AI74*VLOOKUP('Données projet'!$B$10,Paramètres!$A$1:$I$89,3,0)*VLOOKUP('Données projet'!$B$10,Paramètres!$A$1:$I$89,5,0)</f>
        <v>244.07416799999996</v>
      </c>
      <c r="AK74" s="14">
        <f t="shared" si="89"/>
        <v>59.315246950995579</v>
      </c>
      <c r="AL74" s="22">
        <f t="shared" si="58"/>
        <v>528.40323103965056</v>
      </c>
      <c r="AM74" s="60">
        <f t="shared" si="59"/>
        <v>795.27591211769845</v>
      </c>
      <c r="AN74" s="60">
        <f ca="1">AVERAGE(OFFSET($AM$3,0,0,'Données projet'!$E$10+1,1))-AVERAGE(OFFSET($H$3,0,0,'Données projet'!$E$10+1,1))</f>
        <v>394.49874384716014</v>
      </c>
      <c r="AO74" s="60">
        <f t="shared" si="90"/>
        <v>423.72519584013378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3.4000000000000172</v>
      </c>
      <c r="BD74" s="13">
        <f>IF('Données projet'!$A$88&gt;35,BD73+BC74-BL73,IF(A74&lt;'Données projet'!$A$88,$BA$205^A74,IF(A74='Données projet'!$A$88,'Données projet'!$B$88,BD73+BC74-BL73)))</f>
        <v>256.10000000000014</v>
      </c>
      <c r="BE74" s="14">
        <f>BD74*VLOOKUP('Données projet'!$B$11,Paramètres!$A$1:$I$89,3,0)*VLOOKUP('Données projet'!$B$11,Paramètres!$A$1:$I$89,5,0)</f>
        <v>223.72896000000014</v>
      </c>
      <c r="BF74" s="14">
        <f t="shared" si="91"/>
        <v>54.924562237784642</v>
      </c>
      <c r="BG74" s="22">
        <f t="shared" si="61"/>
        <v>485.32155123080855</v>
      </c>
      <c r="BH74" s="60">
        <f t="shared" si="62"/>
        <v>752.1942323088565</v>
      </c>
      <c r="BI74" s="60">
        <f ca="1">AVERAGE(OFFSET($BH$3,0,0,'Données projet'!$E$11+1,1))-AVERAGE(OFFSET($H$3,0,0,'Données projet'!$E$11+1,1))</f>
        <v>363.28611056308665</v>
      </c>
      <c r="BJ74" s="60">
        <f t="shared" si="92"/>
        <v>389.43647559455974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4.4871794871794863</v>
      </c>
      <c r="BY74" s="13">
        <f>IF('Données projet'!$A$114&gt;35,BY73+BX74-CG73,IF(A74&lt;'Données projet'!$A$114,$BV$205^A74,IF(A74='Données projet'!$A$114,'Données projet'!$B$114,BY73+BX74-CG73)))</f>
        <v>228.20512820512815</v>
      </c>
      <c r="BZ74" s="14">
        <f>BY74*VLOOKUP('Données projet'!$B$12,Paramètres!$A$1:$I$89,3,0)*VLOOKUP('Données projet'!$B$12,Paramètres!$A$1:$I$89,5,0)</f>
        <v>217.15999999999997</v>
      </c>
      <c r="CA74" s="14">
        <f t="shared" si="93"/>
        <v>53.497159756294458</v>
      </c>
      <c r="CB74" s="22">
        <f t="shared" si="64"/>
        <v>471.39455324221279</v>
      </c>
      <c r="CC74" s="60">
        <f t="shared" si="65"/>
        <v>738.26723432026074</v>
      </c>
      <c r="CD74" s="60">
        <f ca="1">AVERAGE(OFFSET($CC$3,0,0,'Données projet'!$E$12+1,1))-AVERAGE(OFFSET($H$3,0,0,'Données projet'!$E$12+1,1))</f>
        <v>441.15969139782891</v>
      </c>
      <c r="CE74" s="60">
        <f t="shared" si="94"/>
        <v>315.06466790224783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4.1799999999999953</v>
      </c>
      <c r="CT74" s="13">
        <f>IF('Données projet'!$A$140&gt;35,CT73+CS74-DB73,IF(A74&lt;'Données projet'!$A$140,$CQ$205^A74,IF(A74='Données projet'!$A$140,'Données projet'!$B$140,CT73+CS74-DB73)))</f>
        <v>306.77999999999992</v>
      </c>
      <c r="CU74" s="18">
        <f>CT74*VLOOKUP('Données projet'!$B$13,Paramètres!$A$1:$I$89,3,0)*VLOOKUP('Données projet'!$B$13,Paramètres!$A$1:$I$89,5,0)</f>
        <v>224.93109599999991</v>
      </c>
      <c r="CV74" s="14">
        <f t="shared" si="95"/>
        <v>55.185248501771945</v>
      </c>
      <c r="CW74" s="22">
        <f t="shared" si="67"/>
        <v>487.8693000072526</v>
      </c>
      <c r="CX74" s="60">
        <f t="shared" si="68"/>
        <v>754.74198108530049</v>
      </c>
      <c r="CY74" s="60">
        <f ca="1">AVERAGE(OFFSET($CX$3,0,0,'Données projet'!$E$13+1,1))-AVERAGE(OFFSET($H$3,0,0,'Données projet'!$E$13+1,1))</f>
        <v>368.35775920359396</v>
      </c>
      <c r="CZ74" s="60">
        <f t="shared" si="96"/>
        <v>395.5218438652638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1.1368683772161603E-13</v>
      </c>
      <c r="DP74" s="18">
        <f>DO74*VLOOKUP('Données projet'!$B$14,Paramètres!$A$1:$I$89,3,0)*VLOOKUP('Données projet'!$B$14,Paramètres!$A$1:$I$89,5,0)</f>
        <v>8.8675733422860506E-14</v>
      </c>
      <c r="DQ74" s="14">
        <f t="shared" si="97"/>
        <v>1.3509285393066301E-12</v>
      </c>
      <c r="DR74" s="22">
        <f t="shared" si="70"/>
        <v>2.5073107750038623E-12</v>
      </c>
      <c r="DS74" s="60">
        <f t="shared" si="71"/>
        <v>266.87268107805045</v>
      </c>
      <c r="DT74" s="60">
        <f ca="1">AVERAGE(OFFSET($DS$3,0,0,'Données projet'!$E$14+1,1))-AVERAGE(OFFSET($H$3,0,0,'Données projet'!$E$14+1,1))</f>
        <v>312.59632808777332</v>
      </c>
      <c r="DU74" s="60">
        <f t="shared" si="98"/>
        <v>302.59481222418219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0</v>
      </c>
      <c r="EE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12.555555555555555</v>
      </c>
      <c r="EJ74" s="13">
        <f>IF('Données projet'!$A$192&gt;35,EJ73+EI74-ER73,IF(A74&lt;'Données projet'!$A$192,$EG$205^A74,IF(A74='Données projet'!$A$192,'Données projet'!$B$192,EJ73+EI74-ER73)))</f>
        <v>299.11111111111086</v>
      </c>
      <c r="EK74" s="18">
        <f>EJ74*VLOOKUP('Données projet'!$B$15,Paramètres!$A$1:$I$89,3,0)*VLOOKUP('Données projet'!$B$15,Paramètres!$A$1:$I$89,5,0)</f>
        <v>256.63733333333312</v>
      </c>
      <c r="EL74" s="14">
        <f t="shared" si="99"/>
        <v>62.005051158458208</v>
      </c>
      <c r="EM74" s="22">
        <f t="shared" si="73"/>
        <v>554.96881965653654</v>
      </c>
      <c r="EN74" s="60">
        <f t="shared" si="74"/>
        <v>821.84150073458454</v>
      </c>
      <c r="EO74" s="60">
        <f ca="1">AVERAGE(OFFSET($EN$3,0,0,'Données projet'!$E$15+1,1))-AVERAGE(OFFSET($H$3,0,0,'Données projet'!$E$15+1,1))</f>
        <v>478.11504516179713</v>
      </c>
      <c r="EP74" s="60">
        <f t="shared" si="100"/>
        <v>249.93713224442419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0</v>
      </c>
      <c r="EW74" s="23">
        <f>EXP(-LN(2)/25)*EW73+(1-EXP(-LN(2)/25))/(LN(2)/25)*Calculateur!ER74*Calculateur!ET74*VLOOKUP('Données projet'!$B$15,Paramètres!$A$1:$I$89,3,0)*0.475*44/12</f>
        <v>0</v>
      </c>
      <c r="EX74" s="23">
        <f>EXP(-LN(2)/2)*EX73+(1-EXP(-LN(2)/2))/(LN(2)/2)*ER74*EU74*VLOOKUP('Données projet'!$B$15,Paramètres!$A$1:$I$89,3,0)*0.475*44/12</f>
        <v>0</v>
      </c>
      <c r="EY74" s="24">
        <f t="shared" si="75"/>
        <v>0</v>
      </c>
      <c r="EZ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7.6</v>
      </c>
      <c r="FE74" s="13">
        <f>IF('Données projet'!$A$218&gt;35,FE73+FD74-FM73,IF(A74&lt;'Données projet'!$A$218,$FB$205^A74,IF(A74='Données projet'!$A$218,'Données projet'!$B$218,FE73+FD74-FM73)))</f>
        <v>309.59999999999997</v>
      </c>
      <c r="FF74" s="18">
        <f>FE74*VLOOKUP('Données projet'!$B$16,Paramètres!$A$1:$I$89,3,0)*VLOOKUP('Données projet'!$B$16,Paramètres!$A$1:$I$89,5,0)</f>
        <v>299.44511999999997</v>
      </c>
      <c r="FG74" s="14">
        <f t="shared" si="101"/>
        <v>71.060126783970659</v>
      </c>
      <c r="FH74" s="22">
        <f t="shared" si="76"/>
        <v>645.2966381487488</v>
      </c>
      <c r="FI74" s="60">
        <f t="shared" si="77"/>
        <v>912.16931922679669</v>
      </c>
      <c r="FJ74" s="60">
        <f ca="1">AVERAGE(OFFSET($FI$3,0,0,'Données projet'!$E$16+1,1))-AVERAGE(OFFSET($H$3,0,0,'Données projet'!$E$16+1,1))</f>
        <v>603.52431522262032</v>
      </c>
      <c r="FK74" s="60">
        <f t="shared" si="102"/>
        <v>313.56299786481338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>
        <f>EXP(-LN(2)/35)*FQ73+(1-EXP(-LN(2)/35))/(LN(2)/35)*FM74*FN74*VLOOKUP('Données projet'!$B$16,Paramètres!$A$1:$I$89,3,0)*0.475*44/12</f>
        <v>0</v>
      </c>
      <c r="FR74" s="23">
        <f>EXP(-LN(2)/25)*FR73+(1-EXP(-LN(2)/25))/(LN(2)/25)*Calculateur!FM74*Calculateur!FO74*VLOOKUP('Données projet'!$B$16,Paramètres!$A$1:$I$89,3,0)*0.475*44/12</f>
        <v>0</v>
      </c>
      <c r="FS74" s="23">
        <f>EXP(-LN(2)/2)*FS73+(1-EXP(-LN(2)/2))/(LN(2)/2)*FM74*FP74*VLOOKUP('Données projet'!$B$16,Paramètres!$A$1:$I$89,3,0)*0.475*44/12</f>
        <v>0</v>
      </c>
      <c r="FT74" s="24">
        <f t="shared" si="78"/>
        <v>0</v>
      </c>
      <c r="FU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5.1282051282051269</v>
      </c>
      <c r="FZ74" s="13">
        <f>IF('Données projet'!$A$244&gt;35,FZ73+FY74-GH73,IF(A74&lt;'Données projet'!$A$244,$FW$205^A74,IF(A74='Données projet'!$A$244,'Données projet'!$B$244,FZ73+FY74-GH73)))</f>
        <v>282.69230769230774</v>
      </c>
      <c r="GA74" s="18">
        <f>FZ74*VLOOKUP('Données projet'!$B$17,Paramètres!$A$1:$I$89,3,0)*VLOOKUP('Données projet'!$B$17,Paramètres!$A$1:$I$89,5,0)</f>
        <v>189.63000000000002</v>
      </c>
      <c r="GB74" s="14">
        <f t="shared" si="103"/>
        <v>47.458141826690017</v>
      </c>
      <c r="GC74" s="22">
        <f t="shared" si="79"/>
        <v>412.92851368148513</v>
      </c>
      <c r="GD74" s="60">
        <f t="shared" si="80"/>
        <v>679.80119475953302</v>
      </c>
      <c r="GE74" s="60">
        <f ca="1">AVERAGE(OFFSET($GD$3,0,0,'Données projet'!$E$17+1,1))-AVERAGE(OFFSET($H$3,0,0,'Données projet'!$E$17+1,1))</f>
        <v>396.0878652679051</v>
      </c>
      <c r="GF74" s="60">
        <f t="shared" si="104"/>
        <v>327.26339199235406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>
        <f>EXP(-LN(2)/35)*GL73+(1-EXP(-LN(2)/35))/(LN(2)/35)*GH74*GI74*VLOOKUP('Données projet'!$B$17,Paramètres!$A$1:$I$89,3,0)*0.475*44/12</f>
        <v>0</v>
      </c>
      <c r="GM74" s="23">
        <f>EXP(-LN(2)/25)*GM73+(1-EXP(-LN(2)/25))/(LN(2)/25)*Calculateur!GH74*Calculateur!GJ74*VLOOKUP('Données projet'!$B$17,Paramètres!$A$1:$I$89,3,0)*0.475*44/12</f>
        <v>0</v>
      </c>
      <c r="GN74" s="23">
        <f>EXP(-LN(2)/2)*GN73+(1-EXP(-LN(2)/2))/(LN(2)/2)*GH74*GK74*VLOOKUP('Données projet'!$B$17,Paramètres!$A$1:$I$89,3,0)*0.475*44/12</f>
        <v>0</v>
      </c>
      <c r="GO74" s="23">
        <f t="shared" si="81"/>
        <v>0</v>
      </c>
      <c r="GP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-1.1368683772161603E-13</v>
      </c>
      <c r="GV74" s="18">
        <f>GU74*VLOOKUP('Données projet'!$B$18,Paramètres!$A$1:$I$89,3,0)*VLOOKUP('Données projet'!$B$18,Paramètres!$A$1:$I$89,5,0)</f>
        <v>-9.2222762759774927E-14</v>
      </c>
      <c r="GW74" s="14" t="e">
        <f t="shared" si="105"/>
        <v>#NUM!</v>
      </c>
      <c r="GX74" s="22" t="e">
        <f t="shared" si="82"/>
        <v>#NUM!</v>
      </c>
      <c r="GY74" s="60" t="e">
        <f t="shared" si="83"/>
        <v>#NUM!</v>
      </c>
      <c r="GZ74" s="60">
        <f ca="1">AVERAGE(OFFSET($GY$3,0,0,'Données projet'!$E$18+1,1))-AVERAGE(OFFSET($H$3,0,0,'Données projet'!$E$18+1,1))</f>
        <v>272.69564942740931</v>
      </c>
      <c r="HA74" s="60">
        <f t="shared" si="106"/>
        <v>316.57989180609252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>
        <f>EXP(-LN(2)/35)*HG73+(1-EXP(-LN(2)/35))/(LN(2)/35)*HC74*HD74*VLOOKUP('Données projet'!$B$18,Paramètres!$A$1:$I$89,3,0)*0.475*44/12</f>
        <v>0</v>
      </c>
      <c r="HH74" s="23">
        <f>EXP(-LN(2)/25)*HH73+(1-EXP(-LN(2)/25))/(LN(2)/25)*Calculateur!HC74*Calculateur!HE74*VLOOKUP('Données projet'!$B$18,Paramètres!$A$1:$I$89,3,0)*0.475*44/12</f>
        <v>0</v>
      </c>
      <c r="HI74" s="23">
        <f>EXP(-LN(2)/2)*HI73+(1-EXP(-LN(2)/2))/(LN(2)/2)*HC74*HF74*VLOOKUP('Données projet'!$B$18,Paramètres!$A$1:$I$89,3,0)*0.475*44/12</f>
        <v>0</v>
      </c>
      <c r="HJ74" s="24">
        <f t="shared" si="84"/>
        <v>0</v>
      </c>
    </row>
    <row r="75" spans="1:218" s="5" customFormat="1" x14ac:dyDescent="0.25">
      <c r="A75" s="11">
        <f t="shared" si="85"/>
        <v>72</v>
      </c>
      <c r="B75" s="75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8">
        <f t="shared" si="56"/>
        <v>183.33333333333334</v>
      </c>
      <c r="I75" s="7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7.6</v>
      </c>
      <c r="N75" s="14">
        <f>IF('Données projet'!$A$36&gt;35,N74+M75-V74,IF(A75&lt;'Données projet'!$A$36,$K$205^A75,IF(A75='Données projet'!$A$36,'Données projet'!$B$36,N74+M75-V74)))</f>
        <v>317.2</v>
      </c>
      <c r="O75" s="14">
        <f>N75*VLOOKUP('Données projet'!$B$9,Paramètres!$A$1:$I$89,3,0)*VLOOKUP('Données projet'!$B$9,Paramètres!$A$1:$I$89,5,0)</f>
        <v>287.00255999999996</v>
      </c>
      <c r="P75" s="14">
        <f t="shared" si="87"/>
        <v>68.444716936118553</v>
      </c>
      <c r="Q75" s="22">
        <f t="shared" si="54"/>
        <v>619.07067399707296</v>
      </c>
      <c r="R75" s="60">
        <f t="shared" si="55"/>
        <v>886.40238823459413</v>
      </c>
      <c r="S75" s="60">
        <f ca="1">AVERAGE(OFFSET($R$3,0,0,'Données projet'!$E$9+1,1))-AVERAGE(OFFSET($H$3,0,0,'Données projet'!$E$9+1,1))</f>
        <v>570.08763950759544</v>
      </c>
      <c r="T75" s="60">
        <f t="shared" si="88"/>
        <v>297.32483725004136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4.1799999999999953</v>
      </c>
      <c r="AI75" s="14">
        <f>IF('Données projet'!$A$62&gt;35,AI74+AH75-AQ74,IF(A75&lt;'Données projet'!$A$62,$AF$205^A75,IF(A75='Données projet'!$A$62,'Données projet'!$B$62,AI74+AH75-AQ74)))</f>
        <v>310.95999999999992</v>
      </c>
      <c r="AJ75" s="14">
        <f>AI75*VLOOKUP('Données projet'!$B$10,Paramètres!$A$1:$I$89,3,0)*VLOOKUP('Données projet'!$B$10,Paramètres!$A$1:$I$89,5,0)</f>
        <v>247.39977599999995</v>
      </c>
      <c r="AK75" s="14">
        <f t="shared" si="89"/>
        <v>60.028803657797908</v>
      </c>
      <c r="AL75" s="22">
        <f t="shared" si="58"/>
        <v>535.43810957066455</v>
      </c>
      <c r="AM75" s="60">
        <f t="shared" si="59"/>
        <v>802.76982380818572</v>
      </c>
      <c r="AN75" s="60">
        <f ca="1">AVERAGE(OFFSET($AM$3,0,0,'Données projet'!$E$10+1,1))-AVERAGE(OFFSET($H$3,0,0,'Données projet'!$E$10+1,1))</f>
        <v>394.49874384716014</v>
      </c>
      <c r="AO75" s="60">
        <f t="shared" si="90"/>
        <v>423.72519584013378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3.4000000000000172</v>
      </c>
      <c r="BD75" s="13">
        <f>IF('Données projet'!$A$88&gt;35,BD74+BC75-BL74,IF(A75&lt;'Données projet'!$A$88,$BA$205^A75,IF(A75='Données projet'!$A$88,'Données projet'!$B$88,BD74+BC75-BL74)))</f>
        <v>259.50000000000017</v>
      </c>
      <c r="BE75" s="14">
        <f>BD75*VLOOKUP('Données projet'!$B$11,Paramètres!$A$1:$I$89,3,0)*VLOOKUP('Données projet'!$B$11,Paramètres!$A$1:$I$89,5,0)</f>
        <v>226.69920000000016</v>
      </c>
      <c r="BF75" s="14">
        <f t="shared" si="91"/>
        <v>55.568372066903464</v>
      </c>
      <c r="BG75" s="22">
        <f t="shared" si="61"/>
        <v>491.61602134985714</v>
      </c>
      <c r="BH75" s="60">
        <f t="shared" si="62"/>
        <v>758.94773558737825</v>
      </c>
      <c r="BI75" s="60">
        <f ca="1">AVERAGE(OFFSET($BH$3,0,0,'Données projet'!$E$11+1,1))-AVERAGE(OFFSET($H$3,0,0,'Données projet'!$E$11+1,1))</f>
        <v>363.28611056308665</v>
      </c>
      <c r="BJ75" s="60">
        <f t="shared" si="92"/>
        <v>389.43647559455974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4.4871794871794863</v>
      </c>
      <c r="BY75" s="13">
        <f>IF('Données projet'!$A$114&gt;35,BY74+BX75-CG74,IF(A75&lt;'Données projet'!$A$114,$BV$205^A75,IF(A75='Données projet'!$A$114,'Données projet'!$B$114,BY74+BX75-CG74)))</f>
        <v>232.69230769230762</v>
      </c>
      <c r="BZ75" s="14">
        <f>BY75*VLOOKUP('Données projet'!$B$12,Paramètres!$A$1:$I$89,3,0)*VLOOKUP('Données projet'!$B$12,Paramètres!$A$1:$I$89,5,0)</f>
        <v>221.42999999999995</v>
      </c>
      <c r="CA75" s="14">
        <f t="shared" si="93"/>
        <v>54.425571861733111</v>
      </c>
      <c r="CB75" s="22">
        <f t="shared" si="64"/>
        <v>480.44845432585163</v>
      </c>
      <c r="CC75" s="60">
        <f t="shared" si="65"/>
        <v>747.78016856337274</v>
      </c>
      <c r="CD75" s="60">
        <f ca="1">AVERAGE(OFFSET($CC$3,0,0,'Données projet'!$E$12+1,1))-AVERAGE(OFFSET($H$3,0,0,'Données projet'!$E$12+1,1))</f>
        <v>441.15969139782891</v>
      </c>
      <c r="CE75" s="60">
        <f t="shared" si="94"/>
        <v>315.06466790224783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4.1799999999999953</v>
      </c>
      <c r="CT75" s="13">
        <f>IF('Données projet'!$A$140&gt;35,CT74+CS75-DB74,IF(A75&lt;'Données projet'!$A$140,$CQ$205^A75,IF(A75='Données projet'!$A$140,'Données projet'!$B$140,CT74+CS75-DB74)))</f>
        <v>310.95999999999992</v>
      </c>
      <c r="CU75" s="18">
        <f>CT75*VLOOKUP('Données projet'!$B$13,Paramètres!$A$1:$I$89,3,0)*VLOOKUP('Données projet'!$B$13,Paramètres!$A$1:$I$89,5,0)</f>
        <v>227.99587199999993</v>
      </c>
      <c r="CV75" s="14">
        <f t="shared" si="95"/>
        <v>55.849121725085425</v>
      </c>
      <c r="CW75" s="22">
        <f t="shared" si="67"/>
        <v>494.36336407119035</v>
      </c>
      <c r="CX75" s="60">
        <f t="shared" si="68"/>
        <v>761.69507830871146</v>
      </c>
      <c r="CY75" s="60">
        <f ca="1">AVERAGE(OFFSET($CX$3,0,0,'Données projet'!$E$13+1,1))-AVERAGE(OFFSET($H$3,0,0,'Données projet'!$E$13+1,1))</f>
        <v>368.35775920359396</v>
      </c>
      <c r="CZ75" s="60">
        <f t="shared" si="96"/>
        <v>395.5218438652638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1.1368683772161603E-13</v>
      </c>
      <c r="DP75" s="18">
        <f>DO75*VLOOKUP('Données projet'!$B$14,Paramètres!$A$1:$I$89,3,0)*VLOOKUP('Données projet'!$B$14,Paramètres!$A$1:$I$89,5,0)</f>
        <v>8.8675733422860506E-14</v>
      </c>
      <c r="DQ75" s="14">
        <f t="shared" si="97"/>
        <v>1.3509285393066301E-12</v>
      </c>
      <c r="DR75" s="22">
        <f t="shared" si="70"/>
        <v>2.5073107750038623E-12</v>
      </c>
      <c r="DS75" s="60">
        <f t="shared" si="71"/>
        <v>267.33171423752361</v>
      </c>
      <c r="DT75" s="60">
        <f ca="1">AVERAGE(OFFSET($DS$3,0,0,'Données projet'!$E$14+1,1))-AVERAGE(OFFSET($H$3,0,0,'Données projet'!$E$14+1,1))</f>
        <v>312.59632808777332</v>
      </c>
      <c r="DU75" s="60">
        <f t="shared" si="98"/>
        <v>302.59481222418219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0</v>
      </c>
      <c r="EE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12.555555555555555</v>
      </c>
      <c r="EJ75" s="13">
        <f>IF('Données projet'!$A$192&gt;35,EJ74+EI75-ER74,IF(A75&lt;'Données projet'!$A$192,$EG$205^A75,IF(A75='Données projet'!$A$192,'Données projet'!$B$192,EJ74+EI75-ER74)))</f>
        <v>311.6666666666664</v>
      </c>
      <c r="EK75" s="18">
        <f>EJ75*VLOOKUP('Données projet'!$B$15,Paramètres!$A$1:$I$89,3,0)*VLOOKUP('Données projet'!$B$15,Paramètres!$A$1:$I$89,5,0)</f>
        <v>267.4099999999998</v>
      </c>
      <c r="EL75" s="14">
        <f t="shared" si="99"/>
        <v>64.299297948636735</v>
      </c>
      <c r="EM75" s="22">
        <f t="shared" si="73"/>
        <v>577.72702726054183</v>
      </c>
      <c r="EN75" s="60">
        <f t="shared" si="74"/>
        <v>845.058741498063</v>
      </c>
      <c r="EO75" s="60">
        <f ca="1">AVERAGE(OFFSET($EN$3,0,0,'Données projet'!$E$15+1,1))-AVERAGE(OFFSET($H$3,0,0,'Données projet'!$E$15+1,1))</f>
        <v>478.11504516179713</v>
      </c>
      <c r="EP75" s="60">
        <f t="shared" si="100"/>
        <v>249.93713224442419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0</v>
      </c>
      <c r="EW75" s="23">
        <f>EXP(-LN(2)/25)*EW74+(1-EXP(-LN(2)/25))/(LN(2)/25)*Calculateur!ER75*Calculateur!ET75*VLOOKUP('Données projet'!$B$15,Paramètres!$A$1:$I$89,3,0)*0.475*44/12</f>
        <v>0</v>
      </c>
      <c r="EX75" s="23">
        <f>EXP(-LN(2)/2)*EX74+(1-EXP(-LN(2)/2))/(LN(2)/2)*ER75*EU75*VLOOKUP('Données projet'!$B$15,Paramètres!$A$1:$I$89,3,0)*0.475*44/12</f>
        <v>0</v>
      </c>
      <c r="EY75" s="24">
        <f t="shared" si="75"/>
        <v>0</v>
      </c>
      <c r="EZ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7.6</v>
      </c>
      <c r="FE75" s="13">
        <f>IF('Données projet'!$A$218&gt;35,FE74+FD75-FM74,IF(A75&lt;'Données projet'!$A$218,$FB$205^A75,IF(A75='Données projet'!$A$218,'Données projet'!$B$218,FE74+FD75-FM74)))</f>
        <v>317.2</v>
      </c>
      <c r="FF75" s="18">
        <f>FE75*VLOOKUP('Données projet'!$B$16,Paramètres!$A$1:$I$89,3,0)*VLOOKUP('Données projet'!$B$16,Paramètres!$A$1:$I$89,5,0)</f>
        <v>306.79584</v>
      </c>
      <c r="FG75" s="14">
        <f t="shared" si="101"/>
        <v>72.599269943528554</v>
      </c>
      <c r="FH75" s="22">
        <f t="shared" si="76"/>
        <v>660.77981648497882</v>
      </c>
      <c r="FI75" s="60">
        <f t="shared" si="77"/>
        <v>928.11153072249999</v>
      </c>
      <c r="FJ75" s="60">
        <f ca="1">AVERAGE(OFFSET($FI$3,0,0,'Données projet'!$E$16+1,1))-AVERAGE(OFFSET($H$3,0,0,'Données projet'!$E$16+1,1))</f>
        <v>603.52431522262032</v>
      </c>
      <c r="FK75" s="60">
        <f t="shared" si="102"/>
        <v>313.56299786481338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>
        <f>EXP(-LN(2)/35)*FQ74+(1-EXP(-LN(2)/35))/(LN(2)/35)*FM75*FN75*VLOOKUP('Données projet'!$B$16,Paramètres!$A$1:$I$89,3,0)*0.475*44/12</f>
        <v>0</v>
      </c>
      <c r="FR75" s="23">
        <f>EXP(-LN(2)/25)*FR74+(1-EXP(-LN(2)/25))/(LN(2)/25)*Calculateur!FM75*Calculateur!FO75*VLOOKUP('Données projet'!$B$16,Paramètres!$A$1:$I$89,3,0)*0.475*44/12</f>
        <v>0</v>
      </c>
      <c r="FS75" s="23">
        <f>EXP(-LN(2)/2)*FS74+(1-EXP(-LN(2)/2))/(LN(2)/2)*FM75*FP75*VLOOKUP('Données projet'!$B$16,Paramètres!$A$1:$I$89,3,0)*0.475*44/12</f>
        <v>0</v>
      </c>
      <c r="FT75" s="24">
        <f t="shared" si="78"/>
        <v>0</v>
      </c>
      <c r="FU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5.1282051282051269</v>
      </c>
      <c r="FZ75" s="13">
        <f>IF('Données projet'!$A$244&gt;35,FZ74+FY75-GH74,IF(A75&lt;'Données projet'!$A$244,$FW$205^A75,IF(A75='Données projet'!$A$244,'Données projet'!$B$244,FZ74+FY75-GH74)))</f>
        <v>287.82051282051287</v>
      </c>
      <c r="GA75" s="18">
        <f>FZ75*VLOOKUP('Données projet'!$B$17,Paramètres!$A$1:$I$89,3,0)*VLOOKUP('Données projet'!$B$17,Paramètres!$A$1:$I$89,5,0)</f>
        <v>193.07000000000005</v>
      </c>
      <c r="GB75" s="14">
        <f t="shared" si="103"/>
        <v>48.218051794342536</v>
      </c>
      <c r="GC75" s="22">
        <f t="shared" si="79"/>
        <v>420.24335687514667</v>
      </c>
      <c r="GD75" s="60">
        <f t="shared" si="80"/>
        <v>687.57507111266773</v>
      </c>
      <c r="GE75" s="60">
        <f ca="1">AVERAGE(OFFSET($GD$3,0,0,'Données projet'!$E$17+1,1))-AVERAGE(OFFSET($H$3,0,0,'Données projet'!$E$17+1,1))</f>
        <v>396.0878652679051</v>
      </c>
      <c r="GF75" s="60">
        <f t="shared" si="104"/>
        <v>327.26339199235406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>
        <f>EXP(-LN(2)/35)*GL74+(1-EXP(-LN(2)/35))/(LN(2)/35)*GH75*GI75*VLOOKUP('Données projet'!$B$17,Paramètres!$A$1:$I$89,3,0)*0.475*44/12</f>
        <v>0</v>
      </c>
      <c r="GM75" s="23">
        <f>EXP(-LN(2)/25)*GM74+(1-EXP(-LN(2)/25))/(LN(2)/25)*Calculateur!GH75*Calculateur!GJ75*VLOOKUP('Données projet'!$B$17,Paramètres!$A$1:$I$89,3,0)*0.475*44/12</f>
        <v>0</v>
      </c>
      <c r="GN75" s="23">
        <f>EXP(-LN(2)/2)*GN74+(1-EXP(-LN(2)/2))/(LN(2)/2)*GH75*GK75*VLOOKUP('Données projet'!$B$17,Paramètres!$A$1:$I$89,3,0)*0.475*44/12</f>
        <v>0</v>
      </c>
      <c r="GO75" s="23">
        <f t="shared" si="81"/>
        <v>0</v>
      </c>
      <c r="GP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-1.1368683772161603E-13</v>
      </c>
      <c r="GV75" s="18">
        <f>GU75*VLOOKUP('Données projet'!$B$18,Paramètres!$A$1:$I$89,3,0)*VLOOKUP('Données projet'!$B$18,Paramètres!$A$1:$I$89,5,0)</f>
        <v>-9.2222762759774927E-14</v>
      </c>
      <c r="GW75" s="14" t="e">
        <f t="shared" si="105"/>
        <v>#NUM!</v>
      </c>
      <c r="GX75" s="22" t="e">
        <f t="shared" si="82"/>
        <v>#NUM!</v>
      </c>
      <c r="GY75" s="60" t="e">
        <f t="shared" si="83"/>
        <v>#NUM!</v>
      </c>
      <c r="GZ75" s="60">
        <f ca="1">AVERAGE(OFFSET($GY$3,0,0,'Données projet'!$E$18+1,1))-AVERAGE(OFFSET($H$3,0,0,'Données projet'!$E$18+1,1))</f>
        <v>272.69564942740931</v>
      </c>
      <c r="HA75" s="60">
        <f t="shared" si="106"/>
        <v>316.57989180609252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>
        <f>EXP(-LN(2)/35)*HG74+(1-EXP(-LN(2)/35))/(LN(2)/35)*HC75*HD75*VLOOKUP('Données projet'!$B$18,Paramètres!$A$1:$I$89,3,0)*0.475*44/12</f>
        <v>0</v>
      </c>
      <c r="HH75" s="23">
        <f>EXP(-LN(2)/25)*HH74+(1-EXP(-LN(2)/25))/(LN(2)/25)*Calculateur!HC75*Calculateur!HE75*VLOOKUP('Données projet'!$B$18,Paramètres!$A$1:$I$89,3,0)*0.475*44/12</f>
        <v>0</v>
      </c>
      <c r="HI75" s="23">
        <f>EXP(-LN(2)/2)*HI74+(1-EXP(-LN(2)/2))/(LN(2)/2)*HC75*HF75*VLOOKUP('Données projet'!$B$18,Paramètres!$A$1:$I$89,3,0)*0.475*44/12</f>
        <v>0</v>
      </c>
      <c r="HJ75" s="24">
        <f t="shared" si="84"/>
        <v>0</v>
      </c>
    </row>
    <row r="76" spans="1:218" s="5" customFormat="1" x14ac:dyDescent="0.25">
      <c r="A76" s="11">
        <f t="shared" si="85"/>
        <v>73</v>
      </c>
      <c r="B76" s="75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8">
        <f t="shared" si="56"/>
        <v>183.33333333333334</v>
      </c>
      <c r="I76" s="7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7.6</v>
      </c>
      <c r="N76" s="14">
        <f>IF('Données projet'!$A$36&gt;35,N75+M76-V75,IF(A76&lt;'Données projet'!$A$36,$K$205^A76,IF(A76='Données projet'!$A$36,'Données projet'!$B$36,N75+M76-V75)))</f>
        <v>324.8</v>
      </c>
      <c r="O76" s="14">
        <f>N76*VLOOKUP('Données projet'!$B$9,Paramètres!$A$1:$I$89,3,0)*VLOOKUP('Données projet'!$B$9,Paramètres!$A$1:$I$89,5,0)</f>
        <v>293.87903999999997</v>
      </c>
      <c r="P76" s="14">
        <f t="shared" si="87"/>
        <v>69.891739712361669</v>
      </c>
      <c r="Q76" s="22">
        <f t="shared" si="54"/>
        <v>633.56744133236327</v>
      </c>
      <c r="R76" s="60">
        <f t="shared" si="55"/>
        <v>901.35022553028512</v>
      </c>
      <c r="S76" s="60">
        <f ca="1">AVERAGE(OFFSET($R$3,0,0,'Données projet'!$E$9+1,1))-AVERAGE(OFFSET($H$3,0,0,'Données projet'!$E$9+1,1))</f>
        <v>570.08763950759544</v>
      </c>
      <c r="T76" s="60">
        <f t="shared" si="88"/>
        <v>297.32483725004136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4.1799999999999953</v>
      </c>
      <c r="AI76" s="14">
        <f>IF('Données projet'!$A$62&gt;35,AI75+AH76-AQ75,IF(A76&lt;'Données projet'!$A$62,$AF$205^A76,IF(A76='Données projet'!$A$62,'Données projet'!$B$62,AI75+AH76-AQ75)))</f>
        <v>315.13999999999993</v>
      </c>
      <c r="AJ76" s="14">
        <f>AI76*VLOOKUP('Données projet'!$B$10,Paramètres!$A$1:$I$89,3,0)*VLOOKUP('Données projet'!$B$10,Paramètres!$A$1:$I$89,5,0)</f>
        <v>250.72538399999993</v>
      </c>
      <c r="AK76" s="14">
        <f t="shared" si="89"/>
        <v>60.741244716227833</v>
      </c>
      <c r="AL76" s="22">
        <f t="shared" si="58"/>
        <v>542.47104501409672</v>
      </c>
      <c r="AM76" s="60">
        <f t="shared" si="59"/>
        <v>810.25382921201845</v>
      </c>
      <c r="AN76" s="60">
        <f ca="1">AVERAGE(OFFSET($AM$3,0,0,'Données projet'!$E$10+1,1))-AVERAGE(OFFSET($H$3,0,0,'Données projet'!$E$10+1,1))</f>
        <v>394.49874384716014</v>
      </c>
      <c r="AO76" s="60">
        <f t="shared" si="90"/>
        <v>423.72519584013378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3.4000000000000172</v>
      </c>
      <c r="BD76" s="13">
        <f>IF('Données projet'!$A$88&gt;35,BD75+BC76-BL75,IF(A76&lt;'Données projet'!$A$88,$BA$205^A76,IF(A76='Données projet'!$A$88,'Données projet'!$B$88,BD75+BC76-BL75)))</f>
        <v>262.9000000000002</v>
      </c>
      <c r="BE76" s="14">
        <f>BD76*VLOOKUP('Données projet'!$B$11,Paramètres!$A$1:$I$89,3,0)*VLOOKUP('Données projet'!$B$11,Paramètres!$A$1:$I$89,5,0)</f>
        <v>229.66944000000021</v>
      </c>
      <c r="BF76" s="14">
        <f t="shared" si="91"/>
        <v>56.211200748862041</v>
      </c>
      <c r="BG76" s="22">
        <f t="shared" si="61"/>
        <v>497.90878263760169</v>
      </c>
      <c r="BH76" s="60">
        <f t="shared" si="62"/>
        <v>765.69156683552342</v>
      </c>
      <c r="BI76" s="60">
        <f ca="1">AVERAGE(OFFSET($BH$3,0,0,'Données projet'!$E$11+1,1))-AVERAGE(OFFSET($H$3,0,0,'Données projet'!$E$11+1,1))</f>
        <v>363.28611056308665</v>
      </c>
      <c r="BJ76" s="60">
        <f t="shared" si="92"/>
        <v>389.43647559455974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4.4871794871794863</v>
      </c>
      <c r="BY76" s="13">
        <f>IF('Données projet'!$A$114&gt;35,BY75+BX76-CG75,IF(A76&lt;'Données projet'!$A$114,$BV$205^A76,IF(A76='Données projet'!$A$114,'Données projet'!$B$114,BY75+BX76-CG75)))</f>
        <v>237.1794871794871</v>
      </c>
      <c r="BZ76" s="14">
        <f>BY76*VLOOKUP('Données projet'!$B$12,Paramètres!$A$1:$I$89,3,0)*VLOOKUP('Données projet'!$B$12,Paramètres!$A$1:$I$89,5,0)</f>
        <v>225.69999999999993</v>
      </c>
      <c r="CA76" s="14">
        <f t="shared" si="93"/>
        <v>55.351902227969966</v>
      </c>
      <c r="CB76" s="22">
        <f t="shared" si="64"/>
        <v>489.49872971371423</v>
      </c>
      <c r="CC76" s="60">
        <f t="shared" si="65"/>
        <v>757.28151391163601</v>
      </c>
      <c r="CD76" s="60">
        <f ca="1">AVERAGE(OFFSET($CC$3,0,0,'Données projet'!$E$12+1,1))-AVERAGE(OFFSET($H$3,0,0,'Données projet'!$E$12+1,1))</f>
        <v>441.15969139782891</v>
      </c>
      <c r="CE76" s="60">
        <f t="shared" si="94"/>
        <v>315.06466790224783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4.1799999999999953</v>
      </c>
      <c r="CT76" s="13">
        <f>IF('Données projet'!$A$140&gt;35,CT75+CS76-DB75,IF(A76&lt;'Données projet'!$A$140,$CQ$205^A76,IF(A76='Données projet'!$A$140,'Données projet'!$B$140,CT75+CS76-DB75)))</f>
        <v>315.13999999999993</v>
      </c>
      <c r="CU76" s="18">
        <f>CT76*VLOOKUP('Données projet'!$B$13,Paramètres!$A$1:$I$89,3,0)*VLOOKUP('Données projet'!$B$13,Paramètres!$A$1:$I$89,5,0)</f>
        <v>231.06064799999993</v>
      </c>
      <c r="CV76" s="14">
        <f t="shared" si="95"/>
        <v>56.511956980324314</v>
      </c>
      <c r="CW76" s="22">
        <f t="shared" si="67"/>
        <v>500.85562034073132</v>
      </c>
      <c r="CX76" s="60">
        <f t="shared" si="68"/>
        <v>768.63840453865305</v>
      </c>
      <c r="CY76" s="60">
        <f ca="1">AVERAGE(OFFSET($CX$3,0,0,'Données projet'!$E$13+1,1))-AVERAGE(OFFSET($H$3,0,0,'Données projet'!$E$13+1,1))</f>
        <v>368.35775920359396</v>
      </c>
      <c r="CZ76" s="60">
        <f t="shared" si="96"/>
        <v>395.5218438652638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1.1368683772161603E-13</v>
      </c>
      <c r="DP76" s="18">
        <f>DO76*VLOOKUP('Données projet'!$B$14,Paramètres!$A$1:$I$89,3,0)*VLOOKUP('Données projet'!$B$14,Paramètres!$A$1:$I$89,5,0)</f>
        <v>8.8675733422860506E-14</v>
      </c>
      <c r="DQ76" s="14">
        <f t="shared" si="97"/>
        <v>1.3509285393066301E-12</v>
      </c>
      <c r="DR76" s="22">
        <f t="shared" si="70"/>
        <v>2.5073107750038623E-12</v>
      </c>
      <c r="DS76" s="60">
        <f t="shared" si="71"/>
        <v>267.78278419792429</v>
      </c>
      <c r="DT76" s="60">
        <f ca="1">AVERAGE(OFFSET($DS$3,0,0,'Données projet'!$E$14+1,1))-AVERAGE(OFFSET($H$3,0,0,'Données projet'!$E$14+1,1))</f>
        <v>312.59632808777332</v>
      </c>
      <c r="DU76" s="60">
        <f t="shared" si="98"/>
        <v>302.59481222418219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0</v>
      </c>
      <c r="EE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12.555555555555555</v>
      </c>
      <c r="EJ76" s="13">
        <f>IF('Données projet'!$A$192&gt;35,EJ75+EI76-ER75,IF(A76&lt;'Données projet'!$A$192,$EG$205^A76,IF(A76='Données projet'!$A$192,'Données projet'!$B$192,EJ75+EI76-ER75)))</f>
        <v>324.22222222222194</v>
      </c>
      <c r="EK76" s="18">
        <f>EJ76*VLOOKUP('Données projet'!$B$15,Paramètres!$A$1:$I$89,3,0)*VLOOKUP('Données projet'!$B$15,Paramètres!$A$1:$I$89,5,0)</f>
        <v>278.18266666666648</v>
      </c>
      <c r="EL76" s="14">
        <f t="shared" si="99"/>
        <v>66.582808678967709</v>
      </c>
      <c r="EM76" s="22">
        <f t="shared" si="73"/>
        <v>600.46653622697943</v>
      </c>
      <c r="EN76" s="60">
        <f t="shared" si="74"/>
        <v>868.24932042490127</v>
      </c>
      <c r="EO76" s="60">
        <f ca="1">AVERAGE(OFFSET($EN$3,0,0,'Données projet'!$E$15+1,1))-AVERAGE(OFFSET($H$3,0,0,'Données projet'!$E$15+1,1))</f>
        <v>478.11504516179713</v>
      </c>
      <c r="EP76" s="60">
        <f t="shared" si="100"/>
        <v>249.93713224442419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0</v>
      </c>
      <c r="EW76" s="23">
        <f>EXP(-LN(2)/25)*EW75+(1-EXP(-LN(2)/25))/(LN(2)/25)*Calculateur!ER76*Calculateur!ET76*VLOOKUP('Données projet'!$B$15,Paramètres!$A$1:$I$89,3,0)*0.475*44/12</f>
        <v>0</v>
      </c>
      <c r="EX76" s="23">
        <f>EXP(-LN(2)/2)*EX75+(1-EXP(-LN(2)/2))/(LN(2)/2)*ER76*EU76*VLOOKUP('Données projet'!$B$15,Paramètres!$A$1:$I$89,3,0)*0.475*44/12</f>
        <v>0</v>
      </c>
      <c r="EY76" s="24">
        <f t="shared" si="75"/>
        <v>0</v>
      </c>
      <c r="EZ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7.6</v>
      </c>
      <c r="FE76" s="13">
        <f>IF('Données projet'!$A$218&gt;35,FE75+FD76-FM75,IF(A76&lt;'Données projet'!$A$218,$FB$205^A76,IF(A76='Données projet'!$A$218,'Données projet'!$B$218,FE75+FD76-FM75)))</f>
        <v>324.8</v>
      </c>
      <c r="FF76" s="18">
        <f>FE76*VLOOKUP('Données projet'!$B$16,Paramètres!$A$1:$I$89,3,0)*VLOOKUP('Données projet'!$B$16,Paramètres!$A$1:$I$89,5,0)</f>
        <v>314.14656000000002</v>
      </c>
      <c r="FG76" s="14">
        <f t="shared" si="101"/>
        <v>74.134126128922034</v>
      </c>
      <c r="FH76" s="22">
        <f t="shared" si="76"/>
        <v>676.25552834120583</v>
      </c>
      <c r="FI76" s="60">
        <f t="shared" si="77"/>
        <v>944.03831253912767</v>
      </c>
      <c r="FJ76" s="60">
        <f ca="1">AVERAGE(OFFSET($FI$3,0,0,'Données projet'!$E$16+1,1))-AVERAGE(OFFSET($H$3,0,0,'Données projet'!$E$16+1,1))</f>
        <v>603.52431522262032</v>
      </c>
      <c r="FK76" s="60">
        <f t="shared" si="102"/>
        <v>313.56299786481338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>
        <f>EXP(-LN(2)/35)*FQ75+(1-EXP(-LN(2)/35))/(LN(2)/35)*FM76*FN76*VLOOKUP('Données projet'!$B$16,Paramètres!$A$1:$I$89,3,0)*0.475*44/12</f>
        <v>0</v>
      </c>
      <c r="FR76" s="23">
        <f>EXP(-LN(2)/25)*FR75+(1-EXP(-LN(2)/25))/(LN(2)/25)*Calculateur!FM76*Calculateur!FO76*VLOOKUP('Données projet'!$B$16,Paramètres!$A$1:$I$89,3,0)*0.475*44/12</f>
        <v>0</v>
      </c>
      <c r="FS76" s="23">
        <f>EXP(-LN(2)/2)*FS75+(1-EXP(-LN(2)/2))/(LN(2)/2)*FM76*FP76*VLOOKUP('Données projet'!$B$16,Paramètres!$A$1:$I$89,3,0)*0.475*44/12</f>
        <v>0</v>
      </c>
      <c r="FT76" s="24">
        <f t="shared" si="78"/>
        <v>0</v>
      </c>
      <c r="FU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5.1282051282051269</v>
      </c>
      <c r="FZ76" s="13">
        <f>IF('Données projet'!$A$244&gt;35,FZ75+FY76-GH75,IF(A76&lt;'Données projet'!$A$244,$FW$205^A76,IF(A76='Données projet'!$A$244,'Données projet'!$B$244,FZ75+FY76-GH75)))</f>
        <v>292.94871794871801</v>
      </c>
      <c r="GA76" s="18">
        <f>FZ76*VLOOKUP('Données projet'!$B$17,Paramètres!$A$1:$I$89,3,0)*VLOOKUP('Données projet'!$B$17,Paramètres!$A$1:$I$89,5,0)</f>
        <v>196.51000000000005</v>
      </c>
      <c r="GB76" s="14">
        <f t="shared" si="103"/>
        <v>48.976387297804322</v>
      </c>
      <c r="GC76" s="22">
        <f t="shared" si="79"/>
        <v>427.55545787700925</v>
      </c>
      <c r="GD76" s="60">
        <f t="shared" si="80"/>
        <v>695.33824207493103</v>
      </c>
      <c r="GE76" s="60">
        <f ca="1">AVERAGE(OFFSET($GD$3,0,0,'Données projet'!$E$17+1,1))-AVERAGE(OFFSET($H$3,0,0,'Données projet'!$E$17+1,1))</f>
        <v>396.0878652679051</v>
      </c>
      <c r="GF76" s="60">
        <f t="shared" si="104"/>
        <v>327.26339199235406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>
        <f>EXP(-LN(2)/35)*GL75+(1-EXP(-LN(2)/35))/(LN(2)/35)*GH76*GI76*VLOOKUP('Données projet'!$B$17,Paramètres!$A$1:$I$89,3,0)*0.475*44/12</f>
        <v>0</v>
      </c>
      <c r="GM76" s="23">
        <f>EXP(-LN(2)/25)*GM75+(1-EXP(-LN(2)/25))/(LN(2)/25)*Calculateur!GH76*Calculateur!GJ76*VLOOKUP('Données projet'!$B$17,Paramètres!$A$1:$I$89,3,0)*0.475*44/12</f>
        <v>0</v>
      </c>
      <c r="GN76" s="23">
        <f>EXP(-LN(2)/2)*GN75+(1-EXP(-LN(2)/2))/(LN(2)/2)*GH76*GK76*VLOOKUP('Données projet'!$B$17,Paramètres!$A$1:$I$89,3,0)*0.475*44/12</f>
        <v>0</v>
      </c>
      <c r="GO76" s="23">
        <f t="shared" si="81"/>
        <v>0</v>
      </c>
      <c r="GP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-1.1368683772161603E-13</v>
      </c>
      <c r="GV76" s="18">
        <f>GU76*VLOOKUP('Données projet'!$B$18,Paramètres!$A$1:$I$89,3,0)*VLOOKUP('Données projet'!$B$18,Paramètres!$A$1:$I$89,5,0)</f>
        <v>-9.2222762759774927E-14</v>
      </c>
      <c r="GW76" s="14" t="e">
        <f t="shared" si="105"/>
        <v>#NUM!</v>
      </c>
      <c r="GX76" s="22" t="e">
        <f t="shared" si="82"/>
        <v>#NUM!</v>
      </c>
      <c r="GY76" s="60" t="e">
        <f t="shared" si="83"/>
        <v>#NUM!</v>
      </c>
      <c r="GZ76" s="60">
        <f ca="1">AVERAGE(OFFSET($GY$3,0,0,'Données projet'!$E$18+1,1))-AVERAGE(OFFSET($H$3,0,0,'Données projet'!$E$18+1,1))</f>
        <v>272.69564942740931</v>
      </c>
      <c r="HA76" s="60">
        <f t="shared" si="106"/>
        <v>316.57989180609252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>
        <f>EXP(-LN(2)/35)*HG75+(1-EXP(-LN(2)/35))/(LN(2)/35)*HC76*HD76*VLOOKUP('Données projet'!$B$18,Paramètres!$A$1:$I$89,3,0)*0.475*44/12</f>
        <v>0</v>
      </c>
      <c r="HH76" s="23">
        <f>EXP(-LN(2)/25)*HH75+(1-EXP(-LN(2)/25))/(LN(2)/25)*Calculateur!HC76*Calculateur!HE76*VLOOKUP('Données projet'!$B$18,Paramètres!$A$1:$I$89,3,0)*0.475*44/12</f>
        <v>0</v>
      </c>
      <c r="HI76" s="23">
        <f>EXP(-LN(2)/2)*HI75+(1-EXP(-LN(2)/2))/(LN(2)/2)*HC76*HF76*VLOOKUP('Données projet'!$B$18,Paramètres!$A$1:$I$89,3,0)*0.475*44/12</f>
        <v>0</v>
      </c>
      <c r="HJ76" s="24">
        <f t="shared" si="84"/>
        <v>0</v>
      </c>
    </row>
    <row r="77" spans="1:218" s="5" customFormat="1" x14ac:dyDescent="0.25">
      <c r="A77" s="11">
        <f t="shared" si="85"/>
        <v>74</v>
      </c>
      <c r="B77" s="75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8">
        <f t="shared" si="56"/>
        <v>183.33333333333334</v>
      </c>
      <c r="I77" s="7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7.6</v>
      </c>
      <c r="N77" s="14">
        <f>IF('Données projet'!$A$36&gt;35,N76+M77-V76,IF(A77&lt;'Données projet'!$A$36,$K$205^A77,IF(A77='Données projet'!$A$36,'Données projet'!$B$36,N76+M77-V76)))</f>
        <v>332.40000000000003</v>
      </c>
      <c r="O77" s="14">
        <f>N77*VLOOKUP('Données projet'!$B$9,Paramètres!$A$1:$I$89,3,0)*VLOOKUP('Données projet'!$B$9,Paramètres!$A$1:$I$89,5,0)</f>
        <v>300.75551999999999</v>
      </c>
      <c r="P77" s="14">
        <f t="shared" si="87"/>
        <v>71.334826294482014</v>
      </c>
      <c r="Q77" s="22">
        <f t="shared" si="54"/>
        <v>648.05735312955619</v>
      </c>
      <c r="R77" s="60">
        <f t="shared" si="55"/>
        <v>916.28338223250705</v>
      </c>
      <c r="S77" s="60">
        <f ca="1">AVERAGE(OFFSET($R$3,0,0,'Données projet'!$E$9+1,1))-AVERAGE(OFFSET($H$3,0,0,'Données projet'!$E$9+1,1))</f>
        <v>570.08763950759544</v>
      </c>
      <c r="T77" s="60">
        <f t="shared" si="88"/>
        <v>297.32483725004136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4.1799999999999953</v>
      </c>
      <c r="AI77" s="14">
        <f>IF('Données projet'!$A$62&gt;35,AI76+AH77-AQ76,IF(A77&lt;'Données projet'!$A$62,$AF$205^A77,IF(A77='Données projet'!$A$62,'Données projet'!$B$62,AI76+AH77-AQ76)))</f>
        <v>319.31999999999994</v>
      </c>
      <c r="AJ77" s="14">
        <f>AI77*VLOOKUP('Données projet'!$B$10,Paramètres!$A$1:$I$89,3,0)*VLOOKUP('Données projet'!$B$10,Paramètres!$A$1:$I$89,5,0)</f>
        <v>254.05099199999995</v>
      </c>
      <c r="AK77" s="14">
        <f t="shared" si="89"/>
        <v>61.45258663488832</v>
      </c>
      <c r="AL77" s="22">
        <f t="shared" si="58"/>
        <v>549.50206612243039</v>
      </c>
      <c r="AM77" s="60">
        <f t="shared" si="59"/>
        <v>817.72809522538125</v>
      </c>
      <c r="AN77" s="60">
        <f ca="1">AVERAGE(OFFSET($AM$3,0,0,'Données projet'!$E$10+1,1))-AVERAGE(OFFSET($H$3,0,0,'Données projet'!$E$10+1,1))</f>
        <v>394.49874384716014</v>
      </c>
      <c r="AO77" s="60">
        <f t="shared" si="90"/>
        <v>423.72519584013378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3.4000000000000172</v>
      </c>
      <c r="BD77" s="13">
        <f>IF('Données projet'!$A$88&gt;35,BD76+BC77-BL76,IF(A77&lt;'Données projet'!$A$88,$BA$205^A77,IF(A77='Données projet'!$A$88,'Données projet'!$B$88,BD76+BC77-BL76)))</f>
        <v>266.30000000000024</v>
      </c>
      <c r="BE77" s="14">
        <f>BD77*VLOOKUP('Données projet'!$B$11,Paramètres!$A$1:$I$89,3,0)*VLOOKUP('Données projet'!$B$11,Paramètres!$A$1:$I$89,5,0)</f>
        <v>232.63968000000025</v>
      </c>
      <c r="BF77" s="14">
        <f t="shared" si="91"/>
        <v>56.853062439636545</v>
      </c>
      <c r="BG77" s="22">
        <f t="shared" si="61"/>
        <v>504.19985974903403</v>
      </c>
      <c r="BH77" s="60">
        <f t="shared" si="62"/>
        <v>772.42588885198484</v>
      </c>
      <c r="BI77" s="60">
        <f ca="1">AVERAGE(OFFSET($BH$3,0,0,'Données projet'!$E$11+1,1))-AVERAGE(OFFSET($H$3,0,0,'Données projet'!$E$11+1,1))</f>
        <v>363.28611056308665</v>
      </c>
      <c r="BJ77" s="60">
        <f t="shared" si="92"/>
        <v>389.43647559455974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4.4871794871794863</v>
      </c>
      <c r="BY77" s="13">
        <f>IF('Données projet'!$A$114&gt;35,BY76+BX77-CG76,IF(A77&lt;'Données projet'!$A$114,$BV$205^A77,IF(A77='Données projet'!$A$114,'Données projet'!$B$114,BY76+BX77-CG76)))</f>
        <v>241.66666666666657</v>
      </c>
      <c r="BZ77" s="14">
        <f>BY77*VLOOKUP('Données projet'!$B$12,Paramètres!$A$1:$I$89,3,0)*VLOOKUP('Données projet'!$B$12,Paramètres!$A$1:$I$89,5,0)</f>
        <v>229.96999999999991</v>
      </c>
      <c r="CA77" s="14">
        <f t="shared" si="93"/>
        <v>56.276194780495985</v>
      </c>
      <c r="CB77" s="22">
        <f t="shared" si="64"/>
        <v>498.54545590936368</v>
      </c>
      <c r="CC77" s="60">
        <f t="shared" si="65"/>
        <v>766.77148501231454</v>
      </c>
      <c r="CD77" s="60">
        <f ca="1">AVERAGE(OFFSET($CC$3,0,0,'Données projet'!$E$12+1,1))-AVERAGE(OFFSET($H$3,0,0,'Données projet'!$E$12+1,1))</f>
        <v>441.15969139782891</v>
      </c>
      <c r="CE77" s="60">
        <f t="shared" si="94"/>
        <v>315.06466790224783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4.1799999999999953</v>
      </c>
      <c r="CT77" s="13">
        <f>IF('Données projet'!$A$140&gt;35,CT76+CS77-DB76,IF(A77&lt;'Données projet'!$A$140,$CQ$205^A77,IF(A77='Données projet'!$A$140,'Données projet'!$B$140,CT76+CS77-DB76)))</f>
        <v>319.31999999999994</v>
      </c>
      <c r="CU77" s="18">
        <f>CT77*VLOOKUP('Données projet'!$B$13,Paramètres!$A$1:$I$89,3,0)*VLOOKUP('Données projet'!$B$13,Paramètres!$A$1:$I$89,5,0)</f>
        <v>234.12542399999995</v>
      </c>
      <c r="CV77" s="14">
        <f t="shared" si="95"/>
        <v>57.173769626631554</v>
      </c>
      <c r="CW77" s="22">
        <f t="shared" si="67"/>
        <v>507.34609556638321</v>
      </c>
      <c r="CX77" s="60">
        <f t="shared" si="68"/>
        <v>775.57212466933402</v>
      </c>
      <c r="CY77" s="60">
        <f ca="1">AVERAGE(OFFSET($CX$3,0,0,'Données projet'!$E$13+1,1))-AVERAGE(OFFSET($H$3,0,0,'Données projet'!$E$13+1,1))</f>
        <v>368.35775920359396</v>
      </c>
      <c r="CZ77" s="60">
        <f t="shared" si="96"/>
        <v>395.5218438652638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1.1368683772161603E-13</v>
      </c>
      <c r="DP77" s="18">
        <f>DO77*VLOOKUP('Données projet'!$B$14,Paramètres!$A$1:$I$89,3,0)*VLOOKUP('Données projet'!$B$14,Paramètres!$A$1:$I$89,5,0)</f>
        <v>8.8675733422860506E-14</v>
      </c>
      <c r="DQ77" s="14">
        <f t="shared" si="97"/>
        <v>1.3509285393066301E-12</v>
      </c>
      <c r="DR77" s="22">
        <f t="shared" si="70"/>
        <v>2.5073107750038623E-12</v>
      </c>
      <c r="DS77" s="60">
        <f t="shared" si="71"/>
        <v>268.22602910295336</v>
      </c>
      <c r="DT77" s="60">
        <f ca="1">AVERAGE(OFFSET($DS$3,0,0,'Données projet'!$E$14+1,1))-AVERAGE(OFFSET($H$3,0,0,'Données projet'!$E$14+1,1))</f>
        <v>312.59632808777332</v>
      </c>
      <c r="DU77" s="60">
        <f t="shared" si="98"/>
        <v>302.59481222418219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0</v>
      </c>
      <c r="EE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12.555555555555555</v>
      </c>
      <c r="EJ77" s="13">
        <f>IF('Données projet'!$A$192&gt;35,EJ76+EI77-ER76,IF(A77&lt;'Données projet'!$A$192,$EG$205^A77,IF(A77='Données projet'!$A$192,'Données projet'!$B$192,EJ76+EI77-ER76)))</f>
        <v>336.77777777777749</v>
      </c>
      <c r="EK77" s="18">
        <f>EJ77*VLOOKUP('Données projet'!$B$15,Paramètres!$A$1:$I$89,3,0)*VLOOKUP('Données projet'!$B$15,Paramètres!$A$1:$I$89,5,0)</f>
        <v>288.95533333333316</v>
      </c>
      <c r="EL77" s="14">
        <f t="shared" si="99"/>
        <v>68.856046690289261</v>
      </c>
      <c r="EM77" s="22">
        <f t="shared" si="73"/>
        <v>623.18815354114236</v>
      </c>
      <c r="EN77" s="60">
        <f t="shared" si="74"/>
        <v>891.41418264409322</v>
      </c>
      <c r="EO77" s="60">
        <f ca="1">AVERAGE(OFFSET($EN$3,0,0,'Données projet'!$E$15+1,1))-AVERAGE(OFFSET($H$3,0,0,'Données projet'!$E$15+1,1))</f>
        <v>478.11504516179713</v>
      </c>
      <c r="EP77" s="60">
        <f t="shared" si="100"/>
        <v>249.93713224442419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0</v>
      </c>
      <c r="EW77" s="23">
        <f>EXP(-LN(2)/25)*EW76+(1-EXP(-LN(2)/25))/(LN(2)/25)*Calculateur!ER77*Calculateur!ET77*VLOOKUP('Données projet'!$B$15,Paramètres!$A$1:$I$89,3,0)*0.475*44/12</f>
        <v>0</v>
      </c>
      <c r="EX77" s="23">
        <f>EXP(-LN(2)/2)*EX76+(1-EXP(-LN(2)/2))/(LN(2)/2)*ER77*EU77*VLOOKUP('Données projet'!$B$15,Paramètres!$A$1:$I$89,3,0)*0.475*44/12</f>
        <v>0</v>
      </c>
      <c r="EY77" s="24">
        <f t="shared" si="75"/>
        <v>0</v>
      </c>
      <c r="EZ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7.6</v>
      </c>
      <c r="FE77" s="13">
        <f>IF('Données projet'!$A$218&gt;35,FE76+FD77-FM76,IF(A77&lt;'Données projet'!$A$218,$FB$205^A77,IF(A77='Données projet'!$A$218,'Données projet'!$B$218,FE76+FD77-FM76)))</f>
        <v>332.40000000000003</v>
      </c>
      <c r="FF77" s="18">
        <f>FE77*VLOOKUP('Données projet'!$B$16,Paramètres!$A$1:$I$89,3,0)*VLOOKUP('Données projet'!$B$16,Paramètres!$A$1:$I$89,5,0)</f>
        <v>321.49728000000005</v>
      </c>
      <c r="FG77" s="14">
        <f t="shared" si="101"/>
        <v>75.664807195585155</v>
      </c>
      <c r="FH77" s="22">
        <f t="shared" si="76"/>
        <v>691.72396853231078</v>
      </c>
      <c r="FI77" s="60">
        <f t="shared" si="77"/>
        <v>959.94999763526164</v>
      </c>
      <c r="FJ77" s="60">
        <f ca="1">AVERAGE(OFFSET($FI$3,0,0,'Données projet'!$E$16+1,1))-AVERAGE(OFFSET($H$3,0,0,'Données projet'!$E$16+1,1))</f>
        <v>603.52431522262032</v>
      </c>
      <c r="FK77" s="60">
        <f t="shared" si="102"/>
        <v>313.56299786481338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>
        <f>EXP(-LN(2)/35)*FQ76+(1-EXP(-LN(2)/35))/(LN(2)/35)*FM77*FN77*VLOOKUP('Données projet'!$B$16,Paramètres!$A$1:$I$89,3,0)*0.475*44/12</f>
        <v>0</v>
      </c>
      <c r="FR77" s="23">
        <f>EXP(-LN(2)/25)*FR76+(1-EXP(-LN(2)/25))/(LN(2)/25)*Calculateur!FM77*Calculateur!FO77*VLOOKUP('Données projet'!$B$16,Paramètres!$A$1:$I$89,3,0)*0.475*44/12</f>
        <v>0</v>
      </c>
      <c r="FS77" s="23">
        <f>EXP(-LN(2)/2)*FS76+(1-EXP(-LN(2)/2))/(LN(2)/2)*FM77*FP77*VLOOKUP('Données projet'!$B$16,Paramètres!$A$1:$I$89,3,0)*0.475*44/12</f>
        <v>0</v>
      </c>
      <c r="FT77" s="24">
        <f t="shared" si="78"/>
        <v>0</v>
      </c>
      <c r="FU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5.1282051282051269</v>
      </c>
      <c r="FZ77" s="13">
        <f>IF('Données projet'!$A$244&gt;35,FZ76+FY77-GH76,IF(A77&lt;'Données projet'!$A$244,$FW$205^A77,IF(A77='Données projet'!$A$244,'Données projet'!$B$244,FZ76+FY77-GH76)))</f>
        <v>298.07692307692315</v>
      </c>
      <c r="GA77" s="18">
        <f>FZ77*VLOOKUP('Données projet'!$B$17,Paramètres!$A$1:$I$89,3,0)*VLOOKUP('Données projet'!$B$17,Paramètres!$A$1:$I$89,5,0)</f>
        <v>199.95000000000007</v>
      </c>
      <c r="GB77" s="14">
        <f t="shared" si="103"/>
        <v>49.733179078835313</v>
      </c>
      <c r="GC77" s="22">
        <f t="shared" si="79"/>
        <v>434.8648702289716</v>
      </c>
      <c r="GD77" s="60">
        <f t="shared" si="80"/>
        <v>703.0908993319224</v>
      </c>
      <c r="GE77" s="60">
        <f ca="1">AVERAGE(OFFSET($GD$3,0,0,'Données projet'!$E$17+1,1))-AVERAGE(OFFSET($H$3,0,0,'Données projet'!$E$17+1,1))</f>
        <v>396.0878652679051</v>
      </c>
      <c r="GF77" s="60">
        <f t="shared" si="104"/>
        <v>327.26339199235406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>
        <f>EXP(-LN(2)/35)*GL76+(1-EXP(-LN(2)/35))/(LN(2)/35)*GH77*GI77*VLOOKUP('Données projet'!$B$17,Paramètres!$A$1:$I$89,3,0)*0.475*44/12</f>
        <v>0</v>
      </c>
      <c r="GM77" s="23">
        <f>EXP(-LN(2)/25)*GM76+(1-EXP(-LN(2)/25))/(LN(2)/25)*Calculateur!GH77*Calculateur!GJ77*VLOOKUP('Données projet'!$B$17,Paramètres!$A$1:$I$89,3,0)*0.475*44/12</f>
        <v>0</v>
      </c>
      <c r="GN77" s="23">
        <f>EXP(-LN(2)/2)*GN76+(1-EXP(-LN(2)/2))/(LN(2)/2)*GH77*GK77*VLOOKUP('Données projet'!$B$17,Paramètres!$A$1:$I$89,3,0)*0.475*44/12</f>
        <v>0</v>
      </c>
      <c r="GO77" s="23">
        <f t="shared" si="81"/>
        <v>0</v>
      </c>
      <c r="GP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-1.1368683772161603E-13</v>
      </c>
      <c r="GV77" s="18">
        <f>GU77*VLOOKUP('Données projet'!$B$18,Paramètres!$A$1:$I$89,3,0)*VLOOKUP('Données projet'!$B$18,Paramètres!$A$1:$I$89,5,0)</f>
        <v>-9.2222762759774927E-14</v>
      </c>
      <c r="GW77" s="14" t="e">
        <f t="shared" si="105"/>
        <v>#NUM!</v>
      </c>
      <c r="GX77" s="22" t="e">
        <f t="shared" si="82"/>
        <v>#NUM!</v>
      </c>
      <c r="GY77" s="60" t="e">
        <f t="shared" si="83"/>
        <v>#NUM!</v>
      </c>
      <c r="GZ77" s="60">
        <f ca="1">AVERAGE(OFFSET($GY$3,0,0,'Données projet'!$E$18+1,1))-AVERAGE(OFFSET($H$3,0,0,'Données projet'!$E$18+1,1))</f>
        <v>272.69564942740931</v>
      </c>
      <c r="HA77" s="60">
        <f t="shared" si="106"/>
        <v>316.57989180609252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>
        <f>EXP(-LN(2)/35)*HG76+(1-EXP(-LN(2)/35))/(LN(2)/35)*HC77*HD77*VLOOKUP('Données projet'!$B$18,Paramètres!$A$1:$I$89,3,0)*0.475*44/12</f>
        <v>0</v>
      </c>
      <c r="HH77" s="23">
        <f>EXP(-LN(2)/25)*HH76+(1-EXP(-LN(2)/25))/(LN(2)/25)*Calculateur!HC77*Calculateur!HE77*VLOOKUP('Données projet'!$B$18,Paramètres!$A$1:$I$89,3,0)*0.475*44/12</f>
        <v>0</v>
      </c>
      <c r="HI77" s="23">
        <f>EXP(-LN(2)/2)*HI76+(1-EXP(-LN(2)/2))/(LN(2)/2)*HC77*HF77*VLOOKUP('Données projet'!$B$18,Paramètres!$A$1:$I$89,3,0)*0.475*44/12</f>
        <v>0</v>
      </c>
      <c r="HJ77" s="24">
        <f t="shared" si="84"/>
        <v>0</v>
      </c>
    </row>
    <row r="78" spans="1:218" s="5" customFormat="1" x14ac:dyDescent="0.25">
      <c r="A78" s="11">
        <f t="shared" si="85"/>
        <v>75</v>
      </c>
      <c r="B78" s="75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8">
        <f t="shared" si="56"/>
        <v>183.33333333333334</v>
      </c>
      <c r="I78" s="7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340</v>
      </c>
      <c r="L78" s="13">
        <f>VLOOKUP(A78,'Données projet'!$A$35:$I$55,9,0)</f>
        <v>7.6</v>
      </c>
      <c r="M78" s="13">
        <f t="array" ref="M78">INDEX(L:L,MIN(IF(ISNUMBER(L78:L274),ROW(L78:L274),"")))</f>
        <v>7.6</v>
      </c>
      <c r="N78" s="14">
        <f>IF('Données projet'!$A$36&gt;35,N77+M78-V77,IF(A78&lt;'Données projet'!$A$36,$K$205^A78,IF(A78='Données projet'!$A$36,'Données projet'!$B$36,N77+M78-V77)))</f>
        <v>340.00000000000006</v>
      </c>
      <c r="O78" s="14">
        <f>N78*VLOOKUP('Données projet'!$B$9,Paramètres!$A$1:$I$89,3,0)*VLOOKUP('Données projet'!$B$9,Paramètres!$A$1:$I$89,5,0)</f>
        <v>307.63200000000006</v>
      </c>
      <c r="P78" s="14">
        <f t="shared" si="87"/>
        <v>72.774077039465567</v>
      </c>
      <c r="Q78" s="22">
        <f t="shared" si="54"/>
        <v>662.54058417706926</v>
      </c>
      <c r="R78" s="60">
        <f t="shared" si="55"/>
        <v>931.20216887689412</v>
      </c>
      <c r="S78" s="60">
        <f ca="1">AVERAGE(OFFSET($R$3,0,0,'Données projet'!$E$9+1,1))-AVERAGE(OFFSET($H$3,0,0,'Données projet'!$E$9+1,1))</f>
        <v>570.08763950759544</v>
      </c>
      <c r="T78" s="60">
        <f t="shared" si="88"/>
        <v>297.32483725004136</v>
      </c>
      <c r="U78" s="16">
        <f>IF(ISNA(VLOOKUP(A78,'Données projet'!$A$35:$I$55,3,0)),0,VLOOKUP(A78,'Données projet'!$A$35:$I$55,3,0))</f>
        <v>6</v>
      </c>
      <c r="V78" s="16">
        <f>IF(ISNA(VLOOKUP(A78,'Données projet'!$A$35:$I$55,4,0)),0,VLOOKUP(A78,'Données projet'!$A$35:$I$55,4,0))</f>
        <v>56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323.5</v>
      </c>
      <c r="AG78" s="13">
        <f>VLOOKUP(A78,'Données projet'!$A$61:$I$81,9,0)</f>
        <v>4.1799999999999953</v>
      </c>
      <c r="AH78" s="13">
        <f t="array" ref="AH78">INDEX(AG:AG,MIN(IF(ISNUMBER(AG78:AG274),ROW(AG78:AG274),"")))</f>
        <v>4.1799999999999953</v>
      </c>
      <c r="AI78" s="14">
        <f>IF('Données projet'!$A$62&gt;35,AI77+AH78-AQ77,IF(A78&lt;'Données projet'!$A$62,$AF$205^A78,IF(A78='Données projet'!$A$62,'Données projet'!$B$62,AI77+AH78-AQ77)))</f>
        <v>323.49999999999994</v>
      </c>
      <c r="AJ78" s="14">
        <f>AI78*VLOOKUP('Données projet'!$B$10,Paramètres!$A$1:$I$89,3,0)*VLOOKUP('Données projet'!$B$10,Paramètres!$A$1:$I$89,5,0)</f>
        <v>257.3766</v>
      </c>
      <c r="AK78" s="14">
        <f t="shared" si="89"/>
        <v>62.162845465331493</v>
      </c>
      <c r="AL78" s="22">
        <f t="shared" si="58"/>
        <v>556.53120085211901</v>
      </c>
      <c r="AM78" s="60">
        <f t="shared" si="59"/>
        <v>825.19278555194387</v>
      </c>
      <c r="AN78" s="60">
        <f ca="1">AVERAGE(OFFSET($AM$3,0,0,'Données projet'!$E$10+1,1))-AVERAGE(OFFSET($H$3,0,0,'Données projet'!$E$10+1,1))</f>
        <v>394.49874384716014</v>
      </c>
      <c r="AO78" s="60">
        <f t="shared" si="90"/>
        <v>423.72519584013378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269.70000000000005</v>
      </c>
      <c r="BB78" s="13">
        <f>VLOOKUP(A78,'Données projet'!$A$87:$I$107,9,0)</f>
        <v>3.4000000000000172</v>
      </c>
      <c r="BC78" s="13">
        <f t="array" ref="BC78">INDEX(BB:BB,MIN(IF(ISNUMBER(BB78:BB274),ROW(BB78:BB274),"")))</f>
        <v>3.4000000000000172</v>
      </c>
      <c r="BD78" s="13">
        <f>IF('Données projet'!$A$88&gt;35,BD77+BC78-BL77,IF(A78&lt;'Données projet'!$A$88,$BA$205^A78,IF(A78='Données projet'!$A$88,'Données projet'!$B$88,BD77+BC78-BL77)))</f>
        <v>269.70000000000027</v>
      </c>
      <c r="BE78" s="14">
        <f>BD78*VLOOKUP('Données projet'!$B$11,Paramètres!$A$1:$I$89,3,0)*VLOOKUP('Données projet'!$B$11,Paramètres!$A$1:$I$89,5,0)</f>
        <v>235.6099200000003</v>
      </c>
      <c r="BF78" s="14">
        <f t="shared" si="91"/>
        <v>57.493970912943951</v>
      </c>
      <c r="BG78" s="22">
        <f t="shared" si="61"/>
        <v>510.4892766733779</v>
      </c>
      <c r="BH78" s="60">
        <f t="shared" si="62"/>
        <v>779.1508613732027</v>
      </c>
      <c r="BI78" s="60">
        <f ca="1">AVERAGE(OFFSET($BH$3,0,0,'Données projet'!$E$11+1,1))-AVERAGE(OFFSET($H$3,0,0,'Données projet'!$E$11+1,1))</f>
        <v>363.28611056308665</v>
      </c>
      <c r="BJ78" s="60">
        <f t="shared" si="92"/>
        <v>389.43647559455974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246.15384615384613</v>
      </c>
      <c r="BW78" s="13">
        <f>VLOOKUP(A78,'Données projet'!$A$113:$I$133,9,0)</f>
        <v>4.4871794871794863</v>
      </c>
      <c r="BX78" s="13">
        <f t="array" ref="BX78">INDEX(BW:BW,MIN(IF(ISNUMBER(BW78:BW274),ROW(BW78:BW274),"")))</f>
        <v>4.4871794871794863</v>
      </c>
      <c r="BY78" s="13">
        <f>IF('Données projet'!$A$114&gt;35,BY77+BX78-CG77,IF(A78&lt;'Données projet'!$A$114,$BV$205^A78,IF(A78='Données projet'!$A$114,'Données projet'!$B$114,BY77+BX78-CG77)))</f>
        <v>246.15384615384605</v>
      </c>
      <c r="BZ78" s="14">
        <f>BY78*VLOOKUP('Données projet'!$B$12,Paramètres!$A$1:$I$89,3,0)*VLOOKUP('Données projet'!$B$12,Paramètres!$A$1:$I$89,5,0)</f>
        <v>234.2399999999999</v>
      </c>
      <c r="CA78" s="14">
        <f t="shared" si="93"/>
        <v>57.19849172024869</v>
      </c>
      <c r="CB78" s="22">
        <f t="shared" si="64"/>
        <v>507.58870641276627</v>
      </c>
      <c r="CC78" s="60">
        <f t="shared" si="65"/>
        <v>776.25029111259107</v>
      </c>
      <c r="CD78" s="60">
        <f ca="1">AVERAGE(OFFSET($CC$3,0,0,'Données projet'!$E$12+1,1))-AVERAGE(OFFSET($H$3,0,0,'Données projet'!$E$12+1,1))</f>
        <v>441.15969139782891</v>
      </c>
      <c r="CE78" s="60">
        <f t="shared" si="94"/>
        <v>315.06466790224783</v>
      </c>
      <c r="CF78" s="16">
        <f>IF(ISNA(VLOOKUP(A78,'Données projet'!$A$113:$I$133,3,0)),0,VLOOKUP(A78,'Données projet'!$A$113:$I$133,3,0))</f>
        <v>6</v>
      </c>
      <c r="CG78" s="16">
        <f>IF(ISNA(VLOOKUP(A78,'Données projet'!$A$113:$I$133,4,0)),0,VLOOKUP(A78,'Données projet'!$A$113:$I$133,4,0))</f>
        <v>30.769230769230766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323.5</v>
      </c>
      <c r="CR78" s="13">
        <f>VLOOKUP(A78,'Données projet'!$A$139:$I$159,9,0)</f>
        <v>4.1799999999999953</v>
      </c>
      <c r="CS78" s="13">
        <f t="array" ref="CS78">INDEX(CR:CR,MIN(IF(ISNUMBER(CR78:CR274),ROW(CR78:CR274),"")))</f>
        <v>4.1799999999999953</v>
      </c>
      <c r="CT78" s="13">
        <f>IF('Données projet'!$A$140&gt;35,CT77+CS78-DB77,IF(A78&lt;'Données projet'!$A$140,$CQ$205^A78,IF(A78='Données projet'!$A$140,'Données projet'!$B$140,CT77+CS78-DB77)))</f>
        <v>323.49999999999994</v>
      </c>
      <c r="CU78" s="18">
        <f>CT78*VLOOKUP('Données projet'!$B$13,Paramètres!$A$1:$I$89,3,0)*VLOOKUP('Données projet'!$B$13,Paramètres!$A$1:$I$89,5,0)</f>
        <v>237.19019999999995</v>
      </c>
      <c r="CV78" s="14">
        <f t="shared" si="95"/>
        <v>57.834574597922789</v>
      </c>
      <c r="CW78" s="22">
        <f t="shared" si="67"/>
        <v>513.83481575804865</v>
      </c>
      <c r="CX78" s="60">
        <f t="shared" si="68"/>
        <v>782.49640045787351</v>
      </c>
      <c r="CY78" s="60">
        <f ca="1">AVERAGE(OFFSET($CX$3,0,0,'Données projet'!$E$13+1,1))-AVERAGE(OFFSET($H$3,0,0,'Données projet'!$E$13+1,1))</f>
        <v>368.35775920359396</v>
      </c>
      <c r="CZ78" s="60">
        <f t="shared" si="96"/>
        <v>395.5218438652638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1.1368683772161603E-13</v>
      </c>
      <c r="DP78" s="18">
        <f>DO78*VLOOKUP('Données projet'!$B$14,Paramètres!$A$1:$I$89,3,0)*VLOOKUP('Données projet'!$B$14,Paramètres!$A$1:$I$89,5,0)</f>
        <v>8.8675733422860506E-14</v>
      </c>
      <c r="DQ78" s="14">
        <f t="shared" si="97"/>
        <v>1.3509285393066301E-12</v>
      </c>
      <c r="DR78" s="22">
        <f t="shared" si="70"/>
        <v>2.5073107750038623E-12</v>
      </c>
      <c r="DS78" s="60">
        <f t="shared" si="71"/>
        <v>268.6615846998273</v>
      </c>
      <c r="DT78" s="60">
        <f ca="1">AVERAGE(OFFSET($DS$3,0,0,'Données projet'!$E$14+1,1))-AVERAGE(OFFSET($H$3,0,0,'Données projet'!$E$14+1,1))</f>
        <v>312.59632808777332</v>
      </c>
      <c r="DU78" s="60">
        <f t="shared" si="98"/>
        <v>302.59481222418219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0</v>
      </c>
      <c r="EE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12.555555555555555</v>
      </c>
      <c r="EJ78" s="13">
        <f>IF('Données projet'!$A$192&gt;35,EJ77+EI78-ER77,IF(A78&lt;'Données projet'!$A$192,$EG$205^A78,IF(A78='Données projet'!$A$192,'Données projet'!$B$192,EJ77+EI78-ER77)))</f>
        <v>349.33333333333303</v>
      </c>
      <c r="EK78" s="18">
        <f>EJ78*VLOOKUP('Données projet'!$B$15,Paramètres!$A$1:$I$89,3,0)*VLOOKUP('Données projet'!$B$15,Paramètres!$A$1:$I$89,5,0)</f>
        <v>299.72799999999978</v>
      </c>
      <c r="EL78" s="14">
        <f t="shared" si="99"/>
        <v>71.119438818118951</v>
      </c>
      <c r="EM78" s="22">
        <f t="shared" si="73"/>
        <v>645.89262260822341</v>
      </c>
      <c r="EN78" s="60">
        <f t="shared" si="74"/>
        <v>914.55420730804826</v>
      </c>
      <c r="EO78" s="60">
        <f ca="1">AVERAGE(OFFSET($EN$3,0,0,'Données projet'!$E$15+1,1))-AVERAGE(OFFSET($H$3,0,0,'Données projet'!$E$15+1,1))</f>
        <v>478.11504516179713</v>
      </c>
      <c r="EP78" s="60">
        <f t="shared" si="100"/>
        <v>249.93713224442419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0</v>
      </c>
      <c r="EW78" s="23">
        <f>EXP(-LN(2)/25)*EW77+(1-EXP(-LN(2)/25))/(LN(2)/25)*Calculateur!ER78*Calculateur!ET78*VLOOKUP('Données projet'!$B$15,Paramètres!$A$1:$I$89,3,0)*0.475*44/12</f>
        <v>0</v>
      </c>
      <c r="EX78" s="23">
        <f>EXP(-LN(2)/2)*EX77+(1-EXP(-LN(2)/2))/(LN(2)/2)*ER78*EU78*VLOOKUP('Données projet'!$B$15,Paramètres!$A$1:$I$89,3,0)*0.475*44/12</f>
        <v>0</v>
      </c>
      <c r="EY78" s="24">
        <f t="shared" si="75"/>
        <v>0</v>
      </c>
      <c r="EZ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>
        <f>VLOOKUP(A78,'Données projet'!$A$217:$I$237,2,0)</f>
        <v>340</v>
      </c>
      <c r="FC78" s="13">
        <f>VLOOKUP(A78,'Données projet'!$A$217:$I$237,9,0)</f>
        <v>7.6</v>
      </c>
      <c r="FD78" s="13">
        <f t="array" ref="FD78">INDEX(FC:FC,MIN(IF(ISNUMBER(FC78:FC274),ROW(FC78:FC274),"")))</f>
        <v>7.6</v>
      </c>
      <c r="FE78" s="13">
        <f>IF('Données projet'!$A$218&gt;35,FE77+FD78-FM77,IF(A78&lt;'Données projet'!$A$218,$FB$205^A78,IF(A78='Données projet'!$A$218,'Données projet'!$B$218,FE77+FD78-FM77)))</f>
        <v>340.00000000000006</v>
      </c>
      <c r="FF78" s="18">
        <f>FE78*VLOOKUP('Données projet'!$B$16,Paramètres!$A$1:$I$89,3,0)*VLOOKUP('Données projet'!$B$16,Paramètres!$A$1:$I$89,5,0)</f>
        <v>328.84800000000007</v>
      </c>
      <c r="FG78" s="14">
        <f t="shared" si="101"/>
        <v>77.191419592112595</v>
      </c>
      <c r="FH78" s="22">
        <f t="shared" si="76"/>
        <v>707.18532245626284</v>
      </c>
      <c r="FI78" s="60">
        <f t="shared" si="77"/>
        <v>975.84690715608758</v>
      </c>
      <c r="FJ78" s="60">
        <f ca="1">AVERAGE(OFFSET($FI$3,0,0,'Données projet'!$E$16+1,1))-AVERAGE(OFFSET($H$3,0,0,'Données projet'!$E$16+1,1))</f>
        <v>603.52431522262032</v>
      </c>
      <c r="FK78" s="60">
        <f t="shared" si="102"/>
        <v>313.56299786481338</v>
      </c>
      <c r="FL78" s="16">
        <f>IF(ISNA(VLOOKUP(A78,'Données projet'!$A$217:$I$237,3,0)),0,VLOOKUP(A78,'Données projet'!$A$217:$I$237,3,0))</f>
        <v>6</v>
      </c>
      <c r="FM78" s="16">
        <f>IF(ISNA(VLOOKUP(A78,'Données projet'!$A$217:$I$237,4,0)),0,VLOOKUP(A78,'Données projet'!$A$217:$I$237,4,0))</f>
        <v>56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>
        <f>EXP(-LN(2)/35)*FQ77+(1-EXP(-LN(2)/35))/(LN(2)/35)*FM78*FN78*VLOOKUP('Données projet'!$B$16,Paramètres!$A$1:$I$89,3,0)*0.475*44/12</f>
        <v>0</v>
      </c>
      <c r="FR78" s="23">
        <f>EXP(-LN(2)/25)*FR77+(1-EXP(-LN(2)/25))/(LN(2)/25)*Calculateur!FM78*Calculateur!FO78*VLOOKUP('Données projet'!$B$16,Paramètres!$A$1:$I$89,3,0)*0.475*44/12</f>
        <v>0</v>
      </c>
      <c r="FS78" s="23">
        <f>EXP(-LN(2)/2)*FS77+(1-EXP(-LN(2)/2))/(LN(2)/2)*FM78*FP78*VLOOKUP('Données projet'!$B$16,Paramètres!$A$1:$I$89,3,0)*0.475*44/12</f>
        <v>0</v>
      </c>
      <c r="FT78" s="24">
        <f t="shared" si="78"/>
        <v>0</v>
      </c>
      <c r="FU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>
        <f>VLOOKUP(A78,'Données projet'!$A$243:$I$263,2,0)</f>
        <v>303.20512820512818</v>
      </c>
      <c r="FX78" s="13">
        <f>VLOOKUP(A78,'Données projet'!$A$243:$I$263,9,0)</f>
        <v>5.1282051282051269</v>
      </c>
      <c r="FY78" s="13">
        <f t="array" ref="FY78">INDEX(FX:FX,MIN(IF(ISNUMBER(FX78:FX274),ROW(FX78:FX274),"")))</f>
        <v>5.1282051282051269</v>
      </c>
      <c r="FZ78" s="13">
        <f>IF('Données projet'!$A$244&gt;35,FZ77+FY78-GH77,IF(A78&lt;'Données projet'!$A$244,$FW$205^A78,IF(A78='Données projet'!$A$244,'Données projet'!$B$244,FZ77+FY78-GH77)))</f>
        <v>303.20512820512829</v>
      </c>
      <c r="GA78" s="18">
        <f>FZ78*VLOOKUP('Données projet'!$B$17,Paramètres!$A$1:$I$89,3,0)*VLOOKUP('Données projet'!$B$17,Paramètres!$A$1:$I$89,5,0)</f>
        <v>203.39000000000007</v>
      </c>
      <c r="GB78" s="14">
        <f t="shared" si="103"/>
        <v>50.488456760806663</v>
      </c>
      <c r="GC78" s="22">
        <f t="shared" si="79"/>
        <v>442.17164552507165</v>
      </c>
      <c r="GD78" s="60">
        <f t="shared" si="80"/>
        <v>710.8332302248964</v>
      </c>
      <c r="GE78" s="60">
        <f ca="1">AVERAGE(OFFSET($GD$3,0,0,'Données projet'!$E$17+1,1))-AVERAGE(OFFSET($H$3,0,0,'Données projet'!$E$17+1,1))</f>
        <v>396.0878652679051</v>
      </c>
      <c r="GF78" s="60">
        <f t="shared" si="104"/>
        <v>327.26339199235406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>
        <f>EXP(-LN(2)/35)*GL77+(1-EXP(-LN(2)/35))/(LN(2)/35)*GH78*GI78*VLOOKUP('Données projet'!$B$17,Paramètres!$A$1:$I$89,3,0)*0.475*44/12</f>
        <v>0</v>
      </c>
      <c r="GM78" s="23">
        <f>EXP(-LN(2)/25)*GM77+(1-EXP(-LN(2)/25))/(LN(2)/25)*Calculateur!GH78*Calculateur!GJ78*VLOOKUP('Données projet'!$B$17,Paramètres!$A$1:$I$89,3,0)*0.475*44/12</f>
        <v>0</v>
      </c>
      <c r="GN78" s="23">
        <f>EXP(-LN(2)/2)*GN77+(1-EXP(-LN(2)/2))/(LN(2)/2)*GH78*GK78*VLOOKUP('Données projet'!$B$17,Paramètres!$A$1:$I$89,3,0)*0.475*44/12</f>
        <v>0</v>
      </c>
      <c r="GO78" s="23">
        <f t="shared" si="81"/>
        <v>0</v>
      </c>
      <c r="GP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-1.1368683772161603E-13</v>
      </c>
      <c r="GV78" s="18">
        <f>GU78*VLOOKUP('Données projet'!$B$18,Paramètres!$A$1:$I$89,3,0)*VLOOKUP('Données projet'!$B$18,Paramètres!$A$1:$I$89,5,0)</f>
        <v>-9.2222762759774927E-14</v>
      </c>
      <c r="GW78" s="14" t="e">
        <f t="shared" si="105"/>
        <v>#NUM!</v>
      </c>
      <c r="GX78" s="22" t="e">
        <f t="shared" si="82"/>
        <v>#NUM!</v>
      </c>
      <c r="GY78" s="60" t="e">
        <f t="shared" si="83"/>
        <v>#NUM!</v>
      </c>
      <c r="GZ78" s="60">
        <f ca="1">AVERAGE(OFFSET($GY$3,0,0,'Données projet'!$E$18+1,1))-AVERAGE(OFFSET($H$3,0,0,'Données projet'!$E$18+1,1))</f>
        <v>272.69564942740931</v>
      </c>
      <c r="HA78" s="60">
        <f t="shared" si="106"/>
        <v>316.57989180609252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>
        <f>EXP(-LN(2)/35)*HG77+(1-EXP(-LN(2)/35))/(LN(2)/35)*HC78*HD78*VLOOKUP('Données projet'!$B$18,Paramètres!$A$1:$I$89,3,0)*0.475*44/12</f>
        <v>0</v>
      </c>
      <c r="HH78" s="23">
        <f>EXP(-LN(2)/25)*HH77+(1-EXP(-LN(2)/25))/(LN(2)/25)*Calculateur!HC78*Calculateur!HE78*VLOOKUP('Données projet'!$B$18,Paramètres!$A$1:$I$89,3,0)*0.475*44/12</f>
        <v>0</v>
      </c>
      <c r="HI78" s="23">
        <f>EXP(-LN(2)/2)*HI77+(1-EXP(-LN(2)/2))/(LN(2)/2)*HC78*HF78*VLOOKUP('Données projet'!$B$18,Paramètres!$A$1:$I$89,3,0)*0.475*44/12</f>
        <v>0</v>
      </c>
      <c r="HJ78" s="24">
        <f t="shared" si="84"/>
        <v>0</v>
      </c>
    </row>
    <row r="79" spans="1:218" s="5" customFormat="1" x14ac:dyDescent="0.25">
      <c r="A79" s="11">
        <f t="shared" si="85"/>
        <v>76</v>
      </c>
      <c r="B79" s="75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8">
        <f t="shared" si="56"/>
        <v>183.33333333333334</v>
      </c>
      <c r="I79" s="7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7.2</v>
      </c>
      <c r="N79" s="14">
        <f>IF('Données projet'!$A$36&gt;35,N78+M79-V78,IF(A79&lt;'Données projet'!$A$36,$K$205^A79,IF(A79='Données projet'!$A$36,'Données projet'!$B$36,N78+M79-V78)))</f>
        <v>291.20000000000005</v>
      </c>
      <c r="O79" s="14">
        <f>N79*VLOOKUP('Données projet'!$B$9,Paramètres!$A$1:$I$89,3,0)*VLOOKUP('Données projet'!$B$9,Paramètres!$A$1:$I$89,5,0)</f>
        <v>263.47776000000005</v>
      </c>
      <c r="P79" s="14">
        <f t="shared" si="87"/>
        <v>63.46312159763346</v>
      </c>
      <c r="Q79" s="22">
        <f t="shared" si="54"/>
        <v>569.42203544921165</v>
      </c>
      <c r="R79" s="60">
        <f t="shared" si="55"/>
        <v>838.51161983006114</v>
      </c>
      <c r="S79" s="60">
        <f ca="1">AVERAGE(OFFSET($R$3,0,0,'Données projet'!$E$9+1,1))-AVERAGE(OFFSET($H$3,0,0,'Données projet'!$E$9+1,1))</f>
        <v>570.08763950759544</v>
      </c>
      <c r="T79" s="60">
        <f t="shared" si="88"/>
        <v>297.32483725004136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3.5600000000000023</v>
      </c>
      <c r="AI79" s="14">
        <f>IF('Données projet'!$A$62&gt;35,AI78+AH79-AQ78,IF(A79&lt;'Données projet'!$A$62,$AF$205^A79,IF(A79='Données projet'!$A$62,'Données projet'!$B$62,AI78+AH79-AQ78)))</f>
        <v>327.05999999999995</v>
      </c>
      <c r="AJ79" s="14">
        <f>AI79*VLOOKUP('Données projet'!$B$10,Paramètres!$A$1:$I$89,3,0)*VLOOKUP('Données projet'!$B$10,Paramètres!$A$1:$I$89,5,0)</f>
        <v>260.20893599999999</v>
      </c>
      <c r="AK79" s="14">
        <f t="shared" si="89"/>
        <v>62.766912585729685</v>
      </c>
      <c r="AL79" s="22">
        <f t="shared" si="58"/>
        <v>562.51626962014586</v>
      </c>
      <c r="AM79" s="60">
        <f t="shared" si="59"/>
        <v>831.60585400099535</v>
      </c>
      <c r="AN79" s="60">
        <f ca="1">AVERAGE(OFFSET($AM$3,0,0,'Données projet'!$E$10+1,1))-AVERAGE(OFFSET($H$3,0,0,'Données projet'!$E$10+1,1))</f>
        <v>394.49874384716014</v>
      </c>
      <c r="AO79" s="60">
        <f t="shared" si="90"/>
        <v>423.72519584013378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2.9799999999999955</v>
      </c>
      <c r="BD79" s="13">
        <f>IF('Données projet'!$A$88&gt;35,BD78+BC79-BL78,IF(A79&lt;'Données projet'!$A$88,$BA$205^A79,IF(A79='Données projet'!$A$88,'Données projet'!$B$88,BD78+BC79-BL78)))</f>
        <v>272.68000000000029</v>
      </c>
      <c r="BE79" s="14">
        <f>BD79*VLOOKUP('Données projet'!$B$11,Paramètres!$A$1:$I$89,3,0)*VLOOKUP('Données projet'!$B$11,Paramètres!$A$1:$I$89,5,0)</f>
        <v>238.21324800000031</v>
      </c>
      <c r="BF79" s="14">
        <f t="shared" si="91"/>
        <v>58.05493505418417</v>
      </c>
      <c r="BG79" s="22">
        <f t="shared" si="61"/>
        <v>516.00041881937125</v>
      </c>
      <c r="BH79" s="60">
        <f t="shared" si="62"/>
        <v>785.09000320022074</v>
      </c>
      <c r="BI79" s="60">
        <f ca="1">AVERAGE(OFFSET($BH$3,0,0,'Données projet'!$E$11+1,1))-AVERAGE(OFFSET($H$3,0,0,'Données projet'!$E$11+1,1))</f>
        <v>363.28611056308665</v>
      </c>
      <c r="BJ79" s="60">
        <f t="shared" si="92"/>
        <v>389.43647559455974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4.3589743589743648</v>
      </c>
      <c r="BY79" s="13">
        <f>IF('Données projet'!$A$114&gt;35,BY78+BX79-CG78,IF(A79&lt;'Données projet'!$A$114,$BV$205^A79,IF(A79='Données projet'!$A$114,'Données projet'!$B$114,BY78+BX79-CG78)))</f>
        <v>219.74358974358964</v>
      </c>
      <c r="BZ79" s="14">
        <f>BY79*VLOOKUP('Données projet'!$B$12,Paramètres!$A$1:$I$89,3,0)*VLOOKUP('Données projet'!$B$12,Paramètres!$A$1:$I$89,5,0)</f>
        <v>209.10799999999989</v>
      </c>
      <c r="CA79" s="14">
        <f t="shared" si="93"/>
        <v>51.740612992017297</v>
      </c>
      <c r="CB79" s="22">
        <f t="shared" si="64"/>
        <v>454.31133429442997</v>
      </c>
      <c r="CC79" s="60">
        <f t="shared" si="65"/>
        <v>723.4009186752794</v>
      </c>
      <c r="CD79" s="60">
        <f ca="1">AVERAGE(OFFSET($CC$3,0,0,'Données projet'!$E$12+1,1))-AVERAGE(OFFSET($H$3,0,0,'Données projet'!$E$12+1,1))</f>
        <v>441.15969139782891</v>
      </c>
      <c r="CE79" s="60">
        <f t="shared" si="94"/>
        <v>315.06466790224783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3.5600000000000023</v>
      </c>
      <c r="CT79" s="13">
        <f>IF('Données projet'!$A$140&gt;35,CT78+CS79-DB78,IF(A79&lt;'Données projet'!$A$140,$CQ$205^A79,IF(A79='Données projet'!$A$140,'Données projet'!$B$140,CT78+CS79-DB78)))</f>
        <v>327.05999999999995</v>
      </c>
      <c r="CU79" s="18">
        <f>CT79*VLOOKUP('Données projet'!$B$13,Paramètres!$A$1:$I$89,3,0)*VLOOKUP('Données projet'!$B$13,Paramètres!$A$1:$I$89,5,0)</f>
        <v>239.80039199999996</v>
      </c>
      <c r="CV79" s="14">
        <f t="shared" si="95"/>
        <v>58.396581769172833</v>
      </c>
      <c r="CW79" s="22">
        <f t="shared" si="67"/>
        <v>519.35972931464255</v>
      </c>
      <c r="CX79" s="60">
        <f t="shared" si="68"/>
        <v>788.44931369549204</v>
      </c>
      <c r="CY79" s="60">
        <f ca="1">AVERAGE(OFFSET($CX$3,0,0,'Données projet'!$E$13+1,1))-AVERAGE(OFFSET($H$3,0,0,'Données projet'!$E$13+1,1))</f>
        <v>368.35775920359396</v>
      </c>
      <c r="CZ79" s="60">
        <f t="shared" si="96"/>
        <v>395.5218438652638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1.1368683772161603E-13</v>
      </c>
      <c r="DP79" s="18">
        <f>DO79*VLOOKUP('Données projet'!$B$14,Paramètres!$A$1:$I$89,3,0)*VLOOKUP('Données projet'!$B$14,Paramètres!$A$1:$I$89,5,0)</f>
        <v>8.8675733422860506E-14</v>
      </c>
      <c r="DQ79" s="14">
        <f t="shared" si="97"/>
        <v>1.3509285393066301E-12</v>
      </c>
      <c r="DR79" s="22">
        <f t="shared" si="70"/>
        <v>2.5073107750038623E-12</v>
      </c>
      <c r="DS79" s="60">
        <f t="shared" si="71"/>
        <v>269.08958438085193</v>
      </c>
      <c r="DT79" s="60">
        <f ca="1">AVERAGE(OFFSET($DS$3,0,0,'Données projet'!$E$14+1,1))-AVERAGE(OFFSET($H$3,0,0,'Données projet'!$E$14+1,1))</f>
        <v>312.59632808777332</v>
      </c>
      <c r="DU79" s="60">
        <f t="shared" si="98"/>
        <v>302.59481222418219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0</v>
      </c>
      <c r="EE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12.555555555555555</v>
      </c>
      <c r="EJ79" s="13">
        <f>IF('Données projet'!$A$192&gt;35,EJ78+EI79-ER78,IF(A79&lt;'Données projet'!$A$192,$EG$205^A79,IF(A79='Données projet'!$A$192,'Données projet'!$B$192,EJ78+EI79-ER78)))</f>
        <v>361.88888888888857</v>
      </c>
      <c r="EK79" s="18">
        <f>EJ79*VLOOKUP('Données projet'!$B$15,Paramètres!$A$1:$I$89,3,0)*VLOOKUP('Données projet'!$B$15,Paramètres!$A$1:$I$89,5,0)</f>
        <v>310.5006666666664</v>
      </c>
      <c r="EL79" s="14">
        <f t="shared" si="99"/>
        <v>73.373379476611461</v>
      </c>
      <c r="EM79" s="22">
        <f t="shared" si="73"/>
        <v>668.58063036620888</v>
      </c>
      <c r="EN79" s="60">
        <f t="shared" si="74"/>
        <v>937.67021474705825</v>
      </c>
      <c r="EO79" s="60">
        <f ca="1">AVERAGE(OFFSET($EN$3,0,0,'Données projet'!$E$15+1,1))-AVERAGE(OFFSET($H$3,0,0,'Données projet'!$E$15+1,1))</f>
        <v>478.11504516179713</v>
      </c>
      <c r="EP79" s="60">
        <f t="shared" si="100"/>
        <v>249.93713224442419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0</v>
      </c>
      <c r="EW79" s="23">
        <f>EXP(-LN(2)/25)*EW78+(1-EXP(-LN(2)/25))/(LN(2)/25)*Calculateur!ER79*Calculateur!ET79*VLOOKUP('Données projet'!$B$15,Paramètres!$A$1:$I$89,3,0)*0.475*44/12</f>
        <v>0</v>
      </c>
      <c r="EX79" s="23">
        <f>EXP(-LN(2)/2)*EX78+(1-EXP(-LN(2)/2))/(LN(2)/2)*ER79*EU79*VLOOKUP('Données projet'!$B$15,Paramètres!$A$1:$I$89,3,0)*0.475*44/12</f>
        <v>0</v>
      </c>
      <c r="EY79" s="24">
        <f t="shared" si="75"/>
        <v>0</v>
      </c>
      <c r="EZ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7.2</v>
      </c>
      <c r="FE79" s="13">
        <f>IF('Données projet'!$A$218&gt;35,FE78+FD79-FM78,IF(A79&lt;'Données projet'!$A$218,$FB$205^A79,IF(A79='Données projet'!$A$218,'Données projet'!$B$218,FE78+FD79-FM78)))</f>
        <v>291.20000000000005</v>
      </c>
      <c r="FF79" s="18">
        <f>FE79*VLOOKUP('Données projet'!$B$16,Paramètres!$A$1:$I$89,3,0)*VLOOKUP('Données projet'!$B$16,Paramètres!$A$1:$I$89,5,0)</f>
        <v>281.64864000000006</v>
      </c>
      <c r="FG79" s="14">
        <f t="shared" si="101"/>
        <v>67.315294774697747</v>
      </c>
      <c r="FH79" s="22">
        <f t="shared" si="76"/>
        <v>607.77885306593191</v>
      </c>
      <c r="FI79" s="60">
        <f t="shared" si="77"/>
        <v>876.8684374467814</v>
      </c>
      <c r="FJ79" s="60">
        <f ca="1">AVERAGE(OFFSET($FI$3,0,0,'Données projet'!$E$16+1,1))-AVERAGE(OFFSET($H$3,0,0,'Données projet'!$E$16+1,1))</f>
        <v>603.52431522262032</v>
      </c>
      <c r="FK79" s="60">
        <f t="shared" si="102"/>
        <v>313.56299786481338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>
        <f>EXP(-LN(2)/35)*FQ78+(1-EXP(-LN(2)/35))/(LN(2)/35)*FM79*FN79*VLOOKUP('Données projet'!$B$16,Paramètres!$A$1:$I$89,3,0)*0.475*44/12</f>
        <v>0</v>
      </c>
      <c r="FR79" s="23">
        <f>EXP(-LN(2)/25)*FR78+(1-EXP(-LN(2)/25))/(LN(2)/25)*Calculateur!FM79*Calculateur!FO79*VLOOKUP('Données projet'!$B$16,Paramètres!$A$1:$I$89,3,0)*0.475*44/12</f>
        <v>0</v>
      </c>
      <c r="FS79" s="23">
        <f>EXP(-LN(2)/2)*FS78+(1-EXP(-LN(2)/2))/(LN(2)/2)*FM79*FP79*VLOOKUP('Données projet'!$B$16,Paramètres!$A$1:$I$89,3,0)*0.475*44/12</f>
        <v>0</v>
      </c>
      <c r="FT79" s="24">
        <f t="shared" si="78"/>
        <v>0</v>
      </c>
      <c r="FU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4.7435897435897463</v>
      </c>
      <c r="FZ79" s="13">
        <f>IF('Données projet'!$A$244&gt;35,FZ78+FY79-GH78,IF(A79&lt;'Données projet'!$A$244,$FW$205^A79,IF(A79='Données projet'!$A$244,'Données projet'!$B$244,FZ78+FY79-GH78)))</f>
        <v>307.94871794871801</v>
      </c>
      <c r="GA79" s="18">
        <f>FZ79*VLOOKUP('Données projet'!$B$17,Paramètres!$A$1:$I$89,3,0)*VLOOKUP('Données projet'!$B$17,Paramètres!$A$1:$I$89,5,0)</f>
        <v>206.57200000000006</v>
      </c>
      <c r="GB79" s="14">
        <f t="shared" si="103"/>
        <v>51.185765406859225</v>
      </c>
      <c r="GC79" s="22">
        <f t="shared" si="79"/>
        <v>448.92810808361315</v>
      </c>
      <c r="GD79" s="60">
        <f t="shared" si="80"/>
        <v>718.01769246446258</v>
      </c>
      <c r="GE79" s="60">
        <f ca="1">AVERAGE(OFFSET($GD$3,0,0,'Données projet'!$E$17+1,1))-AVERAGE(OFFSET($H$3,0,0,'Données projet'!$E$17+1,1))</f>
        <v>396.0878652679051</v>
      </c>
      <c r="GF79" s="60">
        <f t="shared" si="104"/>
        <v>327.26339199235406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>
        <f>EXP(-LN(2)/35)*GL78+(1-EXP(-LN(2)/35))/(LN(2)/35)*GH79*GI79*VLOOKUP('Données projet'!$B$17,Paramètres!$A$1:$I$89,3,0)*0.475*44/12</f>
        <v>0</v>
      </c>
      <c r="GM79" s="23">
        <f>EXP(-LN(2)/25)*GM78+(1-EXP(-LN(2)/25))/(LN(2)/25)*Calculateur!GH79*Calculateur!GJ79*VLOOKUP('Données projet'!$B$17,Paramètres!$A$1:$I$89,3,0)*0.475*44/12</f>
        <v>0</v>
      </c>
      <c r="GN79" s="23">
        <f>EXP(-LN(2)/2)*GN78+(1-EXP(-LN(2)/2))/(LN(2)/2)*GH79*GK79*VLOOKUP('Données projet'!$B$17,Paramètres!$A$1:$I$89,3,0)*0.475*44/12</f>
        <v>0</v>
      </c>
      <c r="GO79" s="23">
        <f t="shared" si="81"/>
        <v>0</v>
      </c>
      <c r="GP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-1.1368683772161603E-13</v>
      </c>
      <c r="GV79" s="18">
        <f>GU79*VLOOKUP('Données projet'!$B$18,Paramètres!$A$1:$I$89,3,0)*VLOOKUP('Données projet'!$B$18,Paramètres!$A$1:$I$89,5,0)</f>
        <v>-9.2222762759774927E-14</v>
      </c>
      <c r="GW79" s="14" t="e">
        <f t="shared" si="105"/>
        <v>#NUM!</v>
      </c>
      <c r="GX79" s="22" t="e">
        <f t="shared" si="82"/>
        <v>#NUM!</v>
      </c>
      <c r="GY79" s="60" t="e">
        <f t="shared" si="83"/>
        <v>#NUM!</v>
      </c>
      <c r="GZ79" s="60">
        <f ca="1">AVERAGE(OFFSET($GY$3,0,0,'Données projet'!$E$18+1,1))-AVERAGE(OFFSET($H$3,0,0,'Données projet'!$E$18+1,1))</f>
        <v>272.69564942740931</v>
      </c>
      <c r="HA79" s="60">
        <f t="shared" si="106"/>
        <v>316.57989180609252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>
        <f>EXP(-LN(2)/35)*HG78+(1-EXP(-LN(2)/35))/(LN(2)/35)*HC79*HD79*VLOOKUP('Données projet'!$B$18,Paramètres!$A$1:$I$89,3,0)*0.475*44/12</f>
        <v>0</v>
      </c>
      <c r="HH79" s="23">
        <f>EXP(-LN(2)/25)*HH78+(1-EXP(-LN(2)/25))/(LN(2)/25)*Calculateur!HC79*Calculateur!HE79*VLOOKUP('Données projet'!$B$18,Paramètres!$A$1:$I$89,3,0)*0.475*44/12</f>
        <v>0</v>
      </c>
      <c r="HI79" s="23">
        <f>EXP(-LN(2)/2)*HI78+(1-EXP(-LN(2)/2))/(LN(2)/2)*HC79*HF79*VLOOKUP('Données projet'!$B$18,Paramètres!$A$1:$I$89,3,0)*0.475*44/12</f>
        <v>0</v>
      </c>
      <c r="HJ79" s="24">
        <f t="shared" si="84"/>
        <v>0</v>
      </c>
    </row>
    <row r="80" spans="1:218" s="5" customFormat="1" x14ac:dyDescent="0.25">
      <c r="A80" s="11">
        <f t="shared" si="85"/>
        <v>77</v>
      </c>
      <c r="B80" s="75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8">
        <f t="shared" si="56"/>
        <v>183.33333333333334</v>
      </c>
      <c r="I80" s="7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7.2</v>
      </c>
      <c r="N80" s="14">
        <f>IF('Données projet'!$A$36&gt;35,N79+M80-V79,IF(A80&lt;'Données projet'!$A$36,$K$205^A80,IF(A80='Données projet'!$A$36,'Données projet'!$B$36,N79+M80-V79)))</f>
        <v>298.40000000000003</v>
      </c>
      <c r="O80" s="14">
        <f>N80*VLOOKUP('Données projet'!$B$9,Paramètres!$A$1:$I$89,3,0)*VLOOKUP('Données projet'!$B$9,Paramètres!$A$1:$I$89,5,0)</f>
        <v>269.99232000000001</v>
      </c>
      <c r="P80" s="14">
        <f t="shared" si="87"/>
        <v>64.847639395310296</v>
      </c>
      <c r="Q80" s="22">
        <f t="shared" si="54"/>
        <v>583.17959594683214</v>
      </c>
      <c r="R80" s="60">
        <f t="shared" si="55"/>
        <v>852.68975517110448</v>
      </c>
      <c r="S80" s="60">
        <f ca="1">AVERAGE(OFFSET($R$3,0,0,'Données projet'!$E$9+1,1))-AVERAGE(OFFSET($H$3,0,0,'Données projet'!$E$9+1,1))</f>
        <v>570.08763950759544</v>
      </c>
      <c r="T80" s="60">
        <f t="shared" si="88"/>
        <v>297.32483725004136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3.5600000000000023</v>
      </c>
      <c r="AI80" s="14">
        <f>IF('Données projet'!$A$62&gt;35,AI79+AH80-AQ79,IF(A80&lt;'Données projet'!$A$62,$AF$205^A80,IF(A80='Données projet'!$A$62,'Données projet'!$B$62,AI79+AH80-AQ79)))</f>
        <v>330.61999999999995</v>
      </c>
      <c r="AJ80" s="14">
        <f>AI80*VLOOKUP('Données projet'!$B$10,Paramètres!$A$1:$I$89,3,0)*VLOOKUP('Données projet'!$B$10,Paramètres!$A$1:$I$89,5,0)</f>
        <v>263.04127199999994</v>
      </c>
      <c r="AK80" s="14">
        <f t="shared" si="89"/>
        <v>63.370214823641057</v>
      </c>
      <c r="AL80" s="22">
        <f t="shared" si="58"/>
        <v>568.50000621784136</v>
      </c>
      <c r="AM80" s="60">
        <f t="shared" si="59"/>
        <v>838.0101654421137</v>
      </c>
      <c r="AN80" s="60">
        <f ca="1">AVERAGE(OFFSET($AM$3,0,0,'Données projet'!$E$10+1,1))-AVERAGE(OFFSET($H$3,0,0,'Données projet'!$E$10+1,1))</f>
        <v>394.49874384716014</v>
      </c>
      <c r="AO80" s="60">
        <f t="shared" si="90"/>
        <v>423.72519584013378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2.9799999999999955</v>
      </c>
      <c r="BD80" s="13">
        <f>IF('Données projet'!$A$88&gt;35,BD79+BC80-BL79,IF(A80&lt;'Données projet'!$A$88,$BA$205^A80,IF(A80='Données projet'!$A$88,'Données projet'!$B$88,BD79+BC80-BL79)))</f>
        <v>275.66000000000031</v>
      </c>
      <c r="BE80" s="14">
        <f>BD80*VLOOKUP('Données projet'!$B$11,Paramètres!$A$1:$I$89,3,0)*VLOOKUP('Données projet'!$B$11,Paramètres!$A$1:$I$89,5,0)</f>
        <v>240.81657600000031</v>
      </c>
      <c r="BF80" s="14">
        <f t="shared" si="91"/>
        <v>58.61518604030887</v>
      </c>
      <c r="BG80" s="22">
        <f t="shared" si="61"/>
        <v>521.51031888687191</v>
      </c>
      <c r="BH80" s="60">
        <f t="shared" si="62"/>
        <v>791.02047811114426</v>
      </c>
      <c r="BI80" s="60">
        <f ca="1">AVERAGE(OFFSET($BH$3,0,0,'Données projet'!$E$11+1,1))-AVERAGE(OFFSET($H$3,0,0,'Données projet'!$E$11+1,1))</f>
        <v>363.28611056308665</v>
      </c>
      <c r="BJ80" s="60">
        <f t="shared" si="92"/>
        <v>389.43647559455974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4.3589743589743648</v>
      </c>
      <c r="BY80" s="13">
        <f>IF('Données projet'!$A$114&gt;35,BY79+BX80-CG79,IF(A80&lt;'Données projet'!$A$114,$BV$205^A80,IF(A80='Données projet'!$A$114,'Données projet'!$B$114,BY79+BX80-CG79)))</f>
        <v>224.102564102564</v>
      </c>
      <c r="BZ80" s="14">
        <f>BY80*VLOOKUP('Données projet'!$B$12,Paramètres!$A$1:$I$89,3,0)*VLOOKUP('Données projet'!$B$12,Paramètres!$A$1:$I$89,5,0)</f>
        <v>213.25599999999989</v>
      </c>
      <c r="CA80" s="14">
        <f t="shared" si="93"/>
        <v>52.646465235028018</v>
      </c>
      <c r="CB80" s="22">
        <f t="shared" si="64"/>
        <v>463.11346028434019</v>
      </c>
      <c r="CC80" s="60">
        <f t="shared" si="65"/>
        <v>732.62361950861248</v>
      </c>
      <c r="CD80" s="60">
        <f ca="1">AVERAGE(OFFSET($CC$3,0,0,'Données projet'!$E$12+1,1))-AVERAGE(OFFSET($H$3,0,0,'Données projet'!$E$12+1,1))</f>
        <v>441.15969139782891</v>
      </c>
      <c r="CE80" s="60">
        <f t="shared" si="94"/>
        <v>315.06466790224783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3.5600000000000023</v>
      </c>
      <c r="CT80" s="13">
        <f>IF('Données projet'!$A$140&gt;35,CT79+CS80-DB79,IF(A80&lt;'Données projet'!$A$140,$CQ$205^A80,IF(A80='Données projet'!$A$140,'Données projet'!$B$140,CT79+CS80-DB79)))</f>
        <v>330.61999999999995</v>
      </c>
      <c r="CU80" s="18">
        <f>CT80*VLOOKUP('Données projet'!$B$13,Paramètres!$A$1:$I$89,3,0)*VLOOKUP('Données projet'!$B$13,Paramètres!$A$1:$I$89,5,0)</f>
        <v>242.41058399999997</v>
      </c>
      <c r="CV80" s="14">
        <f t="shared" si="95"/>
        <v>58.957877315127767</v>
      </c>
      <c r="CW80" s="22">
        <f t="shared" si="67"/>
        <v>524.88340345718075</v>
      </c>
      <c r="CX80" s="60">
        <f t="shared" si="68"/>
        <v>794.39356268145298</v>
      </c>
      <c r="CY80" s="60">
        <f ca="1">AVERAGE(OFFSET($CX$3,0,0,'Données projet'!$E$13+1,1))-AVERAGE(OFFSET($H$3,0,0,'Données projet'!$E$13+1,1))</f>
        <v>368.35775920359396</v>
      </c>
      <c r="CZ80" s="60">
        <f t="shared" si="96"/>
        <v>395.5218438652638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1.1368683772161603E-13</v>
      </c>
      <c r="DP80" s="18">
        <f>DO80*VLOOKUP('Données projet'!$B$14,Paramètres!$A$1:$I$89,3,0)*VLOOKUP('Données projet'!$B$14,Paramètres!$A$1:$I$89,5,0)</f>
        <v>8.8675733422860506E-14</v>
      </c>
      <c r="DQ80" s="14">
        <f t="shared" si="97"/>
        <v>1.3509285393066301E-12</v>
      </c>
      <c r="DR80" s="22">
        <f t="shared" si="70"/>
        <v>2.5073107750038623E-12</v>
      </c>
      <c r="DS80" s="60">
        <f t="shared" si="71"/>
        <v>269.51015922427479</v>
      </c>
      <c r="DT80" s="60">
        <f ca="1">AVERAGE(OFFSET($DS$3,0,0,'Données projet'!$E$14+1,1))-AVERAGE(OFFSET($H$3,0,0,'Données projet'!$E$14+1,1))</f>
        <v>312.59632808777332</v>
      </c>
      <c r="DU80" s="60">
        <f t="shared" si="98"/>
        <v>302.59481222418219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0</v>
      </c>
      <c r="EE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12.555555555555555</v>
      </c>
      <c r="EJ80" s="13">
        <f>IF('Données projet'!$A$192&gt;35,EJ79+EI80-ER79,IF(A80&lt;'Données projet'!$A$192,$EG$205^A80,IF(A80='Données projet'!$A$192,'Données projet'!$B$192,EJ79+EI80-ER79)))</f>
        <v>374.44444444444412</v>
      </c>
      <c r="EK80" s="18">
        <f>EJ80*VLOOKUP('Données projet'!$B$15,Paramètres!$A$1:$I$89,3,0)*VLOOKUP('Données projet'!$B$15,Paramètres!$A$1:$I$89,5,0)</f>
        <v>321.27333333333308</v>
      </c>
      <c r="EL80" s="14">
        <f t="shared" si="99"/>
        <v>75.618234159828049</v>
      </c>
      <c r="EM80" s="22">
        <f t="shared" si="73"/>
        <v>691.25281338392233</v>
      </c>
      <c r="EN80" s="60">
        <f t="shared" si="74"/>
        <v>960.76297260819456</v>
      </c>
      <c r="EO80" s="60">
        <f ca="1">AVERAGE(OFFSET($EN$3,0,0,'Données projet'!$E$15+1,1))-AVERAGE(OFFSET($H$3,0,0,'Données projet'!$E$15+1,1))</f>
        <v>478.11504516179713</v>
      </c>
      <c r="EP80" s="60">
        <f t="shared" si="100"/>
        <v>249.93713224442419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0</v>
      </c>
      <c r="EW80" s="23">
        <f>EXP(-LN(2)/25)*EW79+(1-EXP(-LN(2)/25))/(LN(2)/25)*Calculateur!ER80*Calculateur!ET80*VLOOKUP('Données projet'!$B$15,Paramètres!$A$1:$I$89,3,0)*0.475*44/12</f>
        <v>0</v>
      </c>
      <c r="EX80" s="23">
        <f>EXP(-LN(2)/2)*EX79+(1-EXP(-LN(2)/2))/(LN(2)/2)*ER80*EU80*VLOOKUP('Données projet'!$B$15,Paramètres!$A$1:$I$89,3,0)*0.475*44/12</f>
        <v>0</v>
      </c>
      <c r="EY80" s="24">
        <f t="shared" si="75"/>
        <v>0</v>
      </c>
      <c r="EZ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7.2</v>
      </c>
      <c r="FE80" s="13">
        <f>IF('Données projet'!$A$218&gt;35,FE79+FD80-FM79,IF(A80&lt;'Données projet'!$A$218,$FB$205^A80,IF(A80='Données projet'!$A$218,'Données projet'!$B$218,FE79+FD80-FM79)))</f>
        <v>298.40000000000003</v>
      </c>
      <c r="FF80" s="18">
        <f>FE80*VLOOKUP('Données projet'!$B$16,Paramètres!$A$1:$I$89,3,0)*VLOOKUP('Données projet'!$B$16,Paramètres!$A$1:$I$89,5,0)</f>
        <v>288.61248000000001</v>
      </c>
      <c r="FG80" s="14">
        <f t="shared" si="101"/>
        <v>68.783851967051476</v>
      </c>
      <c r="FH80" s="22">
        <f t="shared" si="76"/>
        <v>622.4652781759479</v>
      </c>
      <c r="FI80" s="60">
        <f t="shared" si="77"/>
        <v>891.97543740022024</v>
      </c>
      <c r="FJ80" s="60">
        <f ca="1">AVERAGE(OFFSET($FI$3,0,0,'Données projet'!$E$16+1,1))-AVERAGE(OFFSET($H$3,0,0,'Données projet'!$E$16+1,1))</f>
        <v>603.52431522262032</v>
      </c>
      <c r="FK80" s="60">
        <f t="shared" si="102"/>
        <v>313.56299786481338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>
        <f>EXP(-LN(2)/35)*FQ79+(1-EXP(-LN(2)/35))/(LN(2)/35)*FM80*FN80*VLOOKUP('Données projet'!$B$16,Paramètres!$A$1:$I$89,3,0)*0.475*44/12</f>
        <v>0</v>
      </c>
      <c r="FR80" s="23">
        <f>EXP(-LN(2)/25)*FR79+(1-EXP(-LN(2)/25))/(LN(2)/25)*Calculateur!FM80*Calculateur!FO80*VLOOKUP('Données projet'!$B$16,Paramètres!$A$1:$I$89,3,0)*0.475*44/12</f>
        <v>0</v>
      </c>
      <c r="FS80" s="23">
        <f>EXP(-LN(2)/2)*FS79+(1-EXP(-LN(2)/2))/(LN(2)/2)*FM80*FP80*VLOOKUP('Données projet'!$B$16,Paramètres!$A$1:$I$89,3,0)*0.475*44/12</f>
        <v>0</v>
      </c>
      <c r="FT80" s="24">
        <f t="shared" si="78"/>
        <v>0</v>
      </c>
      <c r="FU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4.7435897435897463</v>
      </c>
      <c r="FZ80" s="13">
        <f>IF('Données projet'!$A$244&gt;35,FZ79+FY80-GH79,IF(A80&lt;'Données projet'!$A$244,$FW$205^A80,IF(A80='Données projet'!$A$244,'Données projet'!$B$244,FZ79+FY80-GH79)))</f>
        <v>312.69230769230774</v>
      </c>
      <c r="GA80" s="18">
        <f>FZ80*VLOOKUP('Données projet'!$B$17,Paramètres!$A$1:$I$89,3,0)*VLOOKUP('Données projet'!$B$17,Paramètres!$A$1:$I$89,5,0)</f>
        <v>209.75400000000005</v>
      </c>
      <c r="GB80" s="14">
        <f t="shared" si="103"/>
        <v>51.881824842420912</v>
      </c>
      <c r="GC80" s="22">
        <f t="shared" si="79"/>
        <v>455.68239493388319</v>
      </c>
      <c r="GD80" s="60">
        <f t="shared" si="80"/>
        <v>725.19255415815542</v>
      </c>
      <c r="GE80" s="60">
        <f ca="1">AVERAGE(OFFSET($GD$3,0,0,'Données projet'!$E$17+1,1))-AVERAGE(OFFSET($H$3,0,0,'Données projet'!$E$17+1,1))</f>
        <v>396.0878652679051</v>
      </c>
      <c r="GF80" s="60">
        <f t="shared" si="104"/>
        <v>327.26339199235406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>
        <f>EXP(-LN(2)/35)*GL79+(1-EXP(-LN(2)/35))/(LN(2)/35)*GH80*GI80*VLOOKUP('Données projet'!$B$17,Paramètres!$A$1:$I$89,3,0)*0.475*44/12</f>
        <v>0</v>
      </c>
      <c r="GM80" s="23">
        <f>EXP(-LN(2)/25)*GM79+(1-EXP(-LN(2)/25))/(LN(2)/25)*Calculateur!GH80*Calculateur!GJ80*VLOOKUP('Données projet'!$B$17,Paramètres!$A$1:$I$89,3,0)*0.475*44/12</f>
        <v>0</v>
      </c>
      <c r="GN80" s="23">
        <f>EXP(-LN(2)/2)*GN79+(1-EXP(-LN(2)/2))/(LN(2)/2)*GH80*GK80*VLOOKUP('Données projet'!$B$17,Paramètres!$A$1:$I$89,3,0)*0.475*44/12</f>
        <v>0</v>
      </c>
      <c r="GO80" s="23">
        <f t="shared" si="81"/>
        <v>0</v>
      </c>
      <c r="GP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-1.1368683772161603E-13</v>
      </c>
      <c r="GV80" s="18">
        <f>GU80*VLOOKUP('Données projet'!$B$18,Paramètres!$A$1:$I$89,3,0)*VLOOKUP('Données projet'!$B$18,Paramètres!$A$1:$I$89,5,0)</f>
        <v>-9.2222762759774927E-14</v>
      </c>
      <c r="GW80" s="14" t="e">
        <f t="shared" si="105"/>
        <v>#NUM!</v>
      </c>
      <c r="GX80" s="22" t="e">
        <f t="shared" si="82"/>
        <v>#NUM!</v>
      </c>
      <c r="GY80" s="60" t="e">
        <f t="shared" si="83"/>
        <v>#NUM!</v>
      </c>
      <c r="GZ80" s="60">
        <f ca="1">AVERAGE(OFFSET($GY$3,0,0,'Données projet'!$E$18+1,1))-AVERAGE(OFFSET($H$3,0,0,'Données projet'!$E$18+1,1))</f>
        <v>272.69564942740931</v>
      </c>
      <c r="HA80" s="60">
        <f t="shared" si="106"/>
        <v>316.57989180609252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>
        <f>EXP(-LN(2)/35)*HG79+(1-EXP(-LN(2)/35))/(LN(2)/35)*HC80*HD80*VLOOKUP('Données projet'!$B$18,Paramètres!$A$1:$I$89,3,0)*0.475*44/12</f>
        <v>0</v>
      </c>
      <c r="HH80" s="23">
        <f>EXP(-LN(2)/25)*HH79+(1-EXP(-LN(2)/25))/(LN(2)/25)*Calculateur!HC80*Calculateur!HE80*VLOOKUP('Données projet'!$B$18,Paramètres!$A$1:$I$89,3,0)*0.475*44/12</f>
        <v>0</v>
      </c>
      <c r="HI80" s="23">
        <f>EXP(-LN(2)/2)*HI79+(1-EXP(-LN(2)/2))/(LN(2)/2)*HC80*HF80*VLOOKUP('Données projet'!$B$18,Paramètres!$A$1:$I$89,3,0)*0.475*44/12</f>
        <v>0</v>
      </c>
      <c r="HJ80" s="24">
        <f t="shared" si="84"/>
        <v>0</v>
      </c>
    </row>
    <row r="81" spans="1:218" s="5" customFormat="1" x14ac:dyDescent="0.25">
      <c r="A81" s="11">
        <f t="shared" si="85"/>
        <v>78</v>
      </c>
      <c r="B81" s="75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8">
        <f t="shared" si="56"/>
        <v>183.33333333333334</v>
      </c>
      <c r="I81" s="7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7.2</v>
      </c>
      <c r="N81" s="14">
        <f>IF('Données projet'!$A$36&gt;35,N80+M81-V80,IF(A81&lt;'Données projet'!$A$36,$K$205^A81,IF(A81='Données projet'!$A$36,'Données projet'!$B$36,N80+M81-V80)))</f>
        <v>305.60000000000002</v>
      </c>
      <c r="O81" s="14">
        <f>N81*VLOOKUP('Données projet'!$B$9,Paramètres!$A$1:$I$89,3,0)*VLOOKUP('Données projet'!$B$9,Paramètres!$A$1:$I$89,5,0)</f>
        <v>276.50687999999997</v>
      </c>
      <c r="P81" s="14">
        <f t="shared" si="87"/>
        <v>66.228273722513677</v>
      </c>
      <c r="Q81" s="22">
        <f t="shared" si="54"/>
        <v>596.93039273337797</v>
      </c>
      <c r="R81" s="60">
        <f t="shared" si="55"/>
        <v>866.8538307678042</v>
      </c>
      <c r="S81" s="60">
        <f ca="1">AVERAGE(OFFSET($R$3,0,0,'Données projet'!$E$9+1,1))-AVERAGE(OFFSET($H$3,0,0,'Données projet'!$E$9+1,1))</f>
        <v>570.08763950759544</v>
      </c>
      <c r="T81" s="60">
        <f t="shared" si="88"/>
        <v>297.32483725004136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3.5600000000000023</v>
      </c>
      <c r="AI81" s="14">
        <f>IF('Données projet'!$A$62&gt;35,AI80+AH81-AQ80,IF(A81&lt;'Données projet'!$A$62,$AF$205^A81,IF(A81='Données projet'!$A$62,'Données projet'!$B$62,AI80+AH81-AQ80)))</f>
        <v>334.17999999999995</v>
      </c>
      <c r="AJ81" s="14">
        <f>AI81*VLOOKUP('Données projet'!$B$10,Paramètres!$A$1:$I$89,3,0)*VLOOKUP('Données projet'!$B$10,Paramètres!$A$1:$I$89,5,0)</f>
        <v>265.87360799999999</v>
      </c>
      <c r="AK81" s="14">
        <f t="shared" si="89"/>
        <v>63.972761368317435</v>
      </c>
      <c r="AL81" s="22">
        <f t="shared" si="58"/>
        <v>574.48242664981956</v>
      </c>
      <c r="AM81" s="60">
        <f t="shared" si="59"/>
        <v>844.40586468424578</v>
      </c>
      <c r="AN81" s="60">
        <f ca="1">AVERAGE(OFFSET($AM$3,0,0,'Données projet'!$E$10+1,1))-AVERAGE(OFFSET($H$3,0,0,'Données projet'!$E$10+1,1))</f>
        <v>394.49874384716014</v>
      </c>
      <c r="AO81" s="60">
        <f t="shared" si="90"/>
        <v>423.72519584013378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2.9799999999999955</v>
      </c>
      <c r="BD81" s="13">
        <f>IF('Données projet'!$A$88&gt;35,BD80+BC81-BL80,IF(A81&lt;'Données projet'!$A$88,$BA$205^A81,IF(A81='Données projet'!$A$88,'Données projet'!$B$88,BD80+BC81-BL80)))</f>
        <v>278.64000000000033</v>
      </c>
      <c r="BE81" s="14">
        <f>BD81*VLOOKUP('Données projet'!$B$11,Paramètres!$A$1:$I$89,3,0)*VLOOKUP('Données projet'!$B$11,Paramètres!$A$1:$I$89,5,0)</f>
        <v>243.41990400000032</v>
      </c>
      <c r="BF81" s="14">
        <f t="shared" si="91"/>
        <v>59.174732473133545</v>
      </c>
      <c r="BG81" s="22">
        <f t="shared" si="61"/>
        <v>527.01899185737477</v>
      </c>
      <c r="BH81" s="60">
        <f t="shared" si="62"/>
        <v>796.942429891801</v>
      </c>
      <c r="BI81" s="60">
        <f ca="1">AVERAGE(OFFSET($BH$3,0,0,'Données projet'!$E$11+1,1))-AVERAGE(OFFSET($H$3,0,0,'Données projet'!$E$11+1,1))</f>
        <v>363.28611056308665</v>
      </c>
      <c r="BJ81" s="60">
        <f t="shared" si="92"/>
        <v>389.43647559455974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4.3589743589743648</v>
      </c>
      <c r="BY81" s="13">
        <f>IF('Données projet'!$A$114&gt;35,BY80+BX81-CG80,IF(A81&lt;'Données projet'!$A$114,$BV$205^A81,IF(A81='Données projet'!$A$114,'Données projet'!$B$114,BY80+BX81-CG80)))</f>
        <v>228.46153846153837</v>
      </c>
      <c r="BZ81" s="14">
        <f>BY81*VLOOKUP('Données projet'!$B$12,Paramètres!$A$1:$I$89,3,0)*VLOOKUP('Données projet'!$B$12,Paramètres!$A$1:$I$89,5,0)</f>
        <v>217.40399999999991</v>
      </c>
      <c r="CA81" s="14">
        <f t="shared" si="93"/>
        <v>53.550268745628323</v>
      </c>
      <c r="CB81" s="22">
        <f t="shared" si="64"/>
        <v>471.91201806530245</v>
      </c>
      <c r="CC81" s="60">
        <f t="shared" si="65"/>
        <v>741.83545609972862</v>
      </c>
      <c r="CD81" s="60">
        <f ca="1">AVERAGE(OFFSET($CC$3,0,0,'Données projet'!$E$12+1,1))-AVERAGE(OFFSET($H$3,0,0,'Données projet'!$E$12+1,1))</f>
        <v>441.15969139782891</v>
      </c>
      <c r="CE81" s="60">
        <f t="shared" si="94"/>
        <v>315.06466790224783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3.5600000000000023</v>
      </c>
      <c r="CT81" s="13">
        <f>IF('Données projet'!$A$140&gt;35,CT80+CS81-DB80,IF(A81&lt;'Données projet'!$A$140,$CQ$205^A81,IF(A81='Données projet'!$A$140,'Données projet'!$B$140,CT80+CS81-DB80)))</f>
        <v>334.17999999999995</v>
      </c>
      <c r="CU81" s="18">
        <f>CT81*VLOOKUP('Données projet'!$B$13,Paramètres!$A$1:$I$89,3,0)*VLOOKUP('Données projet'!$B$13,Paramètres!$A$1:$I$89,5,0)</f>
        <v>245.02077599999993</v>
      </c>
      <c r="CV81" s="14">
        <f t="shared" si="95"/>
        <v>59.518469785210911</v>
      </c>
      <c r="CW81" s="22">
        <f t="shared" si="67"/>
        <v>530.40585307590879</v>
      </c>
      <c r="CX81" s="60">
        <f t="shared" si="68"/>
        <v>800.32929111033502</v>
      </c>
      <c r="CY81" s="60">
        <f ca="1">AVERAGE(OFFSET($CX$3,0,0,'Données projet'!$E$13+1,1))-AVERAGE(OFFSET($H$3,0,0,'Données projet'!$E$13+1,1))</f>
        <v>368.35775920359396</v>
      </c>
      <c r="CZ81" s="60">
        <f t="shared" si="96"/>
        <v>395.5218438652638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1.1368683772161603E-13</v>
      </c>
      <c r="DP81" s="18">
        <f>DO81*VLOOKUP('Données projet'!$B$14,Paramètres!$A$1:$I$89,3,0)*VLOOKUP('Données projet'!$B$14,Paramètres!$A$1:$I$89,5,0)</f>
        <v>8.8675733422860506E-14</v>
      </c>
      <c r="DQ81" s="14">
        <f t="shared" si="97"/>
        <v>1.3509285393066301E-12</v>
      </c>
      <c r="DR81" s="22">
        <f t="shared" si="70"/>
        <v>2.5073107750038623E-12</v>
      </c>
      <c r="DS81" s="60">
        <f t="shared" si="71"/>
        <v>269.92343803442873</v>
      </c>
      <c r="DT81" s="60">
        <f ca="1">AVERAGE(OFFSET($DS$3,0,0,'Données projet'!$E$14+1,1))-AVERAGE(OFFSET($H$3,0,0,'Données projet'!$E$14+1,1))</f>
        <v>312.59632808777332</v>
      </c>
      <c r="DU81" s="60">
        <f t="shared" si="98"/>
        <v>302.59481222418219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0</v>
      </c>
      <c r="EE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>
        <f>VLOOKUP(A81,'Données projet'!$A$191:$I$211,2,0)</f>
        <v>387</v>
      </c>
      <c r="EH81" s="13">
        <f>VLOOKUP(A81,'Données projet'!$A$191:$I$211,9,0)</f>
        <v>12.555555555555555</v>
      </c>
      <c r="EI81" s="13">
        <f t="array" ref="EI81">INDEX(EH:EH,MIN(IF(ISNUMBER(EH81:EH277),ROW(EH81:EH277),"")))</f>
        <v>12.555555555555555</v>
      </c>
      <c r="EJ81" s="13">
        <f>IF('Données projet'!$A$192&gt;35,EJ80+EI81-ER80,IF(A81&lt;'Données projet'!$A$192,$EG$205^A81,IF(A81='Données projet'!$A$192,'Données projet'!$B$192,EJ80+EI81-ER80)))</f>
        <v>386.99999999999966</v>
      </c>
      <c r="EK81" s="18">
        <f>EJ81*VLOOKUP('Données projet'!$B$15,Paramètres!$A$1:$I$89,3,0)*VLOOKUP('Données projet'!$B$15,Paramètres!$A$1:$I$89,5,0)</f>
        <v>332.04599999999971</v>
      </c>
      <c r="EL81" s="14">
        <f t="shared" si="99"/>
        <v>77.854342460208571</v>
      </c>
      <c r="EM81" s="22">
        <f t="shared" si="73"/>
        <v>713.90976311819611</v>
      </c>
      <c r="EN81" s="60">
        <f t="shared" si="74"/>
        <v>983.83320115262234</v>
      </c>
      <c r="EO81" s="60">
        <f ca="1">AVERAGE(OFFSET($EN$3,0,0,'Données projet'!$E$15+1,1))-AVERAGE(OFFSET($H$3,0,0,'Données projet'!$E$15+1,1))</f>
        <v>478.11504516179713</v>
      </c>
      <c r="EP81" s="60">
        <f t="shared" si="100"/>
        <v>249.93713224442419</v>
      </c>
      <c r="EQ81" s="16">
        <f>IF(ISNA(VLOOKUP(A81,'Données projet'!$A$191:$I$211,3,0)),0,VLOOKUP(A81,'Données projet'!$A$191:$I$211,3,0))</f>
        <v>9</v>
      </c>
      <c r="ER81" s="16">
        <f>IF(ISNA(VLOOKUP(A81,'Données projet'!$A$191:$I$211,4,0)),0,VLOOKUP(A81,'Données projet'!$A$191:$I$211,4,0))</f>
        <v>39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0</v>
      </c>
      <c r="EW81" s="23">
        <f>EXP(-LN(2)/25)*EW80+(1-EXP(-LN(2)/25))/(LN(2)/25)*Calculateur!ER81*Calculateur!ET81*VLOOKUP('Données projet'!$B$15,Paramètres!$A$1:$I$89,3,0)*0.475*44/12</f>
        <v>0</v>
      </c>
      <c r="EX81" s="23">
        <f>EXP(-LN(2)/2)*EX80+(1-EXP(-LN(2)/2))/(LN(2)/2)*ER81*EU81*VLOOKUP('Données projet'!$B$15,Paramètres!$A$1:$I$89,3,0)*0.475*44/12</f>
        <v>0</v>
      </c>
      <c r="EY81" s="24">
        <f t="shared" si="75"/>
        <v>0</v>
      </c>
      <c r="EZ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7.2</v>
      </c>
      <c r="FE81" s="13">
        <f>IF('Données projet'!$A$218&gt;35,FE80+FD81-FM80,IF(A81&lt;'Données projet'!$A$218,$FB$205^A81,IF(A81='Données projet'!$A$218,'Données projet'!$B$218,FE80+FD81-FM80)))</f>
        <v>305.60000000000002</v>
      </c>
      <c r="FF81" s="18">
        <f>FE81*VLOOKUP('Données projet'!$B$16,Paramètres!$A$1:$I$89,3,0)*VLOOKUP('Données projet'!$B$16,Paramètres!$A$1:$I$89,5,0)</f>
        <v>295.57632000000001</v>
      </c>
      <c r="FG81" s="14">
        <f t="shared" si="101"/>
        <v>70.24828996461811</v>
      </c>
      <c r="FH81" s="22">
        <f t="shared" si="76"/>
        <v>637.1445290217099</v>
      </c>
      <c r="FI81" s="60">
        <f t="shared" si="77"/>
        <v>907.06796705613613</v>
      </c>
      <c r="FJ81" s="60">
        <f ca="1">AVERAGE(OFFSET($FI$3,0,0,'Données projet'!$E$16+1,1))-AVERAGE(OFFSET($H$3,0,0,'Données projet'!$E$16+1,1))</f>
        <v>603.52431522262032</v>
      </c>
      <c r="FK81" s="60">
        <f t="shared" si="102"/>
        <v>313.56299786481338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>
        <f>EXP(-LN(2)/35)*FQ80+(1-EXP(-LN(2)/35))/(LN(2)/35)*FM81*FN81*VLOOKUP('Données projet'!$B$16,Paramètres!$A$1:$I$89,3,0)*0.475*44/12</f>
        <v>0</v>
      </c>
      <c r="FR81" s="23">
        <f>EXP(-LN(2)/25)*FR80+(1-EXP(-LN(2)/25))/(LN(2)/25)*Calculateur!FM81*Calculateur!FO81*VLOOKUP('Données projet'!$B$16,Paramètres!$A$1:$I$89,3,0)*0.475*44/12</f>
        <v>0</v>
      </c>
      <c r="FS81" s="23">
        <f>EXP(-LN(2)/2)*FS80+(1-EXP(-LN(2)/2))/(LN(2)/2)*FM81*FP81*VLOOKUP('Données projet'!$B$16,Paramètres!$A$1:$I$89,3,0)*0.475*44/12</f>
        <v>0</v>
      </c>
      <c r="FT81" s="24">
        <f t="shared" si="78"/>
        <v>0</v>
      </c>
      <c r="FU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4.7435897435897463</v>
      </c>
      <c r="FZ81" s="13">
        <f>IF('Données projet'!$A$244&gt;35,FZ80+FY81-GH80,IF(A81&lt;'Données projet'!$A$244,$FW$205^A81,IF(A81='Données projet'!$A$244,'Données projet'!$B$244,FZ80+FY81-GH80)))</f>
        <v>317.43589743589746</v>
      </c>
      <c r="GA81" s="18">
        <f>FZ81*VLOOKUP('Données projet'!$B$17,Paramètres!$A$1:$I$89,3,0)*VLOOKUP('Données projet'!$B$17,Paramètres!$A$1:$I$89,5,0)</f>
        <v>212.93600000000001</v>
      </c>
      <c r="GB81" s="14">
        <f t="shared" si="103"/>
        <v>52.576656207031739</v>
      </c>
      <c r="GC81" s="22">
        <f t="shared" si="79"/>
        <v>462.4345428939136</v>
      </c>
      <c r="GD81" s="60">
        <f t="shared" si="80"/>
        <v>732.35798092833988</v>
      </c>
      <c r="GE81" s="60">
        <f ca="1">AVERAGE(OFFSET($GD$3,0,0,'Données projet'!$E$17+1,1))-AVERAGE(OFFSET($H$3,0,0,'Données projet'!$E$17+1,1))</f>
        <v>396.0878652679051</v>
      </c>
      <c r="GF81" s="60">
        <f t="shared" si="104"/>
        <v>327.26339199235406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>
        <f>EXP(-LN(2)/35)*GL80+(1-EXP(-LN(2)/35))/(LN(2)/35)*GH81*GI81*VLOOKUP('Données projet'!$B$17,Paramètres!$A$1:$I$89,3,0)*0.475*44/12</f>
        <v>0</v>
      </c>
      <c r="GM81" s="23">
        <f>EXP(-LN(2)/25)*GM80+(1-EXP(-LN(2)/25))/(LN(2)/25)*Calculateur!GH81*Calculateur!GJ81*VLOOKUP('Données projet'!$B$17,Paramètres!$A$1:$I$89,3,0)*0.475*44/12</f>
        <v>0</v>
      </c>
      <c r="GN81" s="23">
        <f>EXP(-LN(2)/2)*GN80+(1-EXP(-LN(2)/2))/(LN(2)/2)*GH81*GK81*VLOOKUP('Données projet'!$B$17,Paramètres!$A$1:$I$89,3,0)*0.475*44/12</f>
        <v>0</v>
      </c>
      <c r="GO81" s="23">
        <f t="shared" si="81"/>
        <v>0</v>
      </c>
      <c r="GP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-1.1368683772161603E-13</v>
      </c>
      <c r="GV81" s="18">
        <f>GU81*VLOOKUP('Données projet'!$B$18,Paramètres!$A$1:$I$89,3,0)*VLOOKUP('Données projet'!$B$18,Paramètres!$A$1:$I$89,5,0)</f>
        <v>-9.2222762759774927E-14</v>
      </c>
      <c r="GW81" s="14" t="e">
        <f t="shared" si="105"/>
        <v>#NUM!</v>
      </c>
      <c r="GX81" s="22" t="e">
        <f t="shared" si="82"/>
        <v>#NUM!</v>
      </c>
      <c r="GY81" s="60" t="e">
        <f t="shared" si="83"/>
        <v>#NUM!</v>
      </c>
      <c r="GZ81" s="60">
        <f ca="1">AVERAGE(OFFSET($GY$3,0,0,'Données projet'!$E$18+1,1))-AVERAGE(OFFSET($H$3,0,0,'Données projet'!$E$18+1,1))</f>
        <v>272.69564942740931</v>
      </c>
      <c r="HA81" s="60">
        <f t="shared" si="106"/>
        <v>316.57989180609252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>
        <f>EXP(-LN(2)/35)*HG80+(1-EXP(-LN(2)/35))/(LN(2)/35)*HC81*HD81*VLOOKUP('Données projet'!$B$18,Paramètres!$A$1:$I$89,3,0)*0.475*44/12</f>
        <v>0</v>
      </c>
      <c r="HH81" s="23">
        <f>EXP(-LN(2)/25)*HH80+(1-EXP(-LN(2)/25))/(LN(2)/25)*Calculateur!HC81*Calculateur!HE81*VLOOKUP('Données projet'!$B$18,Paramètres!$A$1:$I$89,3,0)*0.475*44/12</f>
        <v>0</v>
      </c>
      <c r="HI81" s="23">
        <f>EXP(-LN(2)/2)*HI80+(1-EXP(-LN(2)/2))/(LN(2)/2)*HC81*HF81*VLOOKUP('Données projet'!$B$18,Paramètres!$A$1:$I$89,3,0)*0.475*44/12</f>
        <v>0</v>
      </c>
      <c r="HJ81" s="24">
        <f t="shared" si="84"/>
        <v>0</v>
      </c>
    </row>
    <row r="82" spans="1:218" s="5" customFormat="1" x14ac:dyDescent="0.25">
      <c r="A82" s="11">
        <f t="shared" si="85"/>
        <v>79</v>
      </c>
      <c r="B82" s="75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8">
        <f t="shared" si="56"/>
        <v>183.33333333333334</v>
      </c>
      <c r="I82" s="7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7.2</v>
      </c>
      <c r="N82" s="14">
        <f>IF('Données projet'!$A$36&gt;35,N81+M82-V81,IF(A82&lt;'Données projet'!$A$36,$K$205^A82,IF(A82='Données projet'!$A$36,'Données projet'!$B$36,N81+M82-V81)))</f>
        <v>312.8</v>
      </c>
      <c r="O82" s="14">
        <f>N82*VLOOKUP('Données projet'!$B$9,Paramètres!$A$1:$I$89,3,0)*VLOOKUP('Données projet'!$B$9,Paramètres!$A$1:$I$89,5,0)</f>
        <v>283.02144000000004</v>
      </c>
      <c r="P82" s="14">
        <f t="shared" si="87"/>
        <v>67.605126603830598</v>
      </c>
      <c r="Q82" s="22">
        <f t="shared" si="54"/>
        <v>610.67460350167164</v>
      </c>
      <c r="R82" s="60">
        <f t="shared" si="55"/>
        <v>881.00415088284853</v>
      </c>
      <c r="S82" s="60">
        <f ca="1">AVERAGE(OFFSET($R$3,0,0,'Données projet'!$E$9+1,1))-AVERAGE(OFFSET($H$3,0,0,'Données projet'!$E$9+1,1))</f>
        <v>570.08763950759544</v>
      </c>
      <c r="T82" s="60">
        <f t="shared" si="88"/>
        <v>297.32483725004136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3.5600000000000023</v>
      </c>
      <c r="AI82" s="14">
        <f>IF('Données projet'!$A$62&gt;35,AI81+AH82-AQ81,IF(A82&lt;'Données projet'!$A$62,$AF$205^A82,IF(A82='Données projet'!$A$62,'Données projet'!$B$62,AI81+AH82-AQ81)))</f>
        <v>337.73999999999995</v>
      </c>
      <c r="AJ82" s="14">
        <f>AI82*VLOOKUP('Données projet'!$B$10,Paramètres!$A$1:$I$89,3,0)*VLOOKUP('Données projet'!$B$10,Paramètres!$A$1:$I$89,5,0)</f>
        <v>268.70594399999999</v>
      </c>
      <c r="AK82" s="14">
        <f t="shared" si="89"/>
        <v>64.574561201947517</v>
      </c>
      <c r="AL82" s="22">
        <f t="shared" si="58"/>
        <v>580.46354656005849</v>
      </c>
      <c r="AM82" s="60">
        <f t="shared" si="59"/>
        <v>850.79309394123538</v>
      </c>
      <c r="AN82" s="60">
        <f ca="1">AVERAGE(OFFSET($AM$3,0,0,'Données projet'!$E$10+1,1))-AVERAGE(OFFSET($H$3,0,0,'Données projet'!$E$10+1,1))</f>
        <v>394.49874384716014</v>
      </c>
      <c r="AO82" s="60">
        <f t="shared" si="90"/>
        <v>423.72519584013378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2.9799999999999955</v>
      </c>
      <c r="BD82" s="13">
        <f>IF('Données projet'!$A$88&gt;35,BD81+BC82-BL81,IF(A82&lt;'Données projet'!$A$88,$BA$205^A82,IF(A82='Données projet'!$A$88,'Données projet'!$B$88,BD81+BC82-BL81)))</f>
        <v>281.62000000000035</v>
      </c>
      <c r="BE82" s="14">
        <f>BD82*VLOOKUP('Données projet'!$B$11,Paramètres!$A$1:$I$89,3,0)*VLOOKUP('Données projet'!$B$11,Paramètres!$A$1:$I$89,5,0)</f>
        <v>246.02323200000032</v>
      </c>
      <c r="BF82" s="14">
        <f t="shared" si="91"/>
        <v>59.73358275988631</v>
      </c>
      <c r="BG82" s="22">
        <f t="shared" si="61"/>
        <v>532.52645237346917</v>
      </c>
      <c r="BH82" s="60">
        <f t="shared" si="62"/>
        <v>802.85599975464606</v>
      </c>
      <c r="BI82" s="60">
        <f ca="1">AVERAGE(OFFSET($BH$3,0,0,'Données projet'!$E$11+1,1))-AVERAGE(OFFSET($H$3,0,0,'Données projet'!$E$11+1,1))</f>
        <v>363.28611056308665</v>
      </c>
      <c r="BJ82" s="60">
        <f t="shared" si="92"/>
        <v>389.43647559455974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4.3589743589743648</v>
      </c>
      <c r="BY82" s="13">
        <f>IF('Données projet'!$A$114&gt;35,BY81+BX82-CG81,IF(A82&lt;'Données projet'!$A$114,$BV$205^A82,IF(A82='Données projet'!$A$114,'Données projet'!$B$114,BY81+BX82-CG81)))</f>
        <v>232.82051282051273</v>
      </c>
      <c r="BZ82" s="14">
        <f>BY82*VLOOKUP('Données projet'!$B$12,Paramètres!$A$1:$I$89,3,0)*VLOOKUP('Données projet'!$B$12,Paramètres!$A$1:$I$89,5,0)</f>
        <v>221.55199999999994</v>
      </c>
      <c r="CA82" s="14">
        <f t="shared" si="93"/>
        <v>54.452067119881683</v>
      </c>
      <c r="CB82" s="22">
        <f t="shared" si="64"/>
        <v>480.70708356712709</v>
      </c>
      <c r="CC82" s="60">
        <f t="shared" si="65"/>
        <v>751.03663094830404</v>
      </c>
      <c r="CD82" s="60">
        <f ca="1">AVERAGE(OFFSET($CC$3,0,0,'Données projet'!$E$12+1,1))-AVERAGE(OFFSET($H$3,0,0,'Données projet'!$E$12+1,1))</f>
        <v>441.15969139782891</v>
      </c>
      <c r="CE82" s="60">
        <f t="shared" si="94"/>
        <v>315.06466790224783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3.5600000000000023</v>
      </c>
      <c r="CT82" s="13">
        <f>IF('Données projet'!$A$140&gt;35,CT81+CS82-DB81,IF(A82&lt;'Données projet'!$A$140,$CQ$205^A82,IF(A82='Données projet'!$A$140,'Données projet'!$B$140,CT81+CS82-DB81)))</f>
        <v>337.73999999999995</v>
      </c>
      <c r="CU82" s="18">
        <f>CT82*VLOOKUP('Données projet'!$B$13,Paramètres!$A$1:$I$89,3,0)*VLOOKUP('Données projet'!$B$13,Paramètres!$A$1:$I$89,5,0)</f>
        <v>247.63096799999994</v>
      </c>
      <c r="CV82" s="14">
        <f t="shared" si="95"/>
        <v>60.078367536199657</v>
      </c>
      <c r="CW82" s="22">
        <f t="shared" si="67"/>
        <v>535.9270927255476</v>
      </c>
      <c r="CX82" s="60">
        <f t="shared" si="68"/>
        <v>806.25664010672449</v>
      </c>
      <c r="CY82" s="60">
        <f ca="1">AVERAGE(OFFSET($CX$3,0,0,'Données projet'!$E$13+1,1))-AVERAGE(OFFSET($H$3,0,0,'Données projet'!$E$13+1,1))</f>
        <v>368.35775920359396</v>
      </c>
      <c r="CZ82" s="60">
        <f t="shared" si="96"/>
        <v>395.5218438652638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1.1368683772161603E-13</v>
      </c>
      <c r="DP82" s="18">
        <f>DO82*VLOOKUP('Données projet'!$B$14,Paramètres!$A$1:$I$89,3,0)*VLOOKUP('Données projet'!$B$14,Paramètres!$A$1:$I$89,5,0)</f>
        <v>8.8675733422860506E-14</v>
      </c>
      <c r="DQ82" s="14">
        <f t="shared" si="97"/>
        <v>1.3509285393066301E-12</v>
      </c>
      <c r="DR82" s="22">
        <f t="shared" si="70"/>
        <v>2.5073107750038623E-12</v>
      </c>
      <c r="DS82" s="60">
        <f t="shared" si="71"/>
        <v>270.32954738117945</v>
      </c>
      <c r="DT82" s="60">
        <f ca="1">AVERAGE(OFFSET($DS$3,0,0,'Données projet'!$E$14+1,1))-AVERAGE(OFFSET($H$3,0,0,'Données projet'!$E$14+1,1))</f>
        <v>312.59632808777332</v>
      </c>
      <c r="DU82" s="60">
        <f t="shared" si="98"/>
        <v>302.59481222418219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0</v>
      </c>
      <c r="EE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12</v>
      </c>
      <c r="EJ82" s="13">
        <f>IF('Données projet'!$A$192&gt;35,EJ81+EI82-ER81,IF(A82&lt;'Données projet'!$A$192,$EG$205^A82,IF(A82='Données projet'!$A$192,'Données projet'!$B$192,EJ81+EI82-ER81)))</f>
        <v>359.99999999999966</v>
      </c>
      <c r="EK82" s="18">
        <f>EJ82*VLOOKUP('Données projet'!$B$15,Paramètres!$A$1:$I$89,3,0)*VLOOKUP('Données projet'!$B$15,Paramètres!$A$1:$I$89,5,0)</f>
        <v>308.87999999999977</v>
      </c>
      <c r="EL82" s="14">
        <f t="shared" si="99"/>
        <v>73.034880345800715</v>
      </c>
      <c r="EM82" s="22">
        <f t="shared" si="73"/>
        <v>665.16841660226919</v>
      </c>
      <c r="EN82" s="60">
        <f t="shared" si="74"/>
        <v>935.4979639834462</v>
      </c>
      <c r="EO82" s="60">
        <f ca="1">AVERAGE(OFFSET($EN$3,0,0,'Données projet'!$E$15+1,1))-AVERAGE(OFFSET($H$3,0,0,'Données projet'!$E$15+1,1))</f>
        <v>478.11504516179713</v>
      </c>
      <c r="EP82" s="60">
        <f t="shared" si="100"/>
        <v>249.93713224442419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0</v>
      </c>
      <c r="EW82" s="23">
        <f>EXP(-LN(2)/25)*EW81+(1-EXP(-LN(2)/25))/(LN(2)/25)*Calculateur!ER82*Calculateur!ET82*VLOOKUP('Données projet'!$B$15,Paramètres!$A$1:$I$89,3,0)*0.475*44/12</f>
        <v>0</v>
      </c>
      <c r="EX82" s="23">
        <f>EXP(-LN(2)/2)*EX81+(1-EXP(-LN(2)/2))/(LN(2)/2)*ER82*EU82*VLOOKUP('Données projet'!$B$15,Paramètres!$A$1:$I$89,3,0)*0.475*44/12</f>
        <v>0</v>
      </c>
      <c r="EY82" s="24">
        <f t="shared" si="75"/>
        <v>0</v>
      </c>
      <c r="EZ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7.2</v>
      </c>
      <c r="FE82" s="13">
        <f>IF('Données projet'!$A$218&gt;35,FE81+FD82-FM81,IF(A82&lt;'Données projet'!$A$218,$FB$205^A82,IF(A82='Données projet'!$A$218,'Données projet'!$B$218,FE81+FD82-FM81)))</f>
        <v>312.8</v>
      </c>
      <c r="FF82" s="18">
        <f>FE82*VLOOKUP('Données projet'!$B$16,Paramètres!$A$1:$I$89,3,0)*VLOOKUP('Données projet'!$B$16,Paramètres!$A$1:$I$89,5,0)</f>
        <v>302.54016000000001</v>
      </c>
      <c r="FG82" s="14">
        <f t="shared" si="101"/>
        <v>71.708716984815311</v>
      </c>
      <c r="FH82" s="22">
        <f t="shared" si="76"/>
        <v>651.81679408188654</v>
      </c>
      <c r="FI82" s="60">
        <f t="shared" si="77"/>
        <v>922.14634146306344</v>
      </c>
      <c r="FJ82" s="60">
        <f ca="1">AVERAGE(OFFSET($FI$3,0,0,'Données projet'!$E$16+1,1))-AVERAGE(OFFSET($H$3,0,0,'Données projet'!$E$16+1,1))</f>
        <v>603.52431522262032</v>
      </c>
      <c r="FK82" s="60">
        <f t="shared" si="102"/>
        <v>313.56299786481338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>
        <f>EXP(-LN(2)/35)*FQ81+(1-EXP(-LN(2)/35))/(LN(2)/35)*FM82*FN82*VLOOKUP('Données projet'!$B$16,Paramètres!$A$1:$I$89,3,0)*0.475*44/12</f>
        <v>0</v>
      </c>
      <c r="FR82" s="23">
        <f>EXP(-LN(2)/25)*FR81+(1-EXP(-LN(2)/25))/(LN(2)/25)*Calculateur!FM82*Calculateur!FO82*VLOOKUP('Données projet'!$B$16,Paramètres!$A$1:$I$89,3,0)*0.475*44/12</f>
        <v>0</v>
      </c>
      <c r="FS82" s="23">
        <f>EXP(-LN(2)/2)*FS81+(1-EXP(-LN(2)/2))/(LN(2)/2)*FM82*FP82*VLOOKUP('Données projet'!$B$16,Paramètres!$A$1:$I$89,3,0)*0.475*44/12</f>
        <v>0</v>
      </c>
      <c r="FT82" s="24">
        <f t="shared" si="78"/>
        <v>0</v>
      </c>
      <c r="FU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4.7435897435897463</v>
      </c>
      <c r="FZ82" s="13">
        <f>IF('Données projet'!$A$244&gt;35,FZ81+FY82-GH81,IF(A82&lt;'Données projet'!$A$244,$FW$205^A82,IF(A82='Données projet'!$A$244,'Données projet'!$B$244,FZ81+FY82-GH81)))</f>
        <v>322.17948717948718</v>
      </c>
      <c r="GA82" s="18">
        <f>FZ82*VLOOKUP('Données projet'!$B$17,Paramètres!$A$1:$I$89,3,0)*VLOOKUP('Données projet'!$B$17,Paramètres!$A$1:$I$89,5,0)</f>
        <v>216.11799999999999</v>
      </c>
      <c r="GB82" s="14">
        <f t="shared" si="103"/>
        <v>53.270279972172681</v>
      </c>
      <c r="GC82" s="22">
        <f t="shared" si="79"/>
        <v>469.18458761820074</v>
      </c>
      <c r="GD82" s="60">
        <f t="shared" si="80"/>
        <v>739.51413499937769</v>
      </c>
      <c r="GE82" s="60">
        <f ca="1">AVERAGE(OFFSET($GD$3,0,0,'Données projet'!$E$17+1,1))-AVERAGE(OFFSET($H$3,0,0,'Données projet'!$E$17+1,1))</f>
        <v>396.0878652679051</v>
      </c>
      <c r="GF82" s="60">
        <f t="shared" si="104"/>
        <v>327.26339199235406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>
        <f>EXP(-LN(2)/35)*GL81+(1-EXP(-LN(2)/35))/(LN(2)/35)*GH82*GI82*VLOOKUP('Données projet'!$B$17,Paramètres!$A$1:$I$89,3,0)*0.475*44/12</f>
        <v>0</v>
      </c>
      <c r="GM82" s="23">
        <f>EXP(-LN(2)/25)*GM81+(1-EXP(-LN(2)/25))/(LN(2)/25)*Calculateur!GH82*Calculateur!GJ82*VLOOKUP('Données projet'!$B$17,Paramètres!$A$1:$I$89,3,0)*0.475*44/12</f>
        <v>0</v>
      </c>
      <c r="GN82" s="23">
        <f>EXP(-LN(2)/2)*GN81+(1-EXP(-LN(2)/2))/(LN(2)/2)*GH82*GK82*VLOOKUP('Données projet'!$B$17,Paramètres!$A$1:$I$89,3,0)*0.475*44/12</f>
        <v>0</v>
      </c>
      <c r="GO82" s="23">
        <f t="shared" si="81"/>
        <v>0</v>
      </c>
      <c r="GP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-1.1368683772161603E-13</v>
      </c>
      <c r="GV82" s="18">
        <f>GU82*VLOOKUP('Données projet'!$B$18,Paramètres!$A$1:$I$89,3,0)*VLOOKUP('Données projet'!$B$18,Paramètres!$A$1:$I$89,5,0)</f>
        <v>-9.2222762759774927E-14</v>
      </c>
      <c r="GW82" s="14" t="e">
        <f t="shared" si="105"/>
        <v>#NUM!</v>
      </c>
      <c r="GX82" s="22" t="e">
        <f t="shared" si="82"/>
        <v>#NUM!</v>
      </c>
      <c r="GY82" s="60" t="e">
        <f t="shared" si="83"/>
        <v>#NUM!</v>
      </c>
      <c r="GZ82" s="60">
        <f ca="1">AVERAGE(OFFSET($GY$3,0,0,'Données projet'!$E$18+1,1))-AVERAGE(OFFSET($H$3,0,0,'Données projet'!$E$18+1,1))</f>
        <v>272.69564942740931</v>
      </c>
      <c r="HA82" s="60">
        <f t="shared" si="106"/>
        <v>316.57989180609252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>
        <f>EXP(-LN(2)/35)*HG81+(1-EXP(-LN(2)/35))/(LN(2)/35)*HC82*HD82*VLOOKUP('Données projet'!$B$18,Paramètres!$A$1:$I$89,3,0)*0.475*44/12</f>
        <v>0</v>
      </c>
      <c r="HH82" s="23">
        <f>EXP(-LN(2)/25)*HH81+(1-EXP(-LN(2)/25))/(LN(2)/25)*Calculateur!HC82*Calculateur!HE82*VLOOKUP('Données projet'!$B$18,Paramètres!$A$1:$I$89,3,0)*0.475*44/12</f>
        <v>0</v>
      </c>
      <c r="HI82" s="23">
        <f>EXP(-LN(2)/2)*HI81+(1-EXP(-LN(2)/2))/(LN(2)/2)*HC82*HF82*VLOOKUP('Données projet'!$B$18,Paramètres!$A$1:$I$89,3,0)*0.475*44/12</f>
        <v>0</v>
      </c>
      <c r="HJ82" s="24">
        <f t="shared" si="84"/>
        <v>0</v>
      </c>
    </row>
    <row r="83" spans="1:218" s="5" customFormat="1" x14ac:dyDescent="0.25">
      <c r="A83" s="11">
        <f t="shared" si="85"/>
        <v>80</v>
      </c>
      <c r="B83" s="75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8">
        <f t="shared" si="56"/>
        <v>183.33333333333334</v>
      </c>
      <c r="I83" s="7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320</v>
      </c>
      <c r="L83" s="13">
        <f>VLOOKUP(A83,'Données projet'!$A$35:$I$55,9,0)</f>
        <v>7.2</v>
      </c>
      <c r="M83" s="13">
        <f t="array" ref="M83">INDEX(L:L,MIN(IF(ISNUMBER(L83:L279),ROW(L83:L279),"")))</f>
        <v>7.2</v>
      </c>
      <c r="N83" s="14">
        <f>IF('Données projet'!$A$36&gt;35,N82+M83-V82,IF(A83&lt;'Données projet'!$A$36,$K$205^A83,IF(A83='Données projet'!$A$36,'Données projet'!$B$36,N82+M83-V82)))</f>
        <v>320</v>
      </c>
      <c r="O83" s="14">
        <f>N83*VLOOKUP('Données projet'!$B$9,Paramètres!$A$1:$I$89,3,0)*VLOOKUP('Données projet'!$B$9,Paramètres!$A$1:$I$89,5,0)</f>
        <v>289.536</v>
      </c>
      <c r="P83" s="14">
        <f t="shared" si="87"/>
        <v>68.97829509904436</v>
      </c>
      <c r="Q83" s="22">
        <f t="shared" si="54"/>
        <v>624.41239729750225</v>
      </c>
      <c r="R83" s="60">
        <f t="shared" si="55"/>
        <v>895.14100893618843</v>
      </c>
      <c r="S83" s="60">
        <f ca="1">AVERAGE(OFFSET($R$3,0,0,'Données projet'!$E$9+1,1))-AVERAGE(OFFSET($H$3,0,0,'Données projet'!$E$9+1,1))</f>
        <v>570.08763950759544</v>
      </c>
      <c r="T83" s="60">
        <f t="shared" si="88"/>
        <v>297.32483725004136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341.3</v>
      </c>
      <c r="AG83" s="13">
        <f>VLOOKUP(A83,'Données projet'!$A$61:$I$81,9,0)</f>
        <v>3.5600000000000023</v>
      </c>
      <c r="AH83" s="13">
        <f t="array" ref="AH83">INDEX(AG:AG,MIN(IF(ISNUMBER(AG83:AG279),ROW(AG83:AG279),"")))</f>
        <v>3.5600000000000023</v>
      </c>
      <c r="AI83" s="14">
        <f>IF('Données projet'!$A$62&gt;35,AI82+AH83-AQ82,IF(A83&lt;'Données projet'!$A$62,$AF$205^A83,IF(A83='Données projet'!$A$62,'Données projet'!$B$62,AI82+AH83-AQ82)))</f>
        <v>341.29999999999995</v>
      </c>
      <c r="AJ83" s="14">
        <f>AI83*VLOOKUP('Données projet'!$B$10,Paramètres!$A$1:$I$89,3,0)*VLOOKUP('Données projet'!$B$10,Paramètres!$A$1:$I$89,5,0)</f>
        <v>271.53827999999999</v>
      </c>
      <c r="AK83" s="14">
        <f t="shared" si="89"/>
        <v>65.17562310645522</v>
      </c>
      <c r="AL83" s="22">
        <f t="shared" si="58"/>
        <v>586.44338124374281</v>
      </c>
      <c r="AM83" s="60">
        <f t="shared" si="59"/>
        <v>857.17199288242887</v>
      </c>
      <c r="AN83" s="60">
        <f ca="1">AVERAGE(OFFSET($AM$3,0,0,'Données projet'!$E$10+1,1))-AVERAGE(OFFSET($H$3,0,0,'Données projet'!$E$10+1,1))</f>
        <v>394.49874384716014</v>
      </c>
      <c r="AO83" s="60">
        <f t="shared" si="90"/>
        <v>423.72519584013378</v>
      </c>
      <c r="AP83" s="16">
        <f>IF(ISNA(VLOOKUP(A83,'Données projet'!$A$61:$I$81,3,0)),0,VLOOKUP(A83,'Données projet'!$A$61:$I$81,3,0))</f>
        <v>7</v>
      </c>
      <c r="AQ83" s="16">
        <f>IF(ISNA(VLOOKUP(A83,'Données projet'!$A$61:$I$81,4,0)),0,VLOOKUP(A83,'Données projet'!$A$61:$I$81,4,0))</f>
        <v>341.3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284.60000000000002</v>
      </c>
      <c r="BB83" s="13">
        <f>VLOOKUP(A83,'Données projet'!$A$87:$I$107,9,0)</f>
        <v>2.9799999999999955</v>
      </c>
      <c r="BC83" s="13">
        <f t="array" ref="BC83">INDEX(BB:BB,MIN(IF(ISNUMBER(BB83:BB279),ROW(BB83:BB279),"")))</f>
        <v>2.9799999999999955</v>
      </c>
      <c r="BD83" s="13">
        <f>IF('Données projet'!$A$88&gt;35,BD82+BC83-BL82,IF(A83&lt;'Données projet'!$A$88,$BA$205^A83,IF(A83='Données projet'!$A$88,'Données projet'!$B$88,BD82+BC83-BL82)))</f>
        <v>284.60000000000036</v>
      </c>
      <c r="BE83" s="14">
        <f>BD83*VLOOKUP('Données projet'!$B$11,Paramètres!$A$1:$I$89,3,0)*VLOOKUP('Données projet'!$B$11,Paramètres!$A$1:$I$89,5,0)</f>
        <v>248.62656000000038</v>
      </c>
      <c r="BF83" s="14">
        <f t="shared" si="91"/>
        <v>60.291745119621027</v>
      </c>
      <c r="BG83" s="22">
        <f t="shared" si="61"/>
        <v>538.03271475000724</v>
      </c>
      <c r="BH83" s="60">
        <f t="shared" si="62"/>
        <v>808.76132638869331</v>
      </c>
      <c r="BI83" s="60">
        <f ca="1">AVERAGE(OFFSET($BH$3,0,0,'Données projet'!$E$11+1,1))-AVERAGE(OFFSET($H$3,0,0,'Données projet'!$E$11+1,1))</f>
        <v>363.28611056308665</v>
      </c>
      <c r="BJ83" s="60">
        <f t="shared" si="92"/>
        <v>389.43647559455974</v>
      </c>
      <c r="BK83" s="16">
        <f>IF(ISNA(VLOOKUP(A83,'Données projet'!$A$87:$I$107,3,0)),0,VLOOKUP(A83,'Données projet'!$A$87:$I$107,3,0))</f>
        <v>7</v>
      </c>
      <c r="BL83" s="23">
        <f>IF(ISNA(VLOOKUP(A83,'Données projet'!$A$87:$I$107,4,0)),0,VLOOKUP(A83,'Données projet'!$A$87:$I$107,4,0))</f>
        <v>284.60000000000002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237.17948717948718</v>
      </c>
      <c r="BW83" s="13">
        <f>VLOOKUP(A83,'Données projet'!$A$113:$I$133,9,0)</f>
        <v>4.3589743589743648</v>
      </c>
      <c r="BX83" s="13">
        <f t="array" ref="BX83">INDEX(BW:BW,MIN(IF(ISNUMBER(BW83:BW279),ROW(BW83:BW279),"")))</f>
        <v>4.3589743589743648</v>
      </c>
      <c r="BY83" s="13">
        <f>IF('Données projet'!$A$114&gt;35,BY82+BX83-CG82,IF(A83&lt;'Données projet'!$A$114,$BV$205^A83,IF(A83='Données projet'!$A$114,'Données projet'!$B$114,BY82+BX83-CG82)))</f>
        <v>237.1794871794871</v>
      </c>
      <c r="BZ83" s="14">
        <f>BY83*VLOOKUP('Données projet'!$B$12,Paramètres!$A$1:$I$89,3,0)*VLOOKUP('Données projet'!$B$12,Paramètres!$A$1:$I$89,5,0)</f>
        <v>225.69999999999993</v>
      </c>
      <c r="CA83" s="14">
        <f t="shared" si="93"/>
        <v>55.351902227969966</v>
      </c>
      <c r="CB83" s="22">
        <f t="shared" si="64"/>
        <v>489.49872971371423</v>
      </c>
      <c r="CC83" s="60">
        <f t="shared" si="65"/>
        <v>760.22734135240034</v>
      </c>
      <c r="CD83" s="60">
        <f ca="1">AVERAGE(OFFSET($CC$3,0,0,'Données projet'!$E$12+1,1))-AVERAGE(OFFSET($H$3,0,0,'Données projet'!$E$12+1,1))</f>
        <v>441.15969139782891</v>
      </c>
      <c r="CE83" s="60">
        <f t="shared" si="94"/>
        <v>315.06466790224783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341.3</v>
      </c>
      <c r="CR83" s="13">
        <f>VLOOKUP(A83,'Données projet'!$A$139:$I$159,9,0)</f>
        <v>3.5600000000000023</v>
      </c>
      <c r="CS83" s="13">
        <f t="array" ref="CS83">INDEX(CR:CR,MIN(IF(ISNUMBER(CR83:CR279),ROW(CR83:CR279),"")))</f>
        <v>3.5600000000000023</v>
      </c>
      <c r="CT83" s="13">
        <f>IF('Données projet'!$A$140&gt;35,CT82+CS83-DB82,IF(A83&lt;'Données projet'!$A$140,$CQ$205^A83,IF(A83='Données projet'!$A$140,'Données projet'!$B$140,CT82+CS83-DB82)))</f>
        <v>341.29999999999995</v>
      </c>
      <c r="CU83" s="18">
        <f>CT83*VLOOKUP('Données projet'!$B$13,Paramètres!$A$1:$I$89,3,0)*VLOOKUP('Données projet'!$B$13,Paramètres!$A$1:$I$89,5,0)</f>
        <v>250.24115999999998</v>
      </c>
      <c r="CV83" s="14">
        <f t="shared" si="95"/>
        <v>60.637578738550481</v>
      </c>
      <c r="CW83" s="22">
        <f t="shared" si="67"/>
        <v>541.44713663630864</v>
      </c>
      <c r="CX83" s="60">
        <f t="shared" si="68"/>
        <v>812.1757482749947</v>
      </c>
      <c r="CY83" s="60">
        <f ca="1">AVERAGE(OFFSET($CX$3,0,0,'Données projet'!$E$13+1,1))-AVERAGE(OFFSET($H$3,0,0,'Données projet'!$E$13+1,1))</f>
        <v>368.35775920359396</v>
      </c>
      <c r="CZ83" s="60">
        <f t="shared" si="96"/>
        <v>395.5218438652638</v>
      </c>
      <c r="DA83" s="16">
        <f>IF(ISNA(VLOOKUP(A83,'Données projet'!$A$139:$I$159,3,0)),0,VLOOKUP(A83,'Données projet'!$A$139:$I$159,3,0))</f>
        <v>7</v>
      </c>
      <c r="DB83" s="16">
        <f>IF(ISNA(VLOOKUP(A83,'Données projet'!$A$139:$I$159,4,0)),0,VLOOKUP(A83,'Données projet'!$A$139:$I$159,4,0))</f>
        <v>341.3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1.1368683772161603E-13</v>
      </c>
      <c r="DP83" s="18">
        <f>DO83*VLOOKUP('Données projet'!$B$14,Paramètres!$A$1:$I$89,3,0)*VLOOKUP('Données projet'!$B$14,Paramètres!$A$1:$I$89,5,0)</f>
        <v>8.8675733422860506E-14</v>
      </c>
      <c r="DQ83" s="14">
        <f t="shared" si="97"/>
        <v>1.3509285393066301E-12</v>
      </c>
      <c r="DR83" s="22">
        <f t="shared" si="70"/>
        <v>2.5073107750038623E-12</v>
      </c>
      <c r="DS83" s="60">
        <f t="shared" si="71"/>
        <v>270.72861163868862</v>
      </c>
      <c r="DT83" s="60">
        <f ca="1">AVERAGE(OFFSET($DS$3,0,0,'Données projet'!$E$14+1,1))-AVERAGE(OFFSET($H$3,0,0,'Données projet'!$E$14+1,1))</f>
        <v>312.59632808777332</v>
      </c>
      <c r="DU83" s="60">
        <f t="shared" si="98"/>
        <v>302.59481222418219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0</v>
      </c>
      <c r="EE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12</v>
      </c>
      <c r="EJ83" s="13">
        <f>IF('Données projet'!$A$192&gt;35,EJ82+EI83-ER82,IF(A83&lt;'Données projet'!$A$192,$EG$205^A83,IF(A83='Données projet'!$A$192,'Données projet'!$B$192,EJ82+EI83-ER82)))</f>
        <v>371.99999999999966</v>
      </c>
      <c r="EK83" s="18">
        <f>EJ83*VLOOKUP('Données projet'!$B$15,Paramètres!$A$1:$I$89,3,0)*VLOOKUP('Données projet'!$B$15,Paramètres!$A$1:$I$89,5,0)</f>
        <v>319.17599999999976</v>
      </c>
      <c r="EL83" s="14">
        <f t="shared" si="99"/>
        <v>75.181878718947615</v>
      </c>
      <c r="EM83" s="22">
        <f t="shared" si="73"/>
        <v>686.8399721021666</v>
      </c>
      <c r="EN83" s="60">
        <f t="shared" si="74"/>
        <v>957.56858374085277</v>
      </c>
      <c r="EO83" s="60">
        <f ca="1">AVERAGE(OFFSET($EN$3,0,0,'Données projet'!$E$15+1,1))-AVERAGE(OFFSET($H$3,0,0,'Données projet'!$E$15+1,1))</f>
        <v>478.11504516179713</v>
      </c>
      <c r="EP83" s="60">
        <f t="shared" si="100"/>
        <v>249.93713224442419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0</v>
      </c>
      <c r="EW83" s="23">
        <f>EXP(-LN(2)/25)*EW82+(1-EXP(-LN(2)/25))/(LN(2)/25)*Calculateur!ER83*Calculateur!ET83*VLOOKUP('Données projet'!$B$15,Paramètres!$A$1:$I$89,3,0)*0.475*44/12</f>
        <v>0</v>
      </c>
      <c r="EX83" s="23">
        <f>EXP(-LN(2)/2)*EX82+(1-EXP(-LN(2)/2))/(LN(2)/2)*ER83*EU83*VLOOKUP('Données projet'!$B$15,Paramètres!$A$1:$I$89,3,0)*0.475*44/12</f>
        <v>0</v>
      </c>
      <c r="EY83" s="24">
        <f t="shared" si="75"/>
        <v>0</v>
      </c>
      <c r="EZ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>
        <f>VLOOKUP(A83,'Données projet'!$A$217:$I$237,2,0)</f>
        <v>320</v>
      </c>
      <c r="FC83" s="13">
        <f>VLOOKUP(A83,'Données projet'!$A$217:$I$237,9,0)</f>
        <v>7.2</v>
      </c>
      <c r="FD83" s="13">
        <f t="array" ref="FD83">INDEX(FC:FC,MIN(IF(ISNUMBER(FC83:FC279),ROW(FC83:FC279),"")))</f>
        <v>7.2</v>
      </c>
      <c r="FE83" s="13">
        <f>IF('Données projet'!$A$218&gt;35,FE82+FD83-FM82,IF(A83&lt;'Données projet'!$A$218,$FB$205^A83,IF(A83='Données projet'!$A$218,'Données projet'!$B$218,FE82+FD83-FM82)))</f>
        <v>320</v>
      </c>
      <c r="FF83" s="18">
        <f>FE83*VLOOKUP('Données projet'!$B$16,Paramètres!$A$1:$I$89,3,0)*VLOOKUP('Données projet'!$B$16,Paramètres!$A$1:$I$89,5,0)</f>
        <v>309.50400000000002</v>
      </c>
      <c r="FG83" s="14">
        <f t="shared" si="101"/>
        <v>73.165235978896504</v>
      </c>
      <c r="FH83" s="22">
        <f t="shared" si="76"/>
        <v>666.48225266324471</v>
      </c>
      <c r="FI83" s="60">
        <f t="shared" si="77"/>
        <v>937.21086430193077</v>
      </c>
      <c r="FJ83" s="60">
        <f ca="1">AVERAGE(OFFSET($FI$3,0,0,'Données projet'!$E$16+1,1))-AVERAGE(OFFSET($H$3,0,0,'Données projet'!$E$16+1,1))</f>
        <v>603.52431522262032</v>
      </c>
      <c r="FK83" s="60">
        <f t="shared" si="102"/>
        <v>313.56299786481338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>
        <f>EXP(-LN(2)/35)*FQ82+(1-EXP(-LN(2)/35))/(LN(2)/35)*FM83*FN83*VLOOKUP('Données projet'!$B$16,Paramètres!$A$1:$I$89,3,0)*0.475*44/12</f>
        <v>0</v>
      </c>
      <c r="FR83" s="23">
        <f>EXP(-LN(2)/25)*FR82+(1-EXP(-LN(2)/25))/(LN(2)/25)*Calculateur!FM83*Calculateur!FO83*VLOOKUP('Données projet'!$B$16,Paramètres!$A$1:$I$89,3,0)*0.475*44/12</f>
        <v>0</v>
      </c>
      <c r="FS83" s="23">
        <f>EXP(-LN(2)/2)*FS82+(1-EXP(-LN(2)/2))/(LN(2)/2)*FM83*FP83*VLOOKUP('Données projet'!$B$16,Paramètres!$A$1:$I$89,3,0)*0.475*44/12</f>
        <v>0</v>
      </c>
      <c r="FT83" s="24">
        <f t="shared" si="78"/>
        <v>0</v>
      </c>
      <c r="FU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>
        <f>VLOOKUP(A83,'Données projet'!$A$243:$I$263,2,0)</f>
        <v>326.92307692307691</v>
      </c>
      <c r="FX83" s="13">
        <f>VLOOKUP(A83,'Données projet'!$A$243:$I$263,9,0)</f>
        <v>4.7435897435897463</v>
      </c>
      <c r="FY83" s="13">
        <f t="array" ref="FY83">INDEX(FX:FX,MIN(IF(ISNUMBER(FX83:FX279),ROW(FX83:FX279),"")))</f>
        <v>4.7435897435897463</v>
      </c>
      <c r="FZ83" s="13">
        <f>IF('Données projet'!$A$244&gt;35,FZ82+FY83-GH82,IF(A83&lt;'Données projet'!$A$244,$FW$205^A83,IF(A83='Données projet'!$A$244,'Données projet'!$B$244,FZ82+FY83-GH82)))</f>
        <v>326.92307692307691</v>
      </c>
      <c r="GA83" s="18">
        <f>FZ83*VLOOKUP('Données projet'!$B$17,Paramètres!$A$1:$I$89,3,0)*VLOOKUP('Données projet'!$B$17,Paramètres!$A$1:$I$89,5,0)</f>
        <v>219.29999999999998</v>
      </c>
      <c r="GB83" s="14">
        <f t="shared" si="103"/>
        <v>53.962715971896969</v>
      </c>
      <c r="GC83" s="22">
        <f t="shared" si="79"/>
        <v>475.9325636510539</v>
      </c>
      <c r="GD83" s="60">
        <f t="shared" si="80"/>
        <v>746.66117528973996</v>
      </c>
      <c r="GE83" s="60">
        <f ca="1">AVERAGE(OFFSET($GD$3,0,0,'Données projet'!$E$17+1,1))-AVERAGE(OFFSET($H$3,0,0,'Données projet'!$E$17+1,1))</f>
        <v>396.0878652679051</v>
      </c>
      <c r="GF83" s="60">
        <f t="shared" si="104"/>
        <v>327.26339199235406</v>
      </c>
      <c r="GG83" s="16">
        <f>IF(ISNA(VLOOKUP(A83,'Données projet'!$A$243:$I$263,3,0)),0,VLOOKUP(A83,'Données projet'!$A$243:$I$263,3,0))</f>
        <v>7</v>
      </c>
      <c r="GH83" s="16">
        <f>IF(ISNA(VLOOKUP(A83,'Données projet'!$A$243:$I$263,4,0)),0,VLOOKUP(A83,'Données projet'!$A$243:$I$263,4,0))</f>
        <v>28.846153846153847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>
        <f>EXP(-LN(2)/35)*GL82+(1-EXP(-LN(2)/35))/(LN(2)/35)*GH83*GI83*VLOOKUP('Données projet'!$B$17,Paramètres!$A$1:$I$89,3,0)*0.475*44/12</f>
        <v>0</v>
      </c>
      <c r="GM83" s="23">
        <f>EXP(-LN(2)/25)*GM82+(1-EXP(-LN(2)/25))/(LN(2)/25)*Calculateur!GH83*Calculateur!GJ83*VLOOKUP('Données projet'!$B$17,Paramètres!$A$1:$I$89,3,0)*0.475*44/12</f>
        <v>0</v>
      </c>
      <c r="GN83" s="23">
        <f>EXP(-LN(2)/2)*GN82+(1-EXP(-LN(2)/2))/(LN(2)/2)*GH83*GK83*VLOOKUP('Données projet'!$B$17,Paramètres!$A$1:$I$89,3,0)*0.475*44/12</f>
        <v>0</v>
      </c>
      <c r="GO83" s="23">
        <f t="shared" si="81"/>
        <v>0</v>
      </c>
      <c r="GP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-1.1368683772161603E-13</v>
      </c>
      <c r="GV83" s="18">
        <f>GU83*VLOOKUP('Données projet'!$B$18,Paramètres!$A$1:$I$89,3,0)*VLOOKUP('Données projet'!$B$18,Paramètres!$A$1:$I$89,5,0)</f>
        <v>-9.2222762759774927E-14</v>
      </c>
      <c r="GW83" s="14" t="e">
        <f t="shared" si="105"/>
        <v>#NUM!</v>
      </c>
      <c r="GX83" s="22" t="e">
        <f t="shared" si="82"/>
        <v>#NUM!</v>
      </c>
      <c r="GY83" s="60" t="e">
        <f t="shared" si="83"/>
        <v>#NUM!</v>
      </c>
      <c r="GZ83" s="60">
        <f ca="1">AVERAGE(OFFSET($GY$3,0,0,'Données projet'!$E$18+1,1))-AVERAGE(OFFSET($H$3,0,0,'Données projet'!$E$18+1,1))</f>
        <v>272.69564942740931</v>
      </c>
      <c r="HA83" s="60">
        <f t="shared" si="106"/>
        <v>316.57989180609252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>
        <f>EXP(-LN(2)/35)*HG82+(1-EXP(-LN(2)/35))/(LN(2)/35)*HC83*HD83*VLOOKUP('Données projet'!$B$18,Paramètres!$A$1:$I$89,3,0)*0.475*44/12</f>
        <v>0</v>
      </c>
      <c r="HH83" s="23">
        <f>EXP(-LN(2)/25)*HH82+(1-EXP(-LN(2)/25))/(LN(2)/25)*Calculateur!HC83*Calculateur!HE83*VLOOKUP('Données projet'!$B$18,Paramètres!$A$1:$I$89,3,0)*0.475*44/12</f>
        <v>0</v>
      </c>
      <c r="HI83" s="23">
        <f>EXP(-LN(2)/2)*HI82+(1-EXP(-LN(2)/2))/(LN(2)/2)*HC83*HF83*VLOOKUP('Données projet'!$B$18,Paramètres!$A$1:$I$89,3,0)*0.475*44/12</f>
        <v>0</v>
      </c>
      <c r="HJ83" s="24">
        <f t="shared" si="84"/>
        <v>0</v>
      </c>
    </row>
    <row r="84" spans="1:218" s="5" customFormat="1" x14ac:dyDescent="0.25">
      <c r="A84" s="11">
        <f t="shared" si="85"/>
        <v>81</v>
      </c>
      <c r="B84" s="75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8">
        <f t="shared" si="56"/>
        <v>183.33333333333334</v>
      </c>
      <c r="I84" s="7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6.6</v>
      </c>
      <c r="N84" s="14">
        <f>IF('Données projet'!$A$36&gt;35,N83+M84-V83,IF(A84&lt;'Données projet'!$A$36,$K$205^A84,IF(A84='Données projet'!$A$36,'Données projet'!$B$36,N83+M84-V83)))</f>
        <v>326.60000000000002</v>
      </c>
      <c r="O84" s="14">
        <f>N84*VLOOKUP('Données projet'!$B$9,Paramètres!$A$1:$I$89,3,0)*VLOOKUP('Données projet'!$B$9,Paramètres!$A$1:$I$89,5,0)</f>
        <v>295.50767999999999</v>
      </c>
      <c r="P84" s="14">
        <f t="shared" si="87"/>
        <v>70.233875285761272</v>
      </c>
      <c r="Q84" s="22">
        <f t="shared" si="54"/>
        <v>636.99987545603415</v>
      </c>
      <c r="R84" s="60">
        <f t="shared" si="55"/>
        <v>908.12062847953553</v>
      </c>
      <c r="S84" s="60">
        <f ca="1">AVERAGE(OFFSET($R$3,0,0,'Données projet'!$E$9+1,1))-AVERAGE(OFFSET($H$3,0,0,'Données projet'!$E$9+1,1))</f>
        <v>570.08763950759544</v>
      </c>
      <c r="T84" s="60">
        <f t="shared" si="88"/>
        <v>297.32483725004136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-5.6843418860808015E-14</v>
      </c>
      <c r="AJ84" s="14">
        <f>AI84*VLOOKUP('Données projet'!$B$10,Paramètres!$A$1:$I$89,3,0)*VLOOKUP('Données projet'!$B$10,Paramètres!$A$1:$I$89,5,0)</f>
        <v>-4.5224624045658861E-14</v>
      </c>
      <c r="AK84" s="14" t="e">
        <f t="shared" si="89"/>
        <v>#NUM!</v>
      </c>
      <c r="AL84" s="22" t="e">
        <f t="shared" si="58"/>
        <v>#NUM!</v>
      </c>
      <c r="AM84" s="60" t="e">
        <f t="shared" si="59"/>
        <v>#NUM!</v>
      </c>
      <c r="AN84" s="60">
        <f ca="1">AVERAGE(OFFSET($AM$3,0,0,'Données projet'!$E$10+1,1))-AVERAGE(OFFSET($H$3,0,0,'Données projet'!$E$10+1,1))</f>
        <v>394.49874384716014</v>
      </c>
      <c r="AO84" s="60">
        <f t="shared" si="90"/>
        <v>423.72519584013378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3.4106051316484809E-13</v>
      </c>
      <c r="BE84" s="14">
        <f>BD84*VLOOKUP('Données projet'!$B$11,Paramètres!$A$1:$I$89,3,0)*VLOOKUP('Données projet'!$B$11,Paramètres!$A$1:$I$89,5,0)</f>
        <v>2.9795046430081134E-13</v>
      </c>
      <c r="BF84" s="14">
        <f t="shared" si="91"/>
        <v>3.9419014464513778E-12</v>
      </c>
      <c r="BG84" s="22">
        <f t="shared" si="61"/>
        <v>7.384408744560063E-12</v>
      </c>
      <c r="BH84" s="60">
        <f t="shared" si="62"/>
        <v>271.12075302350883</v>
      </c>
      <c r="BI84" s="60">
        <f ca="1">AVERAGE(OFFSET($BH$3,0,0,'Données projet'!$E$11+1,1))-AVERAGE(OFFSET($H$3,0,0,'Données projet'!$E$11+1,1))</f>
        <v>363.28611056308665</v>
      </c>
      <c r="BJ84" s="60">
        <f t="shared" si="92"/>
        <v>389.43647559455974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4.2307692307692264</v>
      </c>
      <c r="BY84" s="13">
        <f>IF('Données projet'!$A$114&gt;35,BY83+BX84-CG83,IF(A84&lt;'Données projet'!$A$114,$BV$205^A84,IF(A84='Données projet'!$A$114,'Données projet'!$B$114,BY83+BX84-CG83)))</f>
        <v>241.41025641025632</v>
      </c>
      <c r="BZ84" s="14">
        <f>BY84*VLOOKUP('Données projet'!$B$12,Paramètres!$A$1:$I$89,3,0)*VLOOKUP('Données projet'!$B$12,Paramètres!$A$1:$I$89,5,0)</f>
        <v>229.72599999999991</v>
      </c>
      <c r="CA84" s="14">
        <f t="shared" si="93"/>
        <v>56.223432215495727</v>
      </c>
      <c r="CB84" s="22">
        <f t="shared" si="64"/>
        <v>498.02859444198822</v>
      </c>
      <c r="CC84" s="60">
        <f t="shared" si="65"/>
        <v>769.14934746548965</v>
      </c>
      <c r="CD84" s="60">
        <f ca="1">AVERAGE(OFFSET($CC$3,0,0,'Données projet'!$E$12+1,1))-AVERAGE(OFFSET($H$3,0,0,'Données projet'!$E$12+1,1))</f>
        <v>441.15969139782891</v>
      </c>
      <c r="CE84" s="60">
        <f t="shared" si="94"/>
        <v>315.06466790224783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-5.6843418860808015E-14</v>
      </c>
      <c r="CU84" s="18">
        <f>CT84*VLOOKUP('Données projet'!$B$13,Paramètres!$A$1:$I$89,3,0)*VLOOKUP('Données projet'!$B$13,Paramètres!$A$1:$I$89,5,0)</f>
        <v>-4.1677594708744434E-14</v>
      </c>
      <c r="CV84" s="14" t="e">
        <f t="shared" si="95"/>
        <v>#NUM!</v>
      </c>
      <c r="CW84" s="22" t="e">
        <f t="shared" si="67"/>
        <v>#NUM!</v>
      </c>
      <c r="CX84" s="60" t="e">
        <f t="shared" si="68"/>
        <v>#NUM!</v>
      </c>
      <c r="CY84" s="60">
        <f ca="1">AVERAGE(OFFSET($CX$3,0,0,'Données projet'!$E$13+1,1))-AVERAGE(OFFSET($H$3,0,0,'Données projet'!$E$13+1,1))</f>
        <v>368.35775920359396</v>
      </c>
      <c r="CZ84" s="60">
        <f t="shared" si="96"/>
        <v>395.5218438652638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1.1368683772161603E-13</v>
      </c>
      <c r="DP84" s="18">
        <f>DO84*VLOOKUP('Données projet'!$B$14,Paramètres!$A$1:$I$89,3,0)*VLOOKUP('Données projet'!$B$14,Paramètres!$A$1:$I$89,5,0)</f>
        <v>8.8675733422860506E-14</v>
      </c>
      <c r="DQ84" s="14">
        <f t="shared" si="97"/>
        <v>1.3509285393066301E-12</v>
      </c>
      <c r="DR84" s="22">
        <f t="shared" si="70"/>
        <v>2.5073107750038623E-12</v>
      </c>
      <c r="DS84" s="60">
        <f t="shared" si="71"/>
        <v>271.12075302350394</v>
      </c>
      <c r="DT84" s="60">
        <f ca="1">AVERAGE(OFFSET($DS$3,0,0,'Données projet'!$E$14+1,1))-AVERAGE(OFFSET($H$3,0,0,'Données projet'!$E$14+1,1))</f>
        <v>312.59632808777332</v>
      </c>
      <c r="DU84" s="60">
        <f t="shared" si="98"/>
        <v>302.59481222418219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0</v>
      </c>
      <c r="EE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12</v>
      </c>
      <c r="EJ84" s="13">
        <f>IF('Données projet'!$A$192&gt;35,EJ83+EI84-ER83,IF(A84&lt;'Données projet'!$A$192,$EG$205^A84,IF(A84='Données projet'!$A$192,'Données projet'!$B$192,EJ83+EI84-ER83)))</f>
        <v>383.99999999999966</v>
      </c>
      <c r="EK84" s="18">
        <f>EJ84*VLOOKUP('Données projet'!$B$15,Paramètres!$A$1:$I$89,3,0)*VLOOKUP('Données projet'!$B$15,Paramètres!$A$1:$I$89,5,0)</f>
        <v>329.47199999999975</v>
      </c>
      <c r="EL84" s="14">
        <f t="shared" si="99"/>
        <v>77.320829101031876</v>
      </c>
      <c r="EM84" s="22">
        <f t="shared" si="73"/>
        <v>708.49751068429669</v>
      </c>
      <c r="EN84" s="60">
        <f t="shared" si="74"/>
        <v>979.61826370779818</v>
      </c>
      <c r="EO84" s="60">
        <f ca="1">AVERAGE(OFFSET($EN$3,0,0,'Données projet'!$E$15+1,1))-AVERAGE(OFFSET($H$3,0,0,'Données projet'!$E$15+1,1))</f>
        <v>478.11504516179713</v>
      </c>
      <c r="EP84" s="60">
        <f t="shared" si="100"/>
        <v>249.93713224442419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0</v>
      </c>
      <c r="EW84" s="23">
        <f>EXP(-LN(2)/25)*EW83+(1-EXP(-LN(2)/25))/(LN(2)/25)*Calculateur!ER84*Calculateur!ET84*VLOOKUP('Données projet'!$B$15,Paramètres!$A$1:$I$89,3,0)*0.475*44/12</f>
        <v>0</v>
      </c>
      <c r="EX84" s="23">
        <f>EXP(-LN(2)/2)*EX83+(1-EXP(-LN(2)/2))/(LN(2)/2)*ER84*EU84*VLOOKUP('Données projet'!$B$15,Paramètres!$A$1:$I$89,3,0)*0.475*44/12</f>
        <v>0</v>
      </c>
      <c r="EY84" s="24">
        <f t="shared" si="75"/>
        <v>0</v>
      </c>
      <c r="EZ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6.6</v>
      </c>
      <c r="FE84" s="13">
        <f>IF('Données projet'!$A$218&gt;35,FE83+FD84-FM83,IF(A84&lt;'Données projet'!$A$218,$FB$205^A84,IF(A84='Données projet'!$A$218,'Données projet'!$B$218,FE83+FD84-FM83)))</f>
        <v>326.60000000000002</v>
      </c>
      <c r="FF84" s="18">
        <f>FE84*VLOOKUP('Données projet'!$B$16,Paramètres!$A$1:$I$89,3,0)*VLOOKUP('Données projet'!$B$16,Paramètres!$A$1:$I$89,5,0)</f>
        <v>315.88752000000005</v>
      </c>
      <c r="FG84" s="14">
        <f t="shared" si="101"/>
        <v>74.497029125126971</v>
      </c>
      <c r="FH84" s="22">
        <f t="shared" si="76"/>
        <v>679.91975639292957</v>
      </c>
      <c r="FI84" s="60">
        <f t="shared" si="77"/>
        <v>951.04050941643095</v>
      </c>
      <c r="FJ84" s="60">
        <f ca="1">AVERAGE(OFFSET($FI$3,0,0,'Données projet'!$E$16+1,1))-AVERAGE(OFFSET($H$3,0,0,'Données projet'!$E$16+1,1))</f>
        <v>603.52431522262032</v>
      </c>
      <c r="FK84" s="60">
        <f t="shared" si="102"/>
        <v>313.56299786481338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>
        <f>EXP(-LN(2)/35)*FQ83+(1-EXP(-LN(2)/35))/(LN(2)/35)*FM84*FN84*VLOOKUP('Données projet'!$B$16,Paramètres!$A$1:$I$89,3,0)*0.475*44/12</f>
        <v>0</v>
      </c>
      <c r="FR84" s="23">
        <f>EXP(-LN(2)/25)*FR83+(1-EXP(-LN(2)/25))/(LN(2)/25)*Calculateur!FM84*Calculateur!FO84*VLOOKUP('Données projet'!$B$16,Paramètres!$A$1:$I$89,3,0)*0.475*44/12</f>
        <v>0</v>
      </c>
      <c r="FS84" s="23">
        <f>EXP(-LN(2)/2)*FS83+(1-EXP(-LN(2)/2))/(LN(2)/2)*FM84*FP84*VLOOKUP('Données projet'!$B$16,Paramètres!$A$1:$I$89,3,0)*0.475*44/12</f>
        <v>0</v>
      </c>
      <c r="FT84" s="24">
        <f t="shared" si="78"/>
        <v>0</v>
      </c>
      <c r="FU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4.4871794871794917</v>
      </c>
      <c r="FZ84" s="13">
        <f>IF('Données projet'!$A$244&gt;35,FZ83+FY84-GH83,IF(A84&lt;'Données projet'!$A$244,$FW$205^A84,IF(A84='Données projet'!$A$244,'Données projet'!$B$244,FZ83+FY84-GH83)))</f>
        <v>302.56410256410254</v>
      </c>
      <c r="GA84" s="18">
        <f>FZ84*VLOOKUP('Données projet'!$B$17,Paramètres!$A$1:$I$89,3,0)*VLOOKUP('Données projet'!$B$17,Paramètres!$A$1:$I$89,5,0)</f>
        <v>202.95999999999998</v>
      </c>
      <c r="GB84" s="14">
        <f t="shared" si="103"/>
        <v>50.394128866673796</v>
      </c>
      <c r="GC84" s="22">
        <f t="shared" si="79"/>
        <v>441.25844110945678</v>
      </c>
      <c r="GD84" s="60">
        <f t="shared" si="80"/>
        <v>712.37919413295822</v>
      </c>
      <c r="GE84" s="60">
        <f ca="1">AVERAGE(OFFSET($GD$3,0,0,'Données projet'!$E$17+1,1))-AVERAGE(OFFSET($H$3,0,0,'Données projet'!$E$17+1,1))</f>
        <v>396.0878652679051</v>
      </c>
      <c r="GF84" s="60">
        <f t="shared" si="104"/>
        <v>327.26339199235406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>
        <f>EXP(-LN(2)/35)*GL83+(1-EXP(-LN(2)/35))/(LN(2)/35)*GH84*GI84*VLOOKUP('Données projet'!$B$17,Paramètres!$A$1:$I$89,3,0)*0.475*44/12</f>
        <v>0</v>
      </c>
      <c r="GM84" s="23">
        <f>EXP(-LN(2)/25)*GM83+(1-EXP(-LN(2)/25))/(LN(2)/25)*Calculateur!GH84*Calculateur!GJ84*VLOOKUP('Données projet'!$B$17,Paramètres!$A$1:$I$89,3,0)*0.475*44/12</f>
        <v>0</v>
      </c>
      <c r="GN84" s="23">
        <f>EXP(-LN(2)/2)*GN83+(1-EXP(-LN(2)/2))/(LN(2)/2)*GH84*GK84*VLOOKUP('Données projet'!$B$17,Paramètres!$A$1:$I$89,3,0)*0.475*44/12</f>
        <v>0</v>
      </c>
      <c r="GO84" s="23">
        <f t="shared" si="81"/>
        <v>0</v>
      </c>
      <c r="GP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-1.1368683772161603E-13</v>
      </c>
      <c r="GV84" s="18">
        <f>GU84*VLOOKUP('Données projet'!$B$18,Paramètres!$A$1:$I$89,3,0)*VLOOKUP('Données projet'!$B$18,Paramètres!$A$1:$I$89,5,0)</f>
        <v>-9.2222762759774927E-14</v>
      </c>
      <c r="GW84" s="14" t="e">
        <f t="shared" si="105"/>
        <v>#NUM!</v>
      </c>
      <c r="GX84" s="22" t="e">
        <f t="shared" si="82"/>
        <v>#NUM!</v>
      </c>
      <c r="GY84" s="60" t="e">
        <f t="shared" si="83"/>
        <v>#NUM!</v>
      </c>
      <c r="GZ84" s="60">
        <f ca="1">AVERAGE(OFFSET($GY$3,0,0,'Données projet'!$E$18+1,1))-AVERAGE(OFFSET($H$3,0,0,'Données projet'!$E$18+1,1))</f>
        <v>272.69564942740931</v>
      </c>
      <c r="HA84" s="60">
        <f t="shared" si="106"/>
        <v>316.57989180609252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>
        <f>EXP(-LN(2)/35)*HG83+(1-EXP(-LN(2)/35))/(LN(2)/35)*HC84*HD84*VLOOKUP('Données projet'!$B$18,Paramètres!$A$1:$I$89,3,0)*0.475*44/12</f>
        <v>0</v>
      </c>
      <c r="HH84" s="23">
        <f>EXP(-LN(2)/25)*HH83+(1-EXP(-LN(2)/25))/(LN(2)/25)*Calculateur!HC84*Calculateur!HE84*VLOOKUP('Données projet'!$B$18,Paramètres!$A$1:$I$89,3,0)*0.475*44/12</f>
        <v>0</v>
      </c>
      <c r="HI84" s="23">
        <f>EXP(-LN(2)/2)*HI83+(1-EXP(-LN(2)/2))/(LN(2)/2)*HC84*HF84*VLOOKUP('Données projet'!$B$18,Paramètres!$A$1:$I$89,3,0)*0.475*44/12</f>
        <v>0</v>
      </c>
      <c r="HJ84" s="24">
        <f t="shared" si="84"/>
        <v>0</v>
      </c>
    </row>
    <row r="85" spans="1:218" s="5" customFormat="1" x14ac:dyDescent="0.25">
      <c r="A85" s="11">
        <f t="shared" si="85"/>
        <v>82</v>
      </c>
      <c r="B85" s="75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8">
        <f t="shared" si="56"/>
        <v>183.33333333333334</v>
      </c>
      <c r="I85" s="7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6.6</v>
      </c>
      <c r="N85" s="14">
        <f>IF('Données projet'!$A$36&gt;35,N84+M85-V84,IF(A85&lt;'Données projet'!$A$36,$K$205^A85,IF(A85='Données projet'!$A$36,'Données projet'!$B$36,N84+M85-V84)))</f>
        <v>333.20000000000005</v>
      </c>
      <c r="O85" s="14">
        <f>N85*VLOOKUP('Données projet'!$B$9,Paramètres!$A$1:$I$89,3,0)*VLOOKUP('Données projet'!$B$9,Paramètres!$A$1:$I$89,5,0)</f>
        <v>301.47935999999999</v>
      </c>
      <c r="P85" s="14">
        <f t="shared" si="87"/>
        <v>71.486505311225272</v>
      </c>
      <c r="Q85" s="22">
        <f t="shared" si="54"/>
        <v>649.58221541705063</v>
      </c>
      <c r="R85" s="60">
        <f t="shared" si="55"/>
        <v>921.08830704903767</v>
      </c>
      <c r="S85" s="60">
        <f ca="1">AVERAGE(OFFSET($R$3,0,0,'Données projet'!$E$9+1,1))-AVERAGE(OFFSET($H$3,0,0,'Données projet'!$E$9+1,1))</f>
        <v>570.08763950759544</v>
      </c>
      <c r="T85" s="60">
        <f t="shared" si="88"/>
        <v>297.32483725004136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-5.6843418860808015E-14</v>
      </c>
      <c r="AJ85" s="14">
        <f>AI85*VLOOKUP('Données projet'!$B$10,Paramètres!$A$1:$I$89,3,0)*VLOOKUP('Données projet'!$B$10,Paramètres!$A$1:$I$89,5,0)</f>
        <v>-4.5224624045658861E-14</v>
      </c>
      <c r="AK85" s="14" t="e">
        <f t="shared" si="89"/>
        <v>#NUM!</v>
      </c>
      <c r="AL85" s="22" t="e">
        <f t="shared" si="58"/>
        <v>#NUM!</v>
      </c>
      <c r="AM85" s="60" t="e">
        <f t="shared" si="59"/>
        <v>#NUM!</v>
      </c>
      <c r="AN85" s="60">
        <f ca="1">AVERAGE(OFFSET($AM$3,0,0,'Données projet'!$E$10+1,1))-AVERAGE(OFFSET($H$3,0,0,'Données projet'!$E$10+1,1))</f>
        <v>394.49874384716014</v>
      </c>
      <c r="AO85" s="60">
        <f t="shared" si="90"/>
        <v>423.72519584013378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3.4106051316484809E-13</v>
      </c>
      <c r="BE85" s="14">
        <f>BD85*VLOOKUP('Données projet'!$B$11,Paramètres!$A$1:$I$89,3,0)*VLOOKUP('Données projet'!$B$11,Paramètres!$A$1:$I$89,5,0)</f>
        <v>2.9795046430081134E-13</v>
      </c>
      <c r="BF85" s="14">
        <f t="shared" si="91"/>
        <v>3.9419014464513778E-12</v>
      </c>
      <c r="BG85" s="22">
        <f t="shared" si="61"/>
        <v>7.384408744560063E-12</v>
      </c>
      <c r="BH85" s="60">
        <f t="shared" si="62"/>
        <v>271.50609163199442</v>
      </c>
      <c r="BI85" s="60">
        <f ca="1">AVERAGE(OFFSET($BH$3,0,0,'Données projet'!$E$11+1,1))-AVERAGE(OFFSET($H$3,0,0,'Données projet'!$E$11+1,1))</f>
        <v>363.28611056308665</v>
      </c>
      <c r="BJ85" s="60">
        <f t="shared" si="92"/>
        <v>389.43647559455974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4.2307692307692264</v>
      </c>
      <c r="BY85" s="13">
        <f>IF('Données projet'!$A$114&gt;35,BY84+BX85-CG84,IF(A85&lt;'Données projet'!$A$114,$BV$205^A85,IF(A85='Données projet'!$A$114,'Données projet'!$B$114,BY84+BX85-CG84)))</f>
        <v>245.64102564102555</v>
      </c>
      <c r="BZ85" s="14">
        <f>BY85*VLOOKUP('Données projet'!$B$12,Paramètres!$A$1:$I$89,3,0)*VLOOKUP('Données projet'!$B$12,Paramètres!$A$1:$I$89,5,0)</f>
        <v>233.75199999999992</v>
      </c>
      <c r="CA85" s="14">
        <f t="shared" si="93"/>
        <v>57.093186053402</v>
      </c>
      <c r="CB85" s="22">
        <f t="shared" si="64"/>
        <v>506.55536570967496</v>
      </c>
      <c r="CC85" s="60">
        <f t="shared" si="65"/>
        <v>778.06145734166194</v>
      </c>
      <c r="CD85" s="60">
        <f ca="1">AVERAGE(OFFSET($CC$3,0,0,'Données projet'!$E$12+1,1))-AVERAGE(OFFSET($H$3,0,0,'Données projet'!$E$12+1,1))</f>
        <v>441.15969139782891</v>
      </c>
      <c r="CE85" s="60">
        <f t="shared" si="94"/>
        <v>315.06466790224783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-5.6843418860808015E-14</v>
      </c>
      <c r="CU85" s="18">
        <f>CT85*VLOOKUP('Données projet'!$B$13,Paramètres!$A$1:$I$89,3,0)*VLOOKUP('Données projet'!$B$13,Paramètres!$A$1:$I$89,5,0)</f>
        <v>-4.1677594708744434E-14</v>
      </c>
      <c r="CV85" s="14" t="e">
        <f t="shared" si="95"/>
        <v>#NUM!</v>
      </c>
      <c r="CW85" s="22" t="e">
        <f t="shared" si="67"/>
        <v>#NUM!</v>
      </c>
      <c r="CX85" s="60" t="e">
        <f t="shared" si="68"/>
        <v>#NUM!</v>
      </c>
      <c r="CY85" s="60">
        <f ca="1">AVERAGE(OFFSET($CX$3,0,0,'Données projet'!$E$13+1,1))-AVERAGE(OFFSET($H$3,0,0,'Données projet'!$E$13+1,1))</f>
        <v>368.35775920359396</v>
      </c>
      <c r="CZ85" s="60">
        <f t="shared" si="96"/>
        <v>395.5218438652638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1.1368683772161603E-13</v>
      </c>
      <c r="DP85" s="18">
        <f>DO85*VLOOKUP('Données projet'!$B$14,Paramètres!$A$1:$I$89,3,0)*VLOOKUP('Données projet'!$B$14,Paramètres!$A$1:$I$89,5,0)</f>
        <v>8.8675733422860506E-14</v>
      </c>
      <c r="DQ85" s="14">
        <f t="shared" si="97"/>
        <v>1.3509285393066301E-12</v>
      </c>
      <c r="DR85" s="22">
        <f t="shared" si="70"/>
        <v>2.5073107750038623E-12</v>
      </c>
      <c r="DS85" s="60">
        <f t="shared" si="71"/>
        <v>271.50609163198953</v>
      </c>
      <c r="DT85" s="60">
        <f ca="1">AVERAGE(OFFSET($DS$3,0,0,'Données projet'!$E$14+1,1))-AVERAGE(OFFSET($H$3,0,0,'Données projet'!$E$14+1,1))</f>
        <v>312.59632808777332</v>
      </c>
      <c r="DU85" s="60">
        <f t="shared" si="98"/>
        <v>302.59481222418219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0</v>
      </c>
      <c r="EE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12</v>
      </c>
      <c r="EJ85" s="13">
        <f>IF('Données projet'!$A$192&gt;35,EJ84+EI85-ER84,IF(A85&lt;'Données projet'!$A$192,$EG$205^A85,IF(A85='Données projet'!$A$192,'Données projet'!$B$192,EJ84+EI85-ER84)))</f>
        <v>395.99999999999966</v>
      </c>
      <c r="EK85" s="18">
        <f>EJ85*VLOOKUP('Données projet'!$B$15,Paramètres!$A$1:$I$89,3,0)*VLOOKUP('Données projet'!$B$15,Paramètres!$A$1:$I$89,5,0)</f>
        <v>339.76799999999974</v>
      </c>
      <c r="EL85" s="14">
        <f t="shared" si="99"/>
        <v>79.452011848891914</v>
      </c>
      <c r="EM85" s="22">
        <f t="shared" si="73"/>
        <v>730.14152063681968</v>
      </c>
      <c r="EN85" s="60">
        <f t="shared" si="74"/>
        <v>1001.6476122688067</v>
      </c>
      <c r="EO85" s="60">
        <f ca="1">AVERAGE(OFFSET($EN$3,0,0,'Données projet'!$E$15+1,1))-AVERAGE(OFFSET($H$3,0,0,'Données projet'!$E$15+1,1))</f>
        <v>478.11504516179713</v>
      </c>
      <c r="EP85" s="60">
        <f t="shared" si="100"/>
        <v>249.93713224442419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0</v>
      </c>
      <c r="EW85" s="23">
        <f>EXP(-LN(2)/25)*EW84+(1-EXP(-LN(2)/25))/(LN(2)/25)*Calculateur!ER85*Calculateur!ET85*VLOOKUP('Données projet'!$B$15,Paramètres!$A$1:$I$89,3,0)*0.475*44/12</f>
        <v>0</v>
      </c>
      <c r="EX85" s="23">
        <f>EXP(-LN(2)/2)*EX84+(1-EXP(-LN(2)/2))/(LN(2)/2)*ER85*EU85*VLOOKUP('Données projet'!$B$15,Paramètres!$A$1:$I$89,3,0)*0.475*44/12</f>
        <v>0</v>
      </c>
      <c r="EY85" s="24">
        <f t="shared" si="75"/>
        <v>0</v>
      </c>
      <c r="EZ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6.6</v>
      </c>
      <c r="FE85" s="13">
        <f>IF('Données projet'!$A$218&gt;35,FE84+FD85-FM84,IF(A85&lt;'Données projet'!$A$218,$FB$205^A85,IF(A85='Données projet'!$A$218,'Données projet'!$B$218,FE84+FD85-FM84)))</f>
        <v>333.20000000000005</v>
      </c>
      <c r="FF85" s="18">
        <f>FE85*VLOOKUP('Données projet'!$B$16,Paramètres!$A$1:$I$89,3,0)*VLOOKUP('Données projet'!$B$16,Paramètres!$A$1:$I$89,5,0)</f>
        <v>322.27104000000008</v>
      </c>
      <c r="FG85" s="14">
        <f t="shared" si="101"/>
        <v>75.825693037097167</v>
      </c>
      <c r="FH85" s="22">
        <f t="shared" si="76"/>
        <v>693.35181003961088</v>
      </c>
      <c r="FI85" s="60">
        <f t="shared" si="77"/>
        <v>964.85790167159792</v>
      </c>
      <c r="FJ85" s="60">
        <f ca="1">AVERAGE(OFFSET($FI$3,0,0,'Données projet'!$E$16+1,1))-AVERAGE(OFFSET($H$3,0,0,'Données projet'!$E$16+1,1))</f>
        <v>603.52431522262032</v>
      </c>
      <c r="FK85" s="60">
        <f t="shared" si="102"/>
        <v>313.56299786481338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>
        <f>EXP(-LN(2)/35)*FQ84+(1-EXP(-LN(2)/35))/(LN(2)/35)*FM85*FN85*VLOOKUP('Données projet'!$B$16,Paramètres!$A$1:$I$89,3,0)*0.475*44/12</f>
        <v>0</v>
      </c>
      <c r="FR85" s="23">
        <f>EXP(-LN(2)/25)*FR84+(1-EXP(-LN(2)/25))/(LN(2)/25)*Calculateur!FM85*Calculateur!FO85*VLOOKUP('Données projet'!$B$16,Paramètres!$A$1:$I$89,3,0)*0.475*44/12</f>
        <v>0</v>
      </c>
      <c r="FS85" s="23">
        <f>EXP(-LN(2)/2)*FS84+(1-EXP(-LN(2)/2))/(LN(2)/2)*FM85*FP85*VLOOKUP('Données projet'!$B$16,Paramètres!$A$1:$I$89,3,0)*0.475*44/12</f>
        <v>0</v>
      </c>
      <c r="FT85" s="24">
        <f t="shared" si="78"/>
        <v>0</v>
      </c>
      <c r="FU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4.4871794871794917</v>
      </c>
      <c r="FZ85" s="13">
        <f>IF('Données projet'!$A$244&gt;35,FZ84+FY85-GH84,IF(A85&lt;'Données projet'!$A$244,$FW$205^A85,IF(A85='Données projet'!$A$244,'Données projet'!$B$244,FZ84+FY85-GH84)))</f>
        <v>307.05128205128204</v>
      </c>
      <c r="GA85" s="18">
        <f>FZ85*VLOOKUP('Données projet'!$B$17,Paramètres!$A$1:$I$89,3,0)*VLOOKUP('Données projet'!$B$17,Paramètres!$A$1:$I$89,5,0)</f>
        <v>205.97</v>
      </c>
      <c r="GB85" s="14">
        <f t="shared" si="103"/>
        <v>51.053938616003535</v>
      </c>
      <c r="GC85" s="22">
        <f t="shared" si="79"/>
        <v>447.65002642287277</v>
      </c>
      <c r="GD85" s="60">
        <f t="shared" si="80"/>
        <v>719.1561180548598</v>
      </c>
      <c r="GE85" s="60">
        <f ca="1">AVERAGE(OFFSET($GD$3,0,0,'Données projet'!$E$17+1,1))-AVERAGE(OFFSET($H$3,0,0,'Données projet'!$E$17+1,1))</f>
        <v>396.0878652679051</v>
      </c>
      <c r="GF85" s="60">
        <f t="shared" si="104"/>
        <v>327.26339199235406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>
        <f>EXP(-LN(2)/35)*GL84+(1-EXP(-LN(2)/35))/(LN(2)/35)*GH85*GI85*VLOOKUP('Données projet'!$B$17,Paramètres!$A$1:$I$89,3,0)*0.475*44/12</f>
        <v>0</v>
      </c>
      <c r="GM85" s="23">
        <f>EXP(-LN(2)/25)*GM84+(1-EXP(-LN(2)/25))/(LN(2)/25)*Calculateur!GH85*Calculateur!GJ85*VLOOKUP('Données projet'!$B$17,Paramètres!$A$1:$I$89,3,0)*0.475*44/12</f>
        <v>0</v>
      </c>
      <c r="GN85" s="23">
        <f>EXP(-LN(2)/2)*GN84+(1-EXP(-LN(2)/2))/(LN(2)/2)*GH85*GK85*VLOOKUP('Données projet'!$B$17,Paramètres!$A$1:$I$89,3,0)*0.475*44/12</f>
        <v>0</v>
      </c>
      <c r="GO85" s="23">
        <f t="shared" si="81"/>
        <v>0</v>
      </c>
      <c r="GP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-1.1368683772161603E-13</v>
      </c>
      <c r="GV85" s="18">
        <f>GU85*VLOOKUP('Données projet'!$B$18,Paramètres!$A$1:$I$89,3,0)*VLOOKUP('Données projet'!$B$18,Paramètres!$A$1:$I$89,5,0)</f>
        <v>-9.2222762759774927E-14</v>
      </c>
      <c r="GW85" s="14" t="e">
        <f t="shared" si="105"/>
        <v>#NUM!</v>
      </c>
      <c r="GX85" s="22" t="e">
        <f t="shared" si="82"/>
        <v>#NUM!</v>
      </c>
      <c r="GY85" s="60" t="e">
        <f t="shared" si="83"/>
        <v>#NUM!</v>
      </c>
      <c r="GZ85" s="60">
        <f ca="1">AVERAGE(OFFSET($GY$3,0,0,'Données projet'!$E$18+1,1))-AVERAGE(OFFSET($H$3,0,0,'Données projet'!$E$18+1,1))</f>
        <v>272.69564942740931</v>
      </c>
      <c r="HA85" s="60">
        <f t="shared" si="106"/>
        <v>316.57989180609252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>
        <f>EXP(-LN(2)/35)*HG84+(1-EXP(-LN(2)/35))/(LN(2)/35)*HC85*HD85*VLOOKUP('Données projet'!$B$18,Paramètres!$A$1:$I$89,3,0)*0.475*44/12</f>
        <v>0</v>
      </c>
      <c r="HH85" s="23">
        <f>EXP(-LN(2)/25)*HH84+(1-EXP(-LN(2)/25))/(LN(2)/25)*Calculateur!HC85*Calculateur!HE85*VLOOKUP('Données projet'!$B$18,Paramètres!$A$1:$I$89,3,0)*0.475*44/12</f>
        <v>0</v>
      </c>
      <c r="HI85" s="23">
        <f>EXP(-LN(2)/2)*HI84+(1-EXP(-LN(2)/2))/(LN(2)/2)*HC85*HF85*VLOOKUP('Données projet'!$B$18,Paramètres!$A$1:$I$89,3,0)*0.475*44/12</f>
        <v>0</v>
      </c>
      <c r="HJ85" s="24">
        <f t="shared" si="84"/>
        <v>0</v>
      </c>
    </row>
    <row r="86" spans="1:218" s="5" customFormat="1" x14ac:dyDescent="0.25">
      <c r="A86" s="11">
        <f t="shared" si="85"/>
        <v>83</v>
      </c>
      <c r="B86" s="75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8">
        <f t="shared" si="56"/>
        <v>183.33333333333334</v>
      </c>
      <c r="I86" s="7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6.6</v>
      </c>
      <c r="N86" s="14">
        <f>IF('Données projet'!$A$36&gt;35,N85+M86-V85,IF(A86&lt;'Données projet'!$A$36,$K$205^A86,IF(A86='Données projet'!$A$36,'Données projet'!$B$36,N85+M86-V85)))</f>
        <v>339.80000000000007</v>
      </c>
      <c r="O86" s="14">
        <f>N86*VLOOKUP('Données projet'!$B$9,Paramètres!$A$1:$I$89,3,0)*VLOOKUP('Données projet'!$B$9,Paramètres!$A$1:$I$89,5,0)</f>
        <v>307.45104000000003</v>
      </c>
      <c r="P86" s="14">
        <f t="shared" si="87"/>
        <v>72.736250347470119</v>
      </c>
      <c r="Q86" s="22">
        <f t="shared" si="54"/>
        <v>662.15953068851047</v>
      </c>
      <c r="R86" s="60">
        <f t="shared" si="55"/>
        <v>934.04427616561395</v>
      </c>
      <c r="S86" s="60">
        <f ca="1">AVERAGE(OFFSET($R$3,0,0,'Données projet'!$E$9+1,1))-AVERAGE(OFFSET($H$3,0,0,'Données projet'!$E$9+1,1))</f>
        <v>570.08763950759544</v>
      </c>
      <c r="T86" s="60">
        <f t="shared" si="88"/>
        <v>297.32483725004136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-5.6843418860808015E-14</v>
      </c>
      <c r="AJ86" s="14">
        <f>AI86*VLOOKUP('Données projet'!$B$10,Paramètres!$A$1:$I$89,3,0)*VLOOKUP('Données projet'!$B$10,Paramètres!$A$1:$I$89,5,0)</f>
        <v>-4.5224624045658861E-14</v>
      </c>
      <c r="AK86" s="14" t="e">
        <f t="shared" si="89"/>
        <v>#NUM!</v>
      </c>
      <c r="AL86" s="22" t="e">
        <f t="shared" si="58"/>
        <v>#NUM!</v>
      </c>
      <c r="AM86" s="60" t="e">
        <f t="shared" si="59"/>
        <v>#NUM!</v>
      </c>
      <c r="AN86" s="60">
        <f ca="1">AVERAGE(OFFSET($AM$3,0,0,'Données projet'!$E$10+1,1))-AVERAGE(OFFSET($H$3,0,0,'Données projet'!$E$10+1,1))</f>
        <v>394.49874384716014</v>
      </c>
      <c r="AO86" s="60">
        <f t="shared" si="90"/>
        <v>423.72519584013378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3.4106051316484809E-13</v>
      </c>
      <c r="BE86" s="14">
        <f>BD86*VLOOKUP('Données projet'!$B$11,Paramètres!$A$1:$I$89,3,0)*VLOOKUP('Données projet'!$B$11,Paramètres!$A$1:$I$89,5,0)</f>
        <v>2.9795046430081134E-13</v>
      </c>
      <c r="BF86" s="14">
        <f t="shared" si="91"/>
        <v>3.9419014464513778E-12</v>
      </c>
      <c r="BG86" s="22">
        <f t="shared" si="61"/>
        <v>7.384408744560063E-12</v>
      </c>
      <c r="BH86" s="60">
        <f t="shared" si="62"/>
        <v>271.88474547711087</v>
      </c>
      <c r="BI86" s="60">
        <f ca="1">AVERAGE(OFFSET($BH$3,0,0,'Données projet'!$E$11+1,1))-AVERAGE(OFFSET($H$3,0,0,'Données projet'!$E$11+1,1))</f>
        <v>363.28611056308665</v>
      </c>
      <c r="BJ86" s="60">
        <f t="shared" si="92"/>
        <v>389.43647559455974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4.2307692307692264</v>
      </c>
      <c r="BY86" s="13">
        <f>IF('Données projet'!$A$114&gt;35,BY85+BX86-CG85,IF(A86&lt;'Données projet'!$A$114,$BV$205^A86,IF(A86='Données projet'!$A$114,'Données projet'!$B$114,BY85+BX86-CG85)))</f>
        <v>249.87179487179478</v>
      </c>
      <c r="BZ86" s="14">
        <f>BY86*VLOOKUP('Données projet'!$B$12,Paramètres!$A$1:$I$89,3,0)*VLOOKUP('Données projet'!$B$12,Paramètres!$A$1:$I$89,5,0)</f>
        <v>237.77799999999993</v>
      </c>
      <c r="CA86" s="14">
        <f t="shared" si="93"/>
        <v>57.961197863009076</v>
      </c>
      <c r="CB86" s="22">
        <f t="shared" si="64"/>
        <v>515.07910294474061</v>
      </c>
      <c r="CC86" s="60">
        <f t="shared" si="65"/>
        <v>786.96384842184409</v>
      </c>
      <c r="CD86" s="60">
        <f ca="1">AVERAGE(OFFSET($CC$3,0,0,'Données projet'!$E$12+1,1))-AVERAGE(OFFSET($H$3,0,0,'Données projet'!$E$12+1,1))</f>
        <v>441.15969139782891</v>
      </c>
      <c r="CE86" s="60">
        <f t="shared" si="94"/>
        <v>315.06466790224783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-5.6843418860808015E-14</v>
      </c>
      <c r="CU86" s="18">
        <f>CT86*VLOOKUP('Données projet'!$B$13,Paramètres!$A$1:$I$89,3,0)*VLOOKUP('Données projet'!$B$13,Paramètres!$A$1:$I$89,5,0)</f>
        <v>-4.1677594708744434E-14</v>
      </c>
      <c r="CV86" s="14" t="e">
        <f t="shared" si="95"/>
        <v>#NUM!</v>
      </c>
      <c r="CW86" s="22" t="e">
        <f t="shared" si="67"/>
        <v>#NUM!</v>
      </c>
      <c r="CX86" s="60" t="e">
        <f t="shared" si="68"/>
        <v>#NUM!</v>
      </c>
      <c r="CY86" s="60">
        <f ca="1">AVERAGE(OFFSET($CX$3,0,0,'Données projet'!$E$13+1,1))-AVERAGE(OFFSET($H$3,0,0,'Données projet'!$E$13+1,1))</f>
        <v>368.35775920359396</v>
      </c>
      <c r="CZ86" s="60">
        <f t="shared" si="96"/>
        <v>395.5218438652638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1.1368683772161603E-13</v>
      </c>
      <c r="DP86" s="18">
        <f>DO86*VLOOKUP('Données projet'!$B$14,Paramètres!$A$1:$I$89,3,0)*VLOOKUP('Données projet'!$B$14,Paramètres!$A$1:$I$89,5,0)</f>
        <v>8.8675733422860506E-14</v>
      </c>
      <c r="DQ86" s="14">
        <f t="shared" si="97"/>
        <v>1.3509285393066301E-12</v>
      </c>
      <c r="DR86" s="22">
        <f t="shared" si="70"/>
        <v>2.5073107750038623E-12</v>
      </c>
      <c r="DS86" s="60">
        <f t="shared" si="71"/>
        <v>271.88474547710598</v>
      </c>
      <c r="DT86" s="60">
        <f ca="1">AVERAGE(OFFSET($DS$3,0,0,'Données projet'!$E$14+1,1))-AVERAGE(OFFSET($H$3,0,0,'Données projet'!$E$14+1,1))</f>
        <v>312.59632808777332</v>
      </c>
      <c r="DU86" s="60">
        <f t="shared" si="98"/>
        <v>302.59481222418219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0</v>
      </c>
      <c r="EE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12</v>
      </c>
      <c r="EJ86" s="13">
        <f>IF('Données projet'!$A$192&gt;35,EJ85+EI86-ER85,IF(A86&lt;'Données projet'!$A$192,$EG$205^A86,IF(A86='Données projet'!$A$192,'Données projet'!$B$192,EJ85+EI86-ER85)))</f>
        <v>407.99999999999966</v>
      </c>
      <c r="EK86" s="18">
        <f>EJ86*VLOOKUP('Données projet'!$B$15,Paramètres!$A$1:$I$89,3,0)*VLOOKUP('Données projet'!$B$15,Paramètres!$A$1:$I$89,5,0)</f>
        <v>350.06399999999974</v>
      </c>
      <c r="EL86" s="14">
        <f t="shared" si="99"/>
        <v>81.575689362490451</v>
      </c>
      <c r="EM86" s="22">
        <f t="shared" si="73"/>
        <v>751.77245897300372</v>
      </c>
      <c r="EN86" s="60">
        <f t="shared" si="74"/>
        <v>1023.6572044501072</v>
      </c>
      <c r="EO86" s="60">
        <f ca="1">AVERAGE(OFFSET($EN$3,0,0,'Données projet'!$E$15+1,1))-AVERAGE(OFFSET($H$3,0,0,'Données projet'!$E$15+1,1))</f>
        <v>478.11504516179713</v>
      </c>
      <c r="EP86" s="60">
        <f t="shared" si="100"/>
        <v>249.93713224442419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0</v>
      </c>
      <c r="EW86" s="23">
        <f>EXP(-LN(2)/25)*EW85+(1-EXP(-LN(2)/25))/(LN(2)/25)*Calculateur!ER86*Calculateur!ET86*VLOOKUP('Données projet'!$B$15,Paramètres!$A$1:$I$89,3,0)*0.475*44/12</f>
        <v>0</v>
      </c>
      <c r="EX86" s="23">
        <f>EXP(-LN(2)/2)*EX85+(1-EXP(-LN(2)/2))/(LN(2)/2)*ER86*EU86*VLOOKUP('Données projet'!$B$15,Paramètres!$A$1:$I$89,3,0)*0.475*44/12</f>
        <v>0</v>
      </c>
      <c r="EY86" s="24">
        <f t="shared" si="75"/>
        <v>0</v>
      </c>
      <c r="EZ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6.6</v>
      </c>
      <c r="FE86" s="13">
        <f>IF('Données projet'!$A$218&gt;35,FE85+FD86-FM85,IF(A86&lt;'Données projet'!$A$218,$FB$205^A86,IF(A86='Données projet'!$A$218,'Données projet'!$B$218,FE85+FD86-FM85)))</f>
        <v>339.80000000000007</v>
      </c>
      <c r="FF86" s="18">
        <f>FE86*VLOOKUP('Données projet'!$B$16,Paramètres!$A$1:$I$89,3,0)*VLOOKUP('Données projet'!$B$16,Paramètres!$A$1:$I$89,5,0)</f>
        <v>328.65456000000006</v>
      </c>
      <c r="FG86" s="14">
        <f t="shared" si="101"/>
        <v>77.151296842743776</v>
      </c>
      <c r="FH86" s="22">
        <f t="shared" si="76"/>
        <v>706.77853400111223</v>
      </c>
      <c r="FI86" s="60">
        <f t="shared" si="77"/>
        <v>978.66327947821571</v>
      </c>
      <c r="FJ86" s="60">
        <f ca="1">AVERAGE(OFFSET($FI$3,0,0,'Données projet'!$E$16+1,1))-AVERAGE(OFFSET($H$3,0,0,'Données projet'!$E$16+1,1))</f>
        <v>603.52431522262032</v>
      </c>
      <c r="FK86" s="60">
        <f t="shared" si="102"/>
        <v>313.56299786481338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>
        <f>EXP(-LN(2)/35)*FQ85+(1-EXP(-LN(2)/35))/(LN(2)/35)*FM86*FN86*VLOOKUP('Données projet'!$B$16,Paramètres!$A$1:$I$89,3,0)*0.475*44/12</f>
        <v>0</v>
      </c>
      <c r="FR86" s="23">
        <f>EXP(-LN(2)/25)*FR85+(1-EXP(-LN(2)/25))/(LN(2)/25)*Calculateur!FM86*Calculateur!FO86*VLOOKUP('Données projet'!$B$16,Paramètres!$A$1:$I$89,3,0)*0.475*44/12</f>
        <v>0</v>
      </c>
      <c r="FS86" s="23">
        <f>EXP(-LN(2)/2)*FS85+(1-EXP(-LN(2)/2))/(LN(2)/2)*FM86*FP86*VLOOKUP('Données projet'!$B$16,Paramètres!$A$1:$I$89,3,0)*0.475*44/12</f>
        <v>0</v>
      </c>
      <c r="FT86" s="24">
        <f t="shared" si="78"/>
        <v>0</v>
      </c>
      <c r="FU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4.4871794871794917</v>
      </c>
      <c r="FZ86" s="13">
        <f>IF('Données projet'!$A$244&gt;35,FZ85+FY86-GH85,IF(A86&lt;'Données projet'!$A$244,$FW$205^A86,IF(A86='Données projet'!$A$244,'Données projet'!$B$244,FZ85+FY86-GH85)))</f>
        <v>311.53846153846155</v>
      </c>
      <c r="GA86" s="18">
        <f>FZ86*VLOOKUP('Données projet'!$B$17,Paramètres!$A$1:$I$89,3,0)*VLOOKUP('Données projet'!$B$17,Paramètres!$A$1:$I$89,5,0)</f>
        <v>208.98</v>
      </c>
      <c r="GB86" s="14">
        <f t="shared" si="103"/>
        <v>51.712626911871766</v>
      </c>
      <c r="GC86" s="22">
        <f t="shared" si="79"/>
        <v>454.03965853817658</v>
      </c>
      <c r="GD86" s="60">
        <f t="shared" si="80"/>
        <v>725.92440401528006</v>
      </c>
      <c r="GE86" s="60">
        <f ca="1">AVERAGE(OFFSET($GD$3,0,0,'Données projet'!$E$17+1,1))-AVERAGE(OFFSET($H$3,0,0,'Données projet'!$E$17+1,1))</f>
        <v>396.0878652679051</v>
      </c>
      <c r="GF86" s="60">
        <f t="shared" si="104"/>
        <v>327.26339199235406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>
        <f>EXP(-LN(2)/35)*GL85+(1-EXP(-LN(2)/35))/(LN(2)/35)*GH86*GI86*VLOOKUP('Données projet'!$B$17,Paramètres!$A$1:$I$89,3,0)*0.475*44/12</f>
        <v>0</v>
      </c>
      <c r="GM86" s="23">
        <f>EXP(-LN(2)/25)*GM85+(1-EXP(-LN(2)/25))/(LN(2)/25)*Calculateur!GH86*Calculateur!GJ86*VLOOKUP('Données projet'!$B$17,Paramètres!$A$1:$I$89,3,0)*0.475*44/12</f>
        <v>0</v>
      </c>
      <c r="GN86" s="23">
        <f>EXP(-LN(2)/2)*GN85+(1-EXP(-LN(2)/2))/(LN(2)/2)*GH86*GK86*VLOOKUP('Données projet'!$B$17,Paramètres!$A$1:$I$89,3,0)*0.475*44/12</f>
        <v>0</v>
      </c>
      <c r="GO86" s="23">
        <f t="shared" si="81"/>
        <v>0</v>
      </c>
      <c r="GP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-1.1368683772161603E-13</v>
      </c>
      <c r="GV86" s="18">
        <f>GU86*VLOOKUP('Données projet'!$B$18,Paramètres!$A$1:$I$89,3,0)*VLOOKUP('Données projet'!$B$18,Paramètres!$A$1:$I$89,5,0)</f>
        <v>-9.2222762759774927E-14</v>
      </c>
      <c r="GW86" s="14" t="e">
        <f t="shared" si="105"/>
        <v>#NUM!</v>
      </c>
      <c r="GX86" s="22" t="e">
        <f t="shared" si="82"/>
        <v>#NUM!</v>
      </c>
      <c r="GY86" s="60" t="e">
        <f t="shared" si="83"/>
        <v>#NUM!</v>
      </c>
      <c r="GZ86" s="60">
        <f ca="1">AVERAGE(OFFSET($GY$3,0,0,'Données projet'!$E$18+1,1))-AVERAGE(OFFSET($H$3,0,0,'Données projet'!$E$18+1,1))</f>
        <v>272.69564942740931</v>
      </c>
      <c r="HA86" s="60">
        <f t="shared" si="106"/>
        <v>316.57989180609252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>
        <f>EXP(-LN(2)/35)*HG85+(1-EXP(-LN(2)/35))/(LN(2)/35)*HC86*HD86*VLOOKUP('Données projet'!$B$18,Paramètres!$A$1:$I$89,3,0)*0.475*44/12</f>
        <v>0</v>
      </c>
      <c r="HH86" s="23">
        <f>EXP(-LN(2)/25)*HH85+(1-EXP(-LN(2)/25))/(LN(2)/25)*Calculateur!HC86*Calculateur!HE86*VLOOKUP('Données projet'!$B$18,Paramètres!$A$1:$I$89,3,0)*0.475*44/12</f>
        <v>0</v>
      </c>
      <c r="HI86" s="23">
        <f>EXP(-LN(2)/2)*HI85+(1-EXP(-LN(2)/2))/(LN(2)/2)*HC86*HF86*VLOOKUP('Données projet'!$B$18,Paramètres!$A$1:$I$89,3,0)*0.475*44/12</f>
        <v>0</v>
      </c>
      <c r="HJ86" s="24">
        <f t="shared" si="84"/>
        <v>0</v>
      </c>
    </row>
    <row r="87" spans="1:218" s="5" customFormat="1" x14ac:dyDescent="0.25">
      <c r="A87" s="11">
        <f t="shared" si="85"/>
        <v>84</v>
      </c>
      <c r="B87" s="75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8">
        <f t="shared" si="56"/>
        <v>183.33333333333334</v>
      </c>
      <c r="I87" s="7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6.6</v>
      </c>
      <c r="N87" s="14">
        <f>IF('Données projet'!$A$36&gt;35,N86+M87-V86,IF(A87&lt;'Données projet'!$A$36,$K$205^A87,IF(A87='Données projet'!$A$36,'Données projet'!$B$36,N86+M87-V86)))</f>
        <v>346.40000000000009</v>
      </c>
      <c r="O87" s="14">
        <f>N87*VLOOKUP('Données projet'!$B$9,Paramètres!$A$1:$I$89,3,0)*VLOOKUP('Données projet'!$B$9,Paramètres!$A$1:$I$89,5,0)</f>
        <v>313.42272000000008</v>
      </c>
      <c r="P87" s="14">
        <f t="shared" si="87"/>
        <v>73.983172890008831</v>
      </c>
      <c r="Q87" s="22">
        <f t="shared" si="54"/>
        <v>674.73193011676551</v>
      </c>
      <c r="R87" s="60">
        <f t="shared" si="55"/>
        <v>946.98876064131582</v>
      </c>
      <c r="S87" s="60">
        <f ca="1">AVERAGE(OFFSET($R$3,0,0,'Données projet'!$E$9+1,1))-AVERAGE(OFFSET($H$3,0,0,'Données projet'!$E$9+1,1))</f>
        <v>570.08763950759544</v>
      </c>
      <c r="T87" s="60">
        <f t="shared" si="88"/>
        <v>297.32483725004136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-5.6843418860808015E-14</v>
      </c>
      <c r="AJ87" s="14">
        <f>AI87*VLOOKUP('Données projet'!$B$10,Paramètres!$A$1:$I$89,3,0)*VLOOKUP('Données projet'!$B$10,Paramètres!$A$1:$I$89,5,0)</f>
        <v>-4.5224624045658861E-14</v>
      </c>
      <c r="AK87" s="14" t="e">
        <f t="shared" si="89"/>
        <v>#NUM!</v>
      </c>
      <c r="AL87" s="22" t="e">
        <f t="shared" si="58"/>
        <v>#NUM!</v>
      </c>
      <c r="AM87" s="60" t="e">
        <f t="shared" si="59"/>
        <v>#NUM!</v>
      </c>
      <c r="AN87" s="60">
        <f ca="1">AVERAGE(OFFSET($AM$3,0,0,'Données projet'!$E$10+1,1))-AVERAGE(OFFSET($H$3,0,0,'Données projet'!$E$10+1,1))</f>
        <v>394.49874384716014</v>
      </c>
      <c r="AO87" s="60">
        <f t="shared" si="90"/>
        <v>423.72519584013378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3.4106051316484809E-13</v>
      </c>
      <c r="BE87" s="14">
        <f>BD87*VLOOKUP('Données projet'!$B$11,Paramètres!$A$1:$I$89,3,0)*VLOOKUP('Données projet'!$B$11,Paramètres!$A$1:$I$89,5,0)</f>
        <v>2.9795046430081134E-13</v>
      </c>
      <c r="BF87" s="14">
        <f t="shared" si="91"/>
        <v>3.9419014464513778E-12</v>
      </c>
      <c r="BG87" s="22">
        <f t="shared" si="61"/>
        <v>7.384408744560063E-12</v>
      </c>
      <c r="BH87" s="60">
        <f t="shared" si="62"/>
        <v>272.2568305245577</v>
      </c>
      <c r="BI87" s="60">
        <f ca="1">AVERAGE(OFFSET($BH$3,0,0,'Données projet'!$E$11+1,1))-AVERAGE(OFFSET($H$3,0,0,'Données projet'!$E$11+1,1))</f>
        <v>363.28611056308665</v>
      </c>
      <c r="BJ87" s="60">
        <f t="shared" si="92"/>
        <v>389.43647559455974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4.2307692307692264</v>
      </c>
      <c r="BY87" s="13">
        <f>IF('Données projet'!$A$114&gt;35,BY86+BX87-CG86,IF(A87&lt;'Données projet'!$A$114,$BV$205^A87,IF(A87='Données projet'!$A$114,'Données projet'!$B$114,BY86+BX87-CG86)))</f>
        <v>254.102564102564</v>
      </c>
      <c r="BZ87" s="14">
        <f>BY87*VLOOKUP('Données projet'!$B$12,Paramètres!$A$1:$I$89,3,0)*VLOOKUP('Données projet'!$B$12,Paramètres!$A$1:$I$89,5,0)</f>
        <v>241.80399999999992</v>
      </c>
      <c r="CA87" s="14">
        <f t="shared" si="93"/>
        <v>58.827500543950599</v>
      </c>
      <c r="CB87" s="22">
        <f t="shared" si="64"/>
        <v>523.59986344738036</v>
      </c>
      <c r="CC87" s="60">
        <f t="shared" si="65"/>
        <v>795.85669397193067</v>
      </c>
      <c r="CD87" s="60">
        <f ca="1">AVERAGE(OFFSET($CC$3,0,0,'Données projet'!$E$12+1,1))-AVERAGE(OFFSET($H$3,0,0,'Données projet'!$E$12+1,1))</f>
        <v>441.15969139782891</v>
      </c>
      <c r="CE87" s="60">
        <f t="shared" si="94"/>
        <v>315.06466790224783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-5.6843418860808015E-14</v>
      </c>
      <c r="CU87" s="18">
        <f>CT87*VLOOKUP('Données projet'!$B$13,Paramètres!$A$1:$I$89,3,0)*VLOOKUP('Données projet'!$B$13,Paramètres!$A$1:$I$89,5,0)</f>
        <v>-4.1677594708744434E-14</v>
      </c>
      <c r="CV87" s="14" t="e">
        <f t="shared" si="95"/>
        <v>#NUM!</v>
      </c>
      <c r="CW87" s="22" t="e">
        <f t="shared" si="67"/>
        <v>#NUM!</v>
      </c>
      <c r="CX87" s="60" t="e">
        <f t="shared" si="68"/>
        <v>#NUM!</v>
      </c>
      <c r="CY87" s="60">
        <f ca="1">AVERAGE(OFFSET($CX$3,0,0,'Données projet'!$E$13+1,1))-AVERAGE(OFFSET($H$3,0,0,'Données projet'!$E$13+1,1))</f>
        <v>368.35775920359396</v>
      </c>
      <c r="CZ87" s="60">
        <f t="shared" si="96"/>
        <v>395.5218438652638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1.1368683772161603E-13</v>
      </c>
      <c r="DP87" s="18">
        <f>DO87*VLOOKUP('Données projet'!$B$14,Paramètres!$A$1:$I$89,3,0)*VLOOKUP('Données projet'!$B$14,Paramètres!$A$1:$I$89,5,0)</f>
        <v>8.8675733422860506E-14</v>
      </c>
      <c r="DQ87" s="14">
        <f t="shared" si="97"/>
        <v>1.3509285393066301E-12</v>
      </c>
      <c r="DR87" s="22">
        <f t="shared" si="70"/>
        <v>2.5073107750038623E-12</v>
      </c>
      <c r="DS87" s="60">
        <f t="shared" si="71"/>
        <v>272.25683052455281</v>
      </c>
      <c r="DT87" s="60">
        <f ca="1">AVERAGE(OFFSET($DS$3,0,0,'Données projet'!$E$14+1,1))-AVERAGE(OFFSET($H$3,0,0,'Données projet'!$E$14+1,1))</f>
        <v>312.59632808777332</v>
      </c>
      <c r="DU87" s="60">
        <f t="shared" si="98"/>
        <v>302.59481222418219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0</v>
      </c>
      <c r="EE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>
        <f>VLOOKUP(A87,'Données projet'!$A$191:$I$211,2,0)</f>
        <v>420</v>
      </c>
      <c r="EH87" s="13">
        <f>VLOOKUP(A87,'Données projet'!$A$191:$I$211,9,0)</f>
        <v>12</v>
      </c>
      <c r="EI87" s="13">
        <f t="array" ref="EI87">INDEX(EH:EH,MIN(IF(ISNUMBER(EH87:EH283),ROW(EH87:EH283),"")))</f>
        <v>12</v>
      </c>
      <c r="EJ87" s="13">
        <f>IF('Données projet'!$A$192&gt;35,EJ86+EI87-ER86,IF(A87&lt;'Données projet'!$A$192,$EG$205^A87,IF(A87='Données projet'!$A$192,'Données projet'!$B$192,EJ86+EI87-ER86)))</f>
        <v>419.99999999999966</v>
      </c>
      <c r="EK87" s="18">
        <f>EJ87*VLOOKUP('Données projet'!$B$15,Paramètres!$A$1:$I$89,3,0)*VLOOKUP('Données projet'!$B$15,Paramètres!$A$1:$I$89,5,0)</f>
        <v>360.35999999999973</v>
      </c>
      <c r="EL87" s="14">
        <f t="shared" si="99"/>
        <v>83.692107728969532</v>
      </c>
      <c r="EM87" s="22">
        <f t="shared" si="73"/>
        <v>773.39075429462139</v>
      </c>
      <c r="EN87" s="60">
        <f t="shared" si="74"/>
        <v>1045.6475848191717</v>
      </c>
      <c r="EO87" s="60">
        <f ca="1">AVERAGE(OFFSET($EN$3,0,0,'Données projet'!$E$15+1,1))-AVERAGE(OFFSET($H$3,0,0,'Données projet'!$E$15+1,1))</f>
        <v>478.11504516179713</v>
      </c>
      <c r="EP87" s="60">
        <f t="shared" si="100"/>
        <v>249.93713224442419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0</v>
      </c>
      <c r="EW87" s="23">
        <f>EXP(-LN(2)/25)*EW86+(1-EXP(-LN(2)/25))/(LN(2)/25)*Calculateur!ER87*Calculateur!ET87*VLOOKUP('Données projet'!$B$15,Paramètres!$A$1:$I$89,3,0)*0.475*44/12</f>
        <v>0</v>
      </c>
      <c r="EX87" s="23">
        <f>EXP(-LN(2)/2)*EX86+(1-EXP(-LN(2)/2))/(LN(2)/2)*ER87*EU87*VLOOKUP('Données projet'!$B$15,Paramètres!$A$1:$I$89,3,0)*0.475*44/12</f>
        <v>0</v>
      </c>
      <c r="EY87" s="24">
        <f t="shared" si="75"/>
        <v>0</v>
      </c>
      <c r="EZ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6.6</v>
      </c>
      <c r="FE87" s="13">
        <f>IF('Données projet'!$A$218&gt;35,FE86+FD87-FM86,IF(A87&lt;'Données projet'!$A$218,$FB$205^A87,IF(A87='Données projet'!$A$218,'Données projet'!$B$218,FE86+FD87-FM86)))</f>
        <v>346.40000000000009</v>
      </c>
      <c r="FF87" s="18">
        <f>FE87*VLOOKUP('Données projet'!$B$16,Paramètres!$A$1:$I$89,3,0)*VLOOKUP('Données projet'!$B$16,Paramètres!$A$1:$I$89,5,0)</f>
        <v>335.03808000000009</v>
      </c>
      <c r="FG87" s="14">
        <f t="shared" si="101"/>
        <v>78.473906831019789</v>
      </c>
      <c r="FH87" s="22">
        <f t="shared" si="76"/>
        <v>720.20004373069298</v>
      </c>
      <c r="FI87" s="60">
        <f t="shared" si="77"/>
        <v>992.45687425524329</v>
      </c>
      <c r="FJ87" s="60">
        <f ca="1">AVERAGE(OFFSET($FI$3,0,0,'Données projet'!$E$16+1,1))-AVERAGE(OFFSET($H$3,0,0,'Données projet'!$E$16+1,1))</f>
        <v>603.52431522262032</v>
      </c>
      <c r="FK87" s="60">
        <f t="shared" si="102"/>
        <v>313.56299786481338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>
        <f>EXP(-LN(2)/35)*FQ86+(1-EXP(-LN(2)/35))/(LN(2)/35)*FM87*FN87*VLOOKUP('Données projet'!$B$16,Paramètres!$A$1:$I$89,3,0)*0.475*44/12</f>
        <v>0</v>
      </c>
      <c r="FR87" s="23">
        <f>EXP(-LN(2)/25)*FR86+(1-EXP(-LN(2)/25))/(LN(2)/25)*Calculateur!FM87*Calculateur!FO87*VLOOKUP('Données projet'!$B$16,Paramètres!$A$1:$I$89,3,0)*0.475*44/12</f>
        <v>0</v>
      </c>
      <c r="FS87" s="23">
        <f>EXP(-LN(2)/2)*FS86+(1-EXP(-LN(2)/2))/(LN(2)/2)*FM87*FP87*VLOOKUP('Données projet'!$B$16,Paramètres!$A$1:$I$89,3,0)*0.475*44/12</f>
        <v>0</v>
      </c>
      <c r="FT87" s="24">
        <f t="shared" si="78"/>
        <v>0</v>
      </c>
      <c r="FU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4.4871794871794917</v>
      </c>
      <c r="FZ87" s="13">
        <f>IF('Données projet'!$A$244&gt;35,FZ86+FY87-GH86,IF(A87&lt;'Données projet'!$A$244,$FW$205^A87,IF(A87='Données projet'!$A$244,'Données projet'!$B$244,FZ86+FY87-GH86)))</f>
        <v>316.02564102564105</v>
      </c>
      <c r="GA87" s="18">
        <f>FZ87*VLOOKUP('Données projet'!$B$17,Paramètres!$A$1:$I$89,3,0)*VLOOKUP('Données projet'!$B$17,Paramètres!$A$1:$I$89,5,0)</f>
        <v>211.99000000000004</v>
      </c>
      <c r="GB87" s="14">
        <f t="shared" si="103"/>
        <v>52.370211773211892</v>
      </c>
      <c r="GC87" s="22">
        <f t="shared" si="79"/>
        <v>460.42736883834408</v>
      </c>
      <c r="GD87" s="60">
        <f t="shared" si="80"/>
        <v>732.68419936289433</v>
      </c>
      <c r="GE87" s="60">
        <f ca="1">AVERAGE(OFFSET($GD$3,0,0,'Données projet'!$E$17+1,1))-AVERAGE(OFFSET($H$3,0,0,'Données projet'!$E$17+1,1))</f>
        <v>396.0878652679051</v>
      </c>
      <c r="GF87" s="60">
        <f t="shared" si="104"/>
        <v>327.26339199235406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>
        <f>EXP(-LN(2)/35)*GL86+(1-EXP(-LN(2)/35))/(LN(2)/35)*GH87*GI87*VLOOKUP('Données projet'!$B$17,Paramètres!$A$1:$I$89,3,0)*0.475*44/12</f>
        <v>0</v>
      </c>
      <c r="GM87" s="23">
        <f>EXP(-LN(2)/25)*GM86+(1-EXP(-LN(2)/25))/(LN(2)/25)*Calculateur!GH87*Calculateur!GJ87*VLOOKUP('Données projet'!$B$17,Paramètres!$A$1:$I$89,3,0)*0.475*44/12</f>
        <v>0</v>
      </c>
      <c r="GN87" s="23">
        <f>EXP(-LN(2)/2)*GN86+(1-EXP(-LN(2)/2))/(LN(2)/2)*GH87*GK87*VLOOKUP('Données projet'!$B$17,Paramètres!$A$1:$I$89,3,0)*0.475*44/12</f>
        <v>0</v>
      </c>
      <c r="GO87" s="23">
        <f t="shared" si="81"/>
        <v>0</v>
      </c>
      <c r="GP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-1.1368683772161603E-13</v>
      </c>
      <c r="GV87" s="18">
        <f>GU87*VLOOKUP('Données projet'!$B$18,Paramètres!$A$1:$I$89,3,0)*VLOOKUP('Données projet'!$B$18,Paramètres!$A$1:$I$89,5,0)</f>
        <v>-9.2222762759774927E-14</v>
      </c>
      <c r="GW87" s="14" t="e">
        <f t="shared" si="105"/>
        <v>#NUM!</v>
      </c>
      <c r="GX87" s="22" t="e">
        <f t="shared" si="82"/>
        <v>#NUM!</v>
      </c>
      <c r="GY87" s="60" t="e">
        <f t="shared" si="83"/>
        <v>#NUM!</v>
      </c>
      <c r="GZ87" s="60">
        <f ca="1">AVERAGE(OFFSET($GY$3,0,0,'Données projet'!$E$18+1,1))-AVERAGE(OFFSET($H$3,0,0,'Données projet'!$E$18+1,1))</f>
        <v>272.69564942740931</v>
      </c>
      <c r="HA87" s="60">
        <f t="shared" si="106"/>
        <v>316.57989180609252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>
        <f>EXP(-LN(2)/35)*HG86+(1-EXP(-LN(2)/35))/(LN(2)/35)*HC87*HD87*VLOOKUP('Données projet'!$B$18,Paramètres!$A$1:$I$89,3,0)*0.475*44/12</f>
        <v>0</v>
      </c>
      <c r="HH87" s="23">
        <f>EXP(-LN(2)/25)*HH86+(1-EXP(-LN(2)/25))/(LN(2)/25)*Calculateur!HC87*Calculateur!HE87*VLOOKUP('Données projet'!$B$18,Paramètres!$A$1:$I$89,3,0)*0.475*44/12</f>
        <v>0</v>
      </c>
      <c r="HI87" s="23">
        <f>EXP(-LN(2)/2)*HI86+(1-EXP(-LN(2)/2))/(LN(2)/2)*HC87*HF87*VLOOKUP('Données projet'!$B$18,Paramètres!$A$1:$I$89,3,0)*0.475*44/12</f>
        <v>0</v>
      </c>
      <c r="HJ87" s="24">
        <f t="shared" si="84"/>
        <v>0</v>
      </c>
    </row>
    <row r="88" spans="1:218" s="5" customFormat="1" x14ac:dyDescent="0.25">
      <c r="A88" s="11">
        <f t="shared" si="85"/>
        <v>85</v>
      </c>
      <c r="B88" s="75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8">
        <f t="shared" si="56"/>
        <v>183.33333333333334</v>
      </c>
      <c r="I88" s="7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6.6</v>
      </c>
      <c r="N88" s="14">
        <f>IF('Données projet'!$A$36&gt;35,N87+M88-V87,IF(A88&lt;'Données projet'!$A$36,$K$205^A88,IF(A88='Données projet'!$A$36,'Données projet'!$B$36,N87+M88-V87)))</f>
        <v>353.00000000000011</v>
      </c>
      <c r="O88" s="14">
        <f>N88*VLOOKUP('Données projet'!$B$9,Paramètres!$A$1:$I$89,3,0)*VLOOKUP('Données projet'!$B$9,Paramètres!$A$1:$I$89,5,0)</f>
        <v>319.39440000000013</v>
      </c>
      <c r="P88" s="14">
        <f t="shared" si="87"/>
        <v>75.227332916620099</v>
      </c>
      <c r="Q88" s="22">
        <f t="shared" si="54"/>
        <v>687.29951816311348</v>
      </c>
      <c r="R88" s="60">
        <f t="shared" si="55"/>
        <v>959.92197889139493</v>
      </c>
      <c r="S88" s="60">
        <f ca="1">AVERAGE(OFFSET($R$3,0,0,'Données projet'!$E$9+1,1))-AVERAGE(OFFSET($H$3,0,0,'Données projet'!$E$9+1,1))</f>
        <v>570.08763950759544</v>
      </c>
      <c r="T88" s="60">
        <f t="shared" si="88"/>
        <v>297.32483725004136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-5.6843418860808015E-14</v>
      </c>
      <c r="AJ88" s="14">
        <f>AI88*VLOOKUP('Données projet'!$B$10,Paramètres!$A$1:$I$89,3,0)*VLOOKUP('Données projet'!$B$10,Paramètres!$A$1:$I$89,5,0)</f>
        <v>-4.5224624045658861E-14</v>
      </c>
      <c r="AK88" s="14" t="e">
        <f t="shared" si="89"/>
        <v>#NUM!</v>
      </c>
      <c r="AL88" s="22" t="e">
        <f t="shared" si="58"/>
        <v>#NUM!</v>
      </c>
      <c r="AM88" s="60" t="e">
        <f t="shared" si="59"/>
        <v>#NUM!</v>
      </c>
      <c r="AN88" s="60">
        <f ca="1">AVERAGE(OFFSET($AM$3,0,0,'Données projet'!$E$10+1,1))-AVERAGE(OFFSET($H$3,0,0,'Données projet'!$E$10+1,1))</f>
        <v>394.49874384716014</v>
      </c>
      <c r="AO88" s="60">
        <f t="shared" si="90"/>
        <v>423.72519584013378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3.4106051316484809E-13</v>
      </c>
      <c r="BE88" s="14">
        <f>BD88*VLOOKUP('Données projet'!$B$11,Paramètres!$A$1:$I$89,3,0)*VLOOKUP('Données projet'!$B$11,Paramètres!$A$1:$I$89,5,0)</f>
        <v>2.9795046430081134E-13</v>
      </c>
      <c r="BF88" s="14">
        <f t="shared" si="91"/>
        <v>3.9419014464513778E-12</v>
      </c>
      <c r="BG88" s="22">
        <f t="shared" si="61"/>
        <v>7.384408744560063E-12</v>
      </c>
      <c r="BH88" s="60">
        <f t="shared" si="62"/>
        <v>272.6224607282889</v>
      </c>
      <c r="BI88" s="60">
        <f ca="1">AVERAGE(OFFSET($BH$3,0,0,'Données projet'!$E$11+1,1))-AVERAGE(OFFSET($H$3,0,0,'Données projet'!$E$11+1,1))</f>
        <v>363.28611056308665</v>
      </c>
      <c r="BJ88" s="60">
        <f t="shared" si="92"/>
        <v>389.43647559455974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>
        <f>VLOOKUP(A88,'Données projet'!$A$113:$I$133,2,0)</f>
        <v>258.33333333333331</v>
      </c>
      <c r="BW88" s="13">
        <f>VLOOKUP(A88,'Données projet'!$A$113:$I$133,9,0)</f>
        <v>4.2307692307692264</v>
      </c>
      <c r="BX88" s="13">
        <f t="array" ref="BX88">INDEX(BW:BW,MIN(IF(ISNUMBER(BW88:BW284),ROW(BW88:BW284),"")))</f>
        <v>4.2307692307692264</v>
      </c>
      <c r="BY88" s="13">
        <f>IF('Données projet'!$A$114&gt;35,BY87+BX88-CG87,IF(A88&lt;'Données projet'!$A$114,$BV$205^A88,IF(A88='Données projet'!$A$114,'Données projet'!$B$114,BY87+BX88-CG87)))</f>
        <v>258.33333333333326</v>
      </c>
      <c r="BZ88" s="14">
        <f>BY88*VLOOKUP('Données projet'!$B$12,Paramètres!$A$1:$I$89,3,0)*VLOOKUP('Données projet'!$B$12,Paramètres!$A$1:$I$89,5,0)</f>
        <v>245.82999999999993</v>
      </c>
      <c r="CA88" s="14">
        <f t="shared" si="93"/>
        <v>59.692125837514034</v>
      </c>
      <c r="CB88" s="22">
        <f t="shared" si="64"/>
        <v>532.1177025003368</v>
      </c>
      <c r="CC88" s="60">
        <f t="shared" si="65"/>
        <v>804.74016322861826</v>
      </c>
      <c r="CD88" s="60">
        <f ca="1">AVERAGE(OFFSET($CC$3,0,0,'Données projet'!$E$12+1,1))-AVERAGE(OFFSET($H$3,0,0,'Données projet'!$E$12+1,1))</f>
        <v>441.15969139782891</v>
      </c>
      <c r="CE88" s="60">
        <f t="shared" si="94"/>
        <v>315.06466790224783</v>
      </c>
      <c r="CF88" s="16">
        <f>IF(ISNA(VLOOKUP(A88,'Données projet'!$A$113:$I$133,3,0)),0,VLOOKUP(A88,'Données projet'!$A$113:$I$133,3,0))</f>
        <v>7</v>
      </c>
      <c r="CG88" s="16">
        <f>IF(ISNA(VLOOKUP(A88,'Données projet'!$A$113:$I$133,4,0)),0,VLOOKUP(A88,'Données projet'!$A$113:$I$133,4,0))</f>
        <v>28.846153846153847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-5.6843418860808015E-14</v>
      </c>
      <c r="CU88" s="18">
        <f>CT88*VLOOKUP('Données projet'!$B$13,Paramètres!$A$1:$I$89,3,0)*VLOOKUP('Données projet'!$B$13,Paramètres!$A$1:$I$89,5,0)</f>
        <v>-4.1677594708744434E-14</v>
      </c>
      <c r="CV88" s="14" t="e">
        <f t="shared" si="95"/>
        <v>#NUM!</v>
      </c>
      <c r="CW88" s="22" t="e">
        <f t="shared" si="67"/>
        <v>#NUM!</v>
      </c>
      <c r="CX88" s="60" t="e">
        <f t="shared" si="68"/>
        <v>#NUM!</v>
      </c>
      <c r="CY88" s="60">
        <f ca="1">AVERAGE(OFFSET($CX$3,0,0,'Données projet'!$E$13+1,1))-AVERAGE(OFFSET($H$3,0,0,'Données projet'!$E$13+1,1))</f>
        <v>368.35775920359396</v>
      </c>
      <c r="CZ88" s="60">
        <f t="shared" si="96"/>
        <v>395.5218438652638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1.1368683772161603E-13</v>
      </c>
      <c r="DP88" s="18">
        <f>DO88*VLOOKUP('Données projet'!$B$14,Paramètres!$A$1:$I$89,3,0)*VLOOKUP('Données projet'!$B$14,Paramètres!$A$1:$I$89,5,0)</f>
        <v>8.8675733422860506E-14</v>
      </c>
      <c r="DQ88" s="14">
        <f t="shared" si="97"/>
        <v>1.3509285393066301E-12</v>
      </c>
      <c r="DR88" s="22">
        <f t="shared" si="70"/>
        <v>2.5073107750038623E-12</v>
      </c>
      <c r="DS88" s="60">
        <f t="shared" si="71"/>
        <v>272.62246072828401</v>
      </c>
      <c r="DT88" s="60">
        <f ca="1">AVERAGE(OFFSET($DS$3,0,0,'Données projet'!$E$14+1,1))-AVERAGE(OFFSET($H$3,0,0,'Données projet'!$E$14+1,1))</f>
        <v>312.59632808777332</v>
      </c>
      <c r="DU88" s="60">
        <f t="shared" si="98"/>
        <v>302.59481222418219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0</v>
      </c>
      <c r="EE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11.5</v>
      </c>
      <c r="EJ88" s="13">
        <f>IF('Données projet'!$A$192&gt;35,EJ87+EI88-ER87,IF(A88&lt;'Données projet'!$A$192,$EG$205^A88,IF(A88='Données projet'!$A$192,'Données projet'!$B$192,EJ87+EI88-ER87)))</f>
        <v>431.49999999999966</v>
      </c>
      <c r="EK88" s="18">
        <f>EJ88*VLOOKUP('Données projet'!$B$15,Paramètres!$A$1:$I$89,3,0)*VLOOKUP('Données projet'!$B$15,Paramètres!$A$1:$I$89,5,0)</f>
        <v>370.22699999999975</v>
      </c>
      <c r="EL88" s="14">
        <f t="shared" si="99"/>
        <v>85.713744339137904</v>
      </c>
      <c r="EM88" s="22">
        <f t="shared" si="73"/>
        <v>794.09679639066474</v>
      </c>
      <c r="EN88" s="60">
        <f t="shared" si="74"/>
        <v>1066.7192571189462</v>
      </c>
      <c r="EO88" s="60">
        <f ca="1">AVERAGE(OFFSET($EN$3,0,0,'Données projet'!$E$15+1,1))-AVERAGE(OFFSET($H$3,0,0,'Données projet'!$E$15+1,1))</f>
        <v>478.11504516179713</v>
      </c>
      <c r="EP88" s="60">
        <f t="shared" si="100"/>
        <v>249.93713224442419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0</v>
      </c>
      <c r="EW88" s="23">
        <f>EXP(-LN(2)/25)*EW87+(1-EXP(-LN(2)/25))/(LN(2)/25)*Calculateur!ER88*Calculateur!ET88*VLOOKUP('Données projet'!$B$15,Paramètres!$A$1:$I$89,3,0)*0.475*44/12</f>
        <v>0</v>
      </c>
      <c r="EX88" s="23">
        <f>EXP(-LN(2)/2)*EX87+(1-EXP(-LN(2)/2))/(LN(2)/2)*ER88*EU88*VLOOKUP('Données projet'!$B$15,Paramètres!$A$1:$I$89,3,0)*0.475*44/12</f>
        <v>0</v>
      </c>
      <c r="EY88" s="24">
        <f t="shared" si="75"/>
        <v>0</v>
      </c>
      <c r="EZ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6.6</v>
      </c>
      <c r="FE88" s="13">
        <f>IF('Données projet'!$A$218&gt;35,FE87+FD88-FM87,IF(A88&lt;'Données projet'!$A$218,$FB$205^A88,IF(A88='Données projet'!$A$218,'Données projet'!$B$218,FE87+FD88-FM87)))</f>
        <v>353.00000000000011</v>
      </c>
      <c r="FF88" s="18">
        <f>FE88*VLOOKUP('Données projet'!$B$16,Paramètres!$A$1:$I$89,3,0)*VLOOKUP('Données projet'!$B$16,Paramètres!$A$1:$I$89,5,0)</f>
        <v>341.42160000000013</v>
      </c>
      <c r="FG88" s="14">
        <f t="shared" si="101"/>
        <v>79.793586620318962</v>
      </c>
      <c r="FH88" s="22">
        <f t="shared" si="76"/>
        <v>733.61645003038905</v>
      </c>
      <c r="FI88" s="60">
        <f t="shared" si="77"/>
        <v>1006.2389107586705</v>
      </c>
      <c r="FJ88" s="60">
        <f ca="1">AVERAGE(OFFSET($FI$3,0,0,'Données projet'!$E$16+1,1))-AVERAGE(OFFSET($H$3,0,0,'Données projet'!$E$16+1,1))</f>
        <v>603.52431522262032</v>
      </c>
      <c r="FK88" s="60">
        <f t="shared" si="102"/>
        <v>313.56299786481338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>
        <f>EXP(-LN(2)/35)*FQ87+(1-EXP(-LN(2)/35))/(LN(2)/35)*FM88*FN88*VLOOKUP('Données projet'!$B$16,Paramètres!$A$1:$I$89,3,0)*0.475*44/12</f>
        <v>0</v>
      </c>
      <c r="FR88" s="23">
        <f>EXP(-LN(2)/25)*FR87+(1-EXP(-LN(2)/25))/(LN(2)/25)*Calculateur!FM88*Calculateur!FO88*VLOOKUP('Données projet'!$B$16,Paramètres!$A$1:$I$89,3,0)*0.475*44/12</f>
        <v>0</v>
      </c>
      <c r="FS88" s="23">
        <f>EXP(-LN(2)/2)*FS87+(1-EXP(-LN(2)/2))/(LN(2)/2)*FM88*FP88*VLOOKUP('Données projet'!$B$16,Paramètres!$A$1:$I$89,3,0)*0.475*44/12</f>
        <v>0</v>
      </c>
      <c r="FT88" s="24">
        <f t="shared" si="78"/>
        <v>0</v>
      </c>
      <c r="FU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>
        <f>VLOOKUP(A88,'Données projet'!$A$243:$I$263,2,0)</f>
        <v>320.5128205128205</v>
      </c>
      <c r="FX88" s="13">
        <f>VLOOKUP(A88,'Données projet'!$A$243:$I$263,9,0)</f>
        <v>4.4871794871794917</v>
      </c>
      <c r="FY88" s="13">
        <f t="array" ref="FY88">INDEX(FX:FX,MIN(IF(ISNUMBER(FX88:FX284),ROW(FX88:FX284),"")))</f>
        <v>4.4871794871794917</v>
      </c>
      <c r="FZ88" s="13">
        <f>IF('Données projet'!$A$244&gt;35,FZ87+FY88-GH87,IF(A88&lt;'Données projet'!$A$244,$FW$205^A88,IF(A88='Données projet'!$A$244,'Données projet'!$B$244,FZ87+FY88-GH87)))</f>
        <v>320.51282051282055</v>
      </c>
      <c r="GA88" s="18">
        <f>FZ88*VLOOKUP('Données projet'!$B$17,Paramètres!$A$1:$I$89,3,0)*VLOOKUP('Données projet'!$B$17,Paramètres!$A$1:$I$89,5,0)</f>
        <v>215.00000000000006</v>
      </c>
      <c r="GB88" s="14">
        <f t="shared" si="103"/>
        <v>53.026710677875606</v>
      </c>
      <c r="GC88" s="22">
        <f t="shared" si="79"/>
        <v>466.81318776396671</v>
      </c>
      <c r="GD88" s="60">
        <f t="shared" si="80"/>
        <v>739.43564849224822</v>
      </c>
      <c r="GE88" s="60">
        <f ca="1">AVERAGE(OFFSET($GD$3,0,0,'Données projet'!$E$17+1,1))-AVERAGE(OFFSET($H$3,0,0,'Données projet'!$E$17+1,1))</f>
        <v>396.0878652679051</v>
      </c>
      <c r="GF88" s="60">
        <f t="shared" si="104"/>
        <v>327.26339199235406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>
        <f>EXP(-LN(2)/35)*GL87+(1-EXP(-LN(2)/35))/(LN(2)/35)*GH88*GI88*VLOOKUP('Données projet'!$B$17,Paramètres!$A$1:$I$89,3,0)*0.475*44/12</f>
        <v>0</v>
      </c>
      <c r="GM88" s="23">
        <f>EXP(-LN(2)/25)*GM87+(1-EXP(-LN(2)/25))/(LN(2)/25)*Calculateur!GH88*Calculateur!GJ88*VLOOKUP('Données projet'!$B$17,Paramètres!$A$1:$I$89,3,0)*0.475*44/12</f>
        <v>0</v>
      </c>
      <c r="GN88" s="23">
        <f>EXP(-LN(2)/2)*GN87+(1-EXP(-LN(2)/2))/(LN(2)/2)*GH88*GK88*VLOOKUP('Données projet'!$B$17,Paramètres!$A$1:$I$89,3,0)*0.475*44/12</f>
        <v>0</v>
      </c>
      <c r="GO88" s="23">
        <f t="shared" si="81"/>
        <v>0</v>
      </c>
      <c r="GP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-1.1368683772161603E-13</v>
      </c>
      <c r="GV88" s="18">
        <f>GU88*VLOOKUP('Données projet'!$B$18,Paramètres!$A$1:$I$89,3,0)*VLOOKUP('Données projet'!$B$18,Paramètres!$A$1:$I$89,5,0)</f>
        <v>-9.2222762759774927E-14</v>
      </c>
      <c r="GW88" s="14" t="e">
        <f t="shared" si="105"/>
        <v>#NUM!</v>
      </c>
      <c r="GX88" s="22" t="e">
        <f t="shared" si="82"/>
        <v>#NUM!</v>
      </c>
      <c r="GY88" s="60" t="e">
        <f t="shared" si="83"/>
        <v>#NUM!</v>
      </c>
      <c r="GZ88" s="60">
        <f ca="1">AVERAGE(OFFSET($GY$3,0,0,'Données projet'!$E$18+1,1))-AVERAGE(OFFSET($H$3,0,0,'Données projet'!$E$18+1,1))</f>
        <v>272.69564942740931</v>
      </c>
      <c r="HA88" s="60">
        <f t="shared" si="106"/>
        <v>316.57989180609252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>
        <f>EXP(-LN(2)/35)*HG87+(1-EXP(-LN(2)/35))/(LN(2)/35)*HC88*HD88*VLOOKUP('Données projet'!$B$18,Paramètres!$A$1:$I$89,3,0)*0.475*44/12</f>
        <v>0</v>
      </c>
      <c r="HH88" s="23">
        <f>EXP(-LN(2)/25)*HH87+(1-EXP(-LN(2)/25))/(LN(2)/25)*Calculateur!HC88*Calculateur!HE88*VLOOKUP('Données projet'!$B$18,Paramètres!$A$1:$I$89,3,0)*0.475*44/12</f>
        <v>0</v>
      </c>
      <c r="HI88" s="23">
        <f>EXP(-LN(2)/2)*HI87+(1-EXP(-LN(2)/2))/(LN(2)/2)*HC88*HF88*VLOOKUP('Données projet'!$B$18,Paramètres!$A$1:$I$89,3,0)*0.475*44/12</f>
        <v>0</v>
      </c>
      <c r="HJ88" s="24">
        <f t="shared" si="84"/>
        <v>0</v>
      </c>
    </row>
    <row r="89" spans="1:218" s="5" customFormat="1" x14ac:dyDescent="0.25">
      <c r="A89" s="11">
        <f t="shared" si="85"/>
        <v>86</v>
      </c>
      <c r="B89" s="75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8">
        <f t="shared" si="56"/>
        <v>183.33333333333334</v>
      </c>
      <c r="I89" s="7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6.6</v>
      </c>
      <c r="N89" s="14">
        <f>IF('Données projet'!$A$36&gt;35,N88+M89-V88,IF(A89&lt;'Données projet'!$A$36,$K$205^A89,IF(A89='Données projet'!$A$36,'Données projet'!$B$36,N88+M89-V88)))</f>
        <v>359.60000000000014</v>
      </c>
      <c r="O89" s="14">
        <f>N89*VLOOKUP('Données projet'!$B$9,Paramètres!$A$1:$I$89,3,0)*VLOOKUP('Données projet'!$B$9,Paramètres!$A$1:$I$89,5,0)</f>
        <v>325.36608000000012</v>
      </c>
      <c r="P89" s="14">
        <f t="shared" si="87"/>
        <v>76.468788033923758</v>
      </c>
      <c r="Q89" s="22">
        <f t="shared" si="54"/>
        <v>699.86239515908403</v>
      </c>
      <c r="R89" s="60">
        <f t="shared" si="55"/>
        <v>972.84414322448879</v>
      </c>
      <c r="S89" s="60">
        <f ca="1">AVERAGE(OFFSET($R$3,0,0,'Données projet'!$E$9+1,1))-AVERAGE(OFFSET($H$3,0,0,'Données projet'!$E$9+1,1))</f>
        <v>570.08763950759544</v>
      </c>
      <c r="T89" s="60">
        <f t="shared" si="88"/>
        <v>297.32483725004136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-5.6843418860808015E-14</v>
      </c>
      <c r="AJ89" s="14">
        <f>AI89*VLOOKUP('Données projet'!$B$10,Paramètres!$A$1:$I$89,3,0)*VLOOKUP('Données projet'!$B$10,Paramètres!$A$1:$I$89,5,0)</f>
        <v>-4.5224624045658861E-14</v>
      </c>
      <c r="AK89" s="14" t="e">
        <f t="shared" si="89"/>
        <v>#NUM!</v>
      </c>
      <c r="AL89" s="22" t="e">
        <f t="shared" si="58"/>
        <v>#NUM!</v>
      </c>
      <c r="AM89" s="60" t="e">
        <f t="shared" si="59"/>
        <v>#NUM!</v>
      </c>
      <c r="AN89" s="60">
        <f ca="1">AVERAGE(OFFSET($AM$3,0,0,'Données projet'!$E$10+1,1))-AVERAGE(OFFSET($H$3,0,0,'Données projet'!$E$10+1,1))</f>
        <v>394.49874384716014</v>
      </c>
      <c r="AO89" s="60">
        <f t="shared" si="90"/>
        <v>423.72519584013378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3.4106051316484809E-13</v>
      </c>
      <c r="BE89" s="14">
        <f>BD89*VLOOKUP('Données projet'!$B$11,Paramètres!$A$1:$I$89,3,0)*VLOOKUP('Données projet'!$B$11,Paramètres!$A$1:$I$89,5,0)</f>
        <v>2.9795046430081134E-13</v>
      </c>
      <c r="BF89" s="14">
        <f t="shared" si="91"/>
        <v>3.9419014464513778E-12</v>
      </c>
      <c r="BG89" s="22">
        <f t="shared" si="61"/>
        <v>7.384408744560063E-12</v>
      </c>
      <c r="BH89" s="60">
        <f t="shared" si="62"/>
        <v>272.98174806541209</v>
      </c>
      <c r="BI89" s="60">
        <f ca="1">AVERAGE(OFFSET($BH$3,0,0,'Données projet'!$E$11+1,1))-AVERAGE(OFFSET($H$3,0,0,'Données projet'!$E$11+1,1))</f>
        <v>363.28611056308665</v>
      </c>
      <c r="BJ89" s="60">
        <f t="shared" si="92"/>
        <v>389.43647559455974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3.8461538461538454</v>
      </c>
      <c r="BY89" s="13">
        <f>IF('Données projet'!$A$114&gt;35,BY88+BX89-CG88,IF(A89&lt;'Données projet'!$A$114,$BV$205^A89,IF(A89='Données projet'!$A$114,'Données projet'!$B$114,BY88+BX89-CG88)))</f>
        <v>233.33333333333329</v>
      </c>
      <c r="BZ89" s="14">
        <f>BY89*VLOOKUP('Données projet'!$B$12,Paramètres!$A$1:$I$89,3,0)*VLOOKUP('Données projet'!$B$12,Paramètres!$A$1:$I$89,5,0)</f>
        <v>222.04</v>
      </c>
      <c r="CA89" s="14">
        <f t="shared" si="93"/>
        <v>54.558031180803546</v>
      </c>
      <c r="CB89" s="22">
        <f t="shared" si="64"/>
        <v>481.74157097323285</v>
      </c>
      <c r="CC89" s="60">
        <f t="shared" si="65"/>
        <v>754.72331903863756</v>
      </c>
      <c r="CD89" s="60">
        <f ca="1">AVERAGE(OFFSET($CC$3,0,0,'Données projet'!$E$12+1,1))-AVERAGE(OFFSET($H$3,0,0,'Données projet'!$E$12+1,1))</f>
        <v>441.15969139782891</v>
      </c>
      <c r="CE89" s="60">
        <f t="shared" si="94"/>
        <v>315.06466790224783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-5.6843418860808015E-14</v>
      </c>
      <c r="CU89" s="18">
        <f>CT89*VLOOKUP('Données projet'!$B$13,Paramètres!$A$1:$I$89,3,0)*VLOOKUP('Données projet'!$B$13,Paramètres!$A$1:$I$89,5,0)</f>
        <v>-4.1677594708744434E-14</v>
      </c>
      <c r="CV89" s="14" t="e">
        <f t="shared" si="95"/>
        <v>#NUM!</v>
      </c>
      <c r="CW89" s="22" t="e">
        <f t="shared" si="67"/>
        <v>#NUM!</v>
      </c>
      <c r="CX89" s="60" t="e">
        <f t="shared" si="68"/>
        <v>#NUM!</v>
      </c>
      <c r="CY89" s="60">
        <f ca="1">AVERAGE(OFFSET($CX$3,0,0,'Données projet'!$E$13+1,1))-AVERAGE(OFFSET($H$3,0,0,'Données projet'!$E$13+1,1))</f>
        <v>368.35775920359396</v>
      </c>
      <c r="CZ89" s="60">
        <f t="shared" si="96"/>
        <v>395.5218438652638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1.1368683772161603E-13</v>
      </c>
      <c r="DP89" s="18">
        <f>DO89*VLOOKUP('Données projet'!$B$14,Paramètres!$A$1:$I$89,3,0)*VLOOKUP('Données projet'!$B$14,Paramètres!$A$1:$I$89,5,0)</f>
        <v>8.8675733422860506E-14</v>
      </c>
      <c r="DQ89" s="14">
        <f t="shared" si="97"/>
        <v>1.3509285393066301E-12</v>
      </c>
      <c r="DR89" s="22">
        <f t="shared" si="70"/>
        <v>2.5073107750038623E-12</v>
      </c>
      <c r="DS89" s="60">
        <f t="shared" si="71"/>
        <v>272.9817480654072</v>
      </c>
      <c r="DT89" s="60">
        <f ca="1">AVERAGE(OFFSET($DS$3,0,0,'Données projet'!$E$14+1,1))-AVERAGE(OFFSET($H$3,0,0,'Données projet'!$E$14+1,1))</f>
        <v>312.59632808777332</v>
      </c>
      <c r="DU89" s="60">
        <f t="shared" si="98"/>
        <v>302.59481222418219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0</v>
      </c>
      <c r="EE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11.5</v>
      </c>
      <c r="EJ89" s="13">
        <f>IF('Données projet'!$A$192&gt;35,EJ88+EI89-ER88,IF(A89&lt;'Données projet'!$A$192,$EG$205^A89,IF(A89='Données projet'!$A$192,'Données projet'!$B$192,EJ88+EI89-ER88)))</f>
        <v>442.99999999999966</v>
      </c>
      <c r="EK89" s="18">
        <f>EJ89*VLOOKUP('Données projet'!$B$15,Paramètres!$A$1:$I$89,3,0)*VLOOKUP('Données projet'!$B$15,Paramètres!$A$1:$I$89,5,0)</f>
        <v>380.09399999999977</v>
      </c>
      <c r="EL89" s="14">
        <f t="shared" si="99"/>
        <v>87.729118359210162</v>
      </c>
      <c r="EM89" s="22">
        <f t="shared" si="73"/>
        <v>814.79193114229065</v>
      </c>
      <c r="EN89" s="60">
        <f t="shared" si="74"/>
        <v>1087.7736792076953</v>
      </c>
      <c r="EO89" s="60">
        <f ca="1">AVERAGE(OFFSET($EN$3,0,0,'Données projet'!$E$15+1,1))-AVERAGE(OFFSET($H$3,0,0,'Données projet'!$E$15+1,1))</f>
        <v>478.11504516179713</v>
      </c>
      <c r="EP89" s="60">
        <f t="shared" si="100"/>
        <v>249.93713224442419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0</v>
      </c>
      <c r="EW89" s="23">
        <f>EXP(-LN(2)/25)*EW88+(1-EXP(-LN(2)/25))/(LN(2)/25)*Calculateur!ER89*Calculateur!ET89*VLOOKUP('Données projet'!$B$15,Paramètres!$A$1:$I$89,3,0)*0.475*44/12</f>
        <v>0</v>
      </c>
      <c r="EX89" s="23">
        <f>EXP(-LN(2)/2)*EX88+(1-EXP(-LN(2)/2))/(LN(2)/2)*ER89*EU89*VLOOKUP('Données projet'!$B$15,Paramètres!$A$1:$I$89,3,0)*0.475*44/12</f>
        <v>0</v>
      </c>
      <c r="EY89" s="24">
        <f t="shared" si="75"/>
        <v>0</v>
      </c>
      <c r="EZ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6.6</v>
      </c>
      <c r="FE89" s="13">
        <f>IF('Données projet'!$A$218&gt;35,FE88+FD89-FM88,IF(A89&lt;'Données projet'!$A$218,$FB$205^A89,IF(A89='Données projet'!$A$218,'Données projet'!$B$218,FE88+FD89-FM88)))</f>
        <v>359.60000000000014</v>
      </c>
      <c r="FF89" s="18">
        <f>FE89*VLOOKUP('Données projet'!$B$16,Paramètres!$A$1:$I$89,3,0)*VLOOKUP('Données projet'!$B$16,Paramètres!$A$1:$I$89,5,0)</f>
        <v>347.80512000000016</v>
      </c>
      <c r="FG89" s="14">
        <f t="shared" si="101"/>
        <v>81.110397313948141</v>
      </c>
      <c r="FH89" s="22">
        <f t="shared" si="76"/>
        <v>747.02785932179313</v>
      </c>
      <c r="FI89" s="60">
        <f t="shared" si="77"/>
        <v>1020.0096073871978</v>
      </c>
      <c r="FJ89" s="60">
        <f ca="1">AVERAGE(OFFSET($FI$3,0,0,'Données projet'!$E$16+1,1))-AVERAGE(OFFSET($H$3,0,0,'Données projet'!$E$16+1,1))</f>
        <v>603.52431522262032</v>
      </c>
      <c r="FK89" s="60">
        <f t="shared" si="102"/>
        <v>313.56299786481338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>
        <f>EXP(-LN(2)/35)*FQ88+(1-EXP(-LN(2)/35))/(LN(2)/35)*FM89*FN89*VLOOKUP('Données projet'!$B$16,Paramètres!$A$1:$I$89,3,0)*0.475*44/12</f>
        <v>0</v>
      </c>
      <c r="FR89" s="23">
        <f>EXP(-LN(2)/25)*FR88+(1-EXP(-LN(2)/25))/(LN(2)/25)*Calculateur!FM89*Calculateur!FO89*VLOOKUP('Données projet'!$B$16,Paramètres!$A$1:$I$89,3,0)*0.475*44/12</f>
        <v>0</v>
      </c>
      <c r="FS89" s="23">
        <f>EXP(-LN(2)/2)*FS88+(1-EXP(-LN(2)/2))/(LN(2)/2)*FM89*FP89*VLOOKUP('Données projet'!$B$16,Paramètres!$A$1:$I$89,3,0)*0.475*44/12</f>
        <v>0</v>
      </c>
      <c r="FT89" s="24">
        <f t="shared" si="78"/>
        <v>0</v>
      </c>
      <c r="FU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4.3589743589743648</v>
      </c>
      <c r="FZ89" s="13">
        <f>IF('Données projet'!$A$244&gt;35,FZ88+FY89-GH88,IF(A89&lt;'Données projet'!$A$244,$FW$205^A89,IF(A89='Données projet'!$A$244,'Données projet'!$B$244,FZ88+FY89-GH88)))</f>
        <v>324.87179487179492</v>
      </c>
      <c r="GA89" s="18">
        <f>FZ89*VLOOKUP('Données projet'!$B$17,Paramètres!$A$1:$I$89,3,0)*VLOOKUP('Données projet'!$B$17,Paramètres!$A$1:$I$89,5,0)</f>
        <v>217.92400000000001</v>
      </c>
      <c r="GB89" s="14">
        <f t="shared" si="103"/>
        <v>53.663428701179583</v>
      </c>
      <c r="GC89" s="22">
        <f t="shared" si="79"/>
        <v>473.01477165455441</v>
      </c>
      <c r="GD89" s="60">
        <f t="shared" si="80"/>
        <v>745.99651971995911</v>
      </c>
      <c r="GE89" s="60">
        <f ca="1">AVERAGE(OFFSET($GD$3,0,0,'Données projet'!$E$17+1,1))-AVERAGE(OFFSET($H$3,0,0,'Données projet'!$E$17+1,1))</f>
        <v>396.0878652679051</v>
      </c>
      <c r="GF89" s="60">
        <f t="shared" si="104"/>
        <v>327.26339199235406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>
        <f>EXP(-LN(2)/35)*GL88+(1-EXP(-LN(2)/35))/(LN(2)/35)*GH89*GI89*VLOOKUP('Données projet'!$B$17,Paramètres!$A$1:$I$89,3,0)*0.475*44/12</f>
        <v>0</v>
      </c>
      <c r="GM89" s="23">
        <f>EXP(-LN(2)/25)*GM88+(1-EXP(-LN(2)/25))/(LN(2)/25)*Calculateur!GH89*Calculateur!GJ89*VLOOKUP('Données projet'!$B$17,Paramètres!$A$1:$I$89,3,0)*0.475*44/12</f>
        <v>0</v>
      </c>
      <c r="GN89" s="23">
        <f>EXP(-LN(2)/2)*GN88+(1-EXP(-LN(2)/2))/(LN(2)/2)*GH89*GK89*VLOOKUP('Données projet'!$B$17,Paramètres!$A$1:$I$89,3,0)*0.475*44/12</f>
        <v>0</v>
      </c>
      <c r="GO89" s="23">
        <f t="shared" si="81"/>
        <v>0</v>
      </c>
      <c r="GP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-1.1368683772161603E-13</v>
      </c>
      <c r="GV89" s="18">
        <f>GU89*VLOOKUP('Données projet'!$B$18,Paramètres!$A$1:$I$89,3,0)*VLOOKUP('Données projet'!$B$18,Paramètres!$A$1:$I$89,5,0)</f>
        <v>-9.2222762759774927E-14</v>
      </c>
      <c r="GW89" s="14" t="e">
        <f t="shared" si="105"/>
        <v>#NUM!</v>
      </c>
      <c r="GX89" s="22" t="e">
        <f t="shared" si="82"/>
        <v>#NUM!</v>
      </c>
      <c r="GY89" s="60" t="e">
        <f t="shared" si="83"/>
        <v>#NUM!</v>
      </c>
      <c r="GZ89" s="60">
        <f ca="1">AVERAGE(OFFSET($GY$3,0,0,'Données projet'!$E$18+1,1))-AVERAGE(OFFSET($H$3,0,0,'Données projet'!$E$18+1,1))</f>
        <v>272.69564942740931</v>
      </c>
      <c r="HA89" s="60">
        <f t="shared" si="106"/>
        <v>316.57989180609252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>
        <f>EXP(-LN(2)/35)*HG88+(1-EXP(-LN(2)/35))/(LN(2)/35)*HC89*HD89*VLOOKUP('Données projet'!$B$18,Paramètres!$A$1:$I$89,3,0)*0.475*44/12</f>
        <v>0</v>
      </c>
      <c r="HH89" s="23">
        <f>EXP(-LN(2)/25)*HH88+(1-EXP(-LN(2)/25))/(LN(2)/25)*Calculateur!HC89*Calculateur!HE89*VLOOKUP('Données projet'!$B$18,Paramètres!$A$1:$I$89,3,0)*0.475*44/12</f>
        <v>0</v>
      </c>
      <c r="HI89" s="23">
        <f>EXP(-LN(2)/2)*HI88+(1-EXP(-LN(2)/2))/(LN(2)/2)*HC89*HF89*VLOOKUP('Données projet'!$B$18,Paramètres!$A$1:$I$89,3,0)*0.475*44/12</f>
        <v>0</v>
      </c>
      <c r="HJ89" s="24">
        <f t="shared" si="84"/>
        <v>0</v>
      </c>
    </row>
    <row r="90" spans="1:218" s="5" customFormat="1" x14ac:dyDescent="0.25">
      <c r="A90" s="11">
        <f t="shared" si="85"/>
        <v>87</v>
      </c>
      <c r="B90" s="75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8">
        <f t="shared" si="56"/>
        <v>183.33333333333334</v>
      </c>
      <c r="I90" s="7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6.6</v>
      </c>
      <c r="N90" s="14">
        <f>IF('Données projet'!$A$36&gt;35,N89+M90-V89,IF(A90&lt;'Données projet'!$A$36,$K$205^A90,IF(A90='Données projet'!$A$36,'Données projet'!$B$36,N89+M90-V89)))</f>
        <v>366.20000000000016</v>
      </c>
      <c r="O90" s="14">
        <f>N90*VLOOKUP('Données projet'!$B$9,Paramètres!$A$1:$I$89,3,0)*VLOOKUP('Données projet'!$B$9,Paramètres!$A$1:$I$89,5,0)</f>
        <v>331.33776000000012</v>
      </c>
      <c r="P90" s="14">
        <f t="shared" si="87"/>
        <v>77.707593612890619</v>
      </c>
      <c r="Q90" s="22">
        <f t="shared" si="54"/>
        <v>712.42065754245129</v>
      </c>
      <c r="R90" s="60">
        <f t="shared" si="55"/>
        <v>985.75546011292613</v>
      </c>
      <c r="S90" s="60">
        <f ca="1">AVERAGE(OFFSET($R$3,0,0,'Données projet'!$E$9+1,1))-AVERAGE(OFFSET($H$3,0,0,'Données projet'!$E$9+1,1))</f>
        <v>570.08763950759544</v>
      </c>
      <c r="T90" s="60">
        <f t="shared" si="88"/>
        <v>297.32483725004136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-5.6843418860808015E-14</v>
      </c>
      <c r="AJ90" s="14">
        <f>AI90*VLOOKUP('Données projet'!$B$10,Paramètres!$A$1:$I$89,3,0)*VLOOKUP('Données projet'!$B$10,Paramètres!$A$1:$I$89,5,0)</f>
        <v>-4.5224624045658861E-14</v>
      </c>
      <c r="AK90" s="14" t="e">
        <f t="shared" si="89"/>
        <v>#NUM!</v>
      </c>
      <c r="AL90" s="22" t="e">
        <f t="shared" si="58"/>
        <v>#NUM!</v>
      </c>
      <c r="AM90" s="60" t="e">
        <f t="shared" si="59"/>
        <v>#NUM!</v>
      </c>
      <c r="AN90" s="60">
        <f ca="1">AVERAGE(OFFSET($AM$3,0,0,'Données projet'!$E$10+1,1))-AVERAGE(OFFSET($H$3,0,0,'Données projet'!$E$10+1,1))</f>
        <v>394.49874384716014</v>
      </c>
      <c r="AO90" s="60">
        <f t="shared" si="90"/>
        <v>423.72519584013378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3.4106051316484809E-13</v>
      </c>
      <c r="BE90" s="14">
        <f>BD90*VLOOKUP('Données projet'!$B$11,Paramètres!$A$1:$I$89,3,0)*VLOOKUP('Données projet'!$B$11,Paramètres!$A$1:$I$89,5,0)</f>
        <v>2.9795046430081134E-13</v>
      </c>
      <c r="BF90" s="14">
        <f t="shared" si="91"/>
        <v>3.9419014464513778E-12</v>
      </c>
      <c r="BG90" s="22">
        <f t="shared" si="61"/>
        <v>7.384408744560063E-12</v>
      </c>
      <c r="BH90" s="60">
        <f t="shared" si="62"/>
        <v>273.33480257048222</v>
      </c>
      <c r="BI90" s="60">
        <f ca="1">AVERAGE(OFFSET($BH$3,0,0,'Données projet'!$E$11+1,1))-AVERAGE(OFFSET($H$3,0,0,'Données projet'!$E$11+1,1))</f>
        <v>363.28611056308665</v>
      </c>
      <c r="BJ90" s="60">
        <f t="shared" si="92"/>
        <v>389.43647559455974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3.8461538461538454</v>
      </c>
      <c r="BY90" s="13">
        <f>IF('Données projet'!$A$114&gt;35,BY89+BX90-CG89,IF(A90&lt;'Données projet'!$A$114,$BV$205^A90,IF(A90='Données projet'!$A$114,'Données projet'!$B$114,BY89+BX90-CG89)))</f>
        <v>237.17948717948713</v>
      </c>
      <c r="BZ90" s="14">
        <f>BY90*VLOOKUP('Données projet'!$B$12,Paramètres!$A$1:$I$89,3,0)*VLOOKUP('Données projet'!$B$12,Paramètres!$A$1:$I$89,5,0)</f>
        <v>225.69999999999996</v>
      </c>
      <c r="CA90" s="14">
        <f t="shared" si="93"/>
        <v>55.351902227970015</v>
      </c>
      <c r="CB90" s="22">
        <f t="shared" si="64"/>
        <v>489.49872971371445</v>
      </c>
      <c r="CC90" s="60">
        <f t="shared" si="65"/>
        <v>762.83353228418923</v>
      </c>
      <c r="CD90" s="60">
        <f ca="1">AVERAGE(OFFSET($CC$3,0,0,'Données projet'!$E$12+1,1))-AVERAGE(OFFSET($H$3,0,0,'Données projet'!$E$12+1,1))</f>
        <v>441.15969139782891</v>
      </c>
      <c r="CE90" s="60">
        <f t="shared" si="94"/>
        <v>315.06466790224783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-5.6843418860808015E-14</v>
      </c>
      <c r="CU90" s="18">
        <f>CT90*VLOOKUP('Données projet'!$B$13,Paramètres!$A$1:$I$89,3,0)*VLOOKUP('Données projet'!$B$13,Paramètres!$A$1:$I$89,5,0)</f>
        <v>-4.1677594708744434E-14</v>
      </c>
      <c r="CV90" s="14" t="e">
        <f t="shared" si="95"/>
        <v>#NUM!</v>
      </c>
      <c r="CW90" s="22" t="e">
        <f t="shared" si="67"/>
        <v>#NUM!</v>
      </c>
      <c r="CX90" s="60" t="e">
        <f t="shared" si="68"/>
        <v>#NUM!</v>
      </c>
      <c r="CY90" s="60">
        <f ca="1">AVERAGE(OFFSET($CX$3,0,0,'Données projet'!$E$13+1,1))-AVERAGE(OFFSET($H$3,0,0,'Données projet'!$E$13+1,1))</f>
        <v>368.35775920359396</v>
      </c>
      <c r="CZ90" s="60">
        <f t="shared" si="96"/>
        <v>395.5218438652638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1.1368683772161603E-13</v>
      </c>
      <c r="DP90" s="18">
        <f>DO90*VLOOKUP('Données projet'!$B$14,Paramètres!$A$1:$I$89,3,0)*VLOOKUP('Données projet'!$B$14,Paramètres!$A$1:$I$89,5,0)</f>
        <v>8.8675733422860506E-14</v>
      </c>
      <c r="DQ90" s="14">
        <f t="shared" si="97"/>
        <v>1.3509285393066301E-12</v>
      </c>
      <c r="DR90" s="22">
        <f t="shared" si="70"/>
        <v>2.5073107750038623E-12</v>
      </c>
      <c r="DS90" s="60">
        <f t="shared" si="71"/>
        <v>273.33480257047734</v>
      </c>
      <c r="DT90" s="60">
        <f ca="1">AVERAGE(OFFSET($DS$3,0,0,'Données projet'!$E$14+1,1))-AVERAGE(OFFSET($H$3,0,0,'Données projet'!$E$14+1,1))</f>
        <v>312.59632808777332</v>
      </c>
      <c r="DU90" s="60">
        <f t="shared" si="98"/>
        <v>302.59481222418219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0</v>
      </c>
      <c r="EE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11.5</v>
      </c>
      <c r="EJ90" s="13">
        <f>IF('Données projet'!$A$192&gt;35,EJ89+EI90-ER89,IF(A90&lt;'Données projet'!$A$192,$EG$205^A90,IF(A90='Données projet'!$A$192,'Données projet'!$B$192,EJ89+EI90-ER89)))</f>
        <v>454.49999999999966</v>
      </c>
      <c r="EK90" s="18">
        <f>EJ90*VLOOKUP('Données projet'!$B$15,Paramètres!$A$1:$I$89,3,0)*VLOOKUP('Données projet'!$B$15,Paramètres!$A$1:$I$89,5,0)</f>
        <v>389.96099999999973</v>
      </c>
      <c r="EL90" s="14">
        <f t="shared" si="99"/>
        <v>89.738411052819643</v>
      </c>
      <c r="EM90" s="22">
        <f t="shared" si="73"/>
        <v>835.47647425032699</v>
      </c>
      <c r="EN90" s="60">
        <f t="shared" si="74"/>
        <v>1108.8112768208018</v>
      </c>
      <c r="EO90" s="60">
        <f ca="1">AVERAGE(OFFSET($EN$3,0,0,'Données projet'!$E$15+1,1))-AVERAGE(OFFSET($H$3,0,0,'Données projet'!$E$15+1,1))</f>
        <v>478.11504516179713</v>
      </c>
      <c r="EP90" s="60">
        <f t="shared" si="100"/>
        <v>249.93713224442419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0</v>
      </c>
      <c r="EW90" s="23">
        <f>EXP(-LN(2)/25)*EW89+(1-EXP(-LN(2)/25))/(LN(2)/25)*Calculateur!ER90*Calculateur!ET90*VLOOKUP('Données projet'!$B$15,Paramètres!$A$1:$I$89,3,0)*0.475*44/12</f>
        <v>0</v>
      </c>
      <c r="EX90" s="23">
        <f>EXP(-LN(2)/2)*EX89+(1-EXP(-LN(2)/2))/(LN(2)/2)*ER90*EU90*VLOOKUP('Données projet'!$B$15,Paramètres!$A$1:$I$89,3,0)*0.475*44/12</f>
        <v>0</v>
      </c>
      <c r="EY90" s="24">
        <f t="shared" si="75"/>
        <v>0</v>
      </c>
      <c r="EZ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6.6</v>
      </c>
      <c r="FE90" s="13">
        <f>IF('Données projet'!$A$218&gt;35,FE89+FD90-FM89,IF(A90&lt;'Données projet'!$A$218,$FB$205^A90,IF(A90='Données projet'!$A$218,'Données projet'!$B$218,FE89+FD90-FM89)))</f>
        <v>366.20000000000016</v>
      </c>
      <c r="FF90" s="18">
        <f>FE90*VLOOKUP('Données projet'!$B$16,Paramètres!$A$1:$I$89,3,0)*VLOOKUP('Données projet'!$B$16,Paramètres!$A$1:$I$89,5,0)</f>
        <v>354.18864000000013</v>
      </c>
      <c r="FG90" s="14">
        <f t="shared" si="101"/>
        <v>82.424397643862704</v>
      </c>
      <c r="FH90" s="22">
        <f t="shared" si="76"/>
        <v>760.4343738963945</v>
      </c>
      <c r="FI90" s="60">
        <f t="shared" si="77"/>
        <v>1033.7691764668693</v>
      </c>
      <c r="FJ90" s="60">
        <f ca="1">AVERAGE(OFFSET($FI$3,0,0,'Données projet'!$E$16+1,1))-AVERAGE(OFFSET($H$3,0,0,'Données projet'!$E$16+1,1))</f>
        <v>603.52431522262032</v>
      </c>
      <c r="FK90" s="60">
        <f t="shared" si="102"/>
        <v>313.56299786481338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>
        <f>EXP(-LN(2)/35)*FQ89+(1-EXP(-LN(2)/35))/(LN(2)/35)*FM90*FN90*VLOOKUP('Données projet'!$B$16,Paramètres!$A$1:$I$89,3,0)*0.475*44/12</f>
        <v>0</v>
      </c>
      <c r="FR90" s="23">
        <f>EXP(-LN(2)/25)*FR89+(1-EXP(-LN(2)/25))/(LN(2)/25)*Calculateur!FM90*Calculateur!FO90*VLOOKUP('Données projet'!$B$16,Paramètres!$A$1:$I$89,3,0)*0.475*44/12</f>
        <v>0</v>
      </c>
      <c r="FS90" s="23">
        <f>EXP(-LN(2)/2)*FS89+(1-EXP(-LN(2)/2))/(LN(2)/2)*FM90*FP90*VLOOKUP('Données projet'!$B$16,Paramètres!$A$1:$I$89,3,0)*0.475*44/12</f>
        <v>0</v>
      </c>
      <c r="FT90" s="24">
        <f t="shared" si="78"/>
        <v>0</v>
      </c>
      <c r="FU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4.3589743589743648</v>
      </c>
      <c r="FZ90" s="13">
        <f>IF('Données projet'!$A$244&gt;35,FZ89+FY90-GH89,IF(A90&lt;'Données projet'!$A$244,$FW$205^A90,IF(A90='Données projet'!$A$244,'Données projet'!$B$244,FZ89+FY90-GH89)))</f>
        <v>329.23076923076928</v>
      </c>
      <c r="GA90" s="18">
        <f>FZ90*VLOOKUP('Données projet'!$B$17,Paramètres!$A$1:$I$89,3,0)*VLOOKUP('Données projet'!$B$17,Paramètres!$A$1:$I$89,5,0)</f>
        <v>220.84800000000004</v>
      </c>
      <c r="GB90" s="14">
        <f t="shared" si="103"/>
        <v>54.299153043191723</v>
      </c>
      <c r="GC90" s="22">
        <f t="shared" si="79"/>
        <v>479.214624883559</v>
      </c>
      <c r="GD90" s="60">
        <f t="shared" si="80"/>
        <v>752.54942745403378</v>
      </c>
      <c r="GE90" s="60">
        <f ca="1">AVERAGE(OFFSET($GD$3,0,0,'Données projet'!$E$17+1,1))-AVERAGE(OFFSET($H$3,0,0,'Données projet'!$E$17+1,1))</f>
        <v>396.0878652679051</v>
      </c>
      <c r="GF90" s="60">
        <f t="shared" si="104"/>
        <v>327.26339199235406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>
        <f>EXP(-LN(2)/35)*GL89+(1-EXP(-LN(2)/35))/(LN(2)/35)*GH90*GI90*VLOOKUP('Données projet'!$B$17,Paramètres!$A$1:$I$89,3,0)*0.475*44/12</f>
        <v>0</v>
      </c>
      <c r="GM90" s="23">
        <f>EXP(-LN(2)/25)*GM89+(1-EXP(-LN(2)/25))/(LN(2)/25)*Calculateur!GH90*Calculateur!GJ90*VLOOKUP('Données projet'!$B$17,Paramètres!$A$1:$I$89,3,0)*0.475*44/12</f>
        <v>0</v>
      </c>
      <c r="GN90" s="23">
        <f>EXP(-LN(2)/2)*GN89+(1-EXP(-LN(2)/2))/(LN(2)/2)*GH90*GK90*VLOOKUP('Données projet'!$B$17,Paramètres!$A$1:$I$89,3,0)*0.475*44/12</f>
        <v>0</v>
      </c>
      <c r="GO90" s="23">
        <f t="shared" si="81"/>
        <v>0</v>
      </c>
      <c r="GP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-1.1368683772161603E-13</v>
      </c>
      <c r="GV90" s="18">
        <f>GU90*VLOOKUP('Données projet'!$B$18,Paramètres!$A$1:$I$89,3,0)*VLOOKUP('Données projet'!$B$18,Paramètres!$A$1:$I$89,5,0)</f>
        <v>-9.2222762759774927E-14</v>
      </c>
      <c r="GW90" s="14" t="e">
        <f t="shared" si="105"/>
        <v>#NUM!</v>
      </c>
      <c r="GX90" s="22" t="e">
        <f t="shared" si="82"/>
        <v>#NUM!</v>
      </c>
      <c r="GY90" s="60" t="e">
        <f t="shared" si="83"/>
        <v>#NUM!</v>
      </c>
      <c r="GZ90" s="60">
        <f ca="1">AVERAGE(OFFSET($GY$3,0,0,'Données projet'!$E$18+1,1))-AVERAGE(OFFSET($H$3,0,0,'Données projet'!$E$18+1,1))</f>
        <v>272.69564942740931</v>
      </c>
      <c r="HA90" s="60">
        <f t="shared" si="106"/>
        <v>316.57989180609252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>
        <f>EXP(-LN(2)/35)*HG89+(1-EXP(-LN(2)/35))/(LN(2)/35)*HC90*HD90*VLOOKUP('Données projet'!$B$18,Paramètres!$A$1:$I$89,3,0)*0.475*44/12</f>
        <v>0</v>
      </c>
      <c r="HH90" s="23">
        <f>EXP(-LN(2)/25)*HH89+(1-EXP(-LN(2)/25))/(LN(2)/25)*Calculateur!HC90*Calculateur!HE90*VLOOKUP('Données projet'!$B$18,Paramètres!$A$1:$I$89,3,0)*0.475*44/12</f>
        <v>0</v>
      </c>
      <c r="HI90" s="23">
        <f>EXP(-LN(2)/2)*HI89+(1-EXP(-LN(2)/2))/(LN(2)/2)*HC90*HF90*VLOOKUP('Données projet'!$B$18,Paramètres!$A$1:$I$89,3,0)*0.475*44/12</f>
        <v>0</v>
      </c>
      <c r="HJ90" s="24">
        <f t="shared" si="84"/>
        <v>0</v>
      </c>
    </row>
    <row r="91" spans="1:218" s="5" customFormat="1" x14ac:dyDescent="0.25">
      <c r="A91" s="11">
        <f t="shared" si="85"/>
        <v>88</v>
      </c>
      <c r="B91" s="75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8">
        <f t="shared" si="56"/>
        <v>183.33333333333334</v>
      </c>
      <c r="I91" s="7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6.6</v>
      </c>
      <c r="N91" s="14">
        <f>IF('Données projet'!$A$36&gt;35,N90+M91-V90,IF(A91&lt;'Données projet'!$A$36,$K$205^A91,IF(A91='Données projet'!$A$36,'Données projet'!$B$36,N90+M91-V90)))</f>
        <v>372.80000000000018</v>
      </c>
      <c r="O91" s="14">
        <f>N91*VLOOKUP('Données projet'!$B$9,Paramètres!$A$1:$I$89,3,0)*VLOOKUP('Données projet'!$B$9,Paramètres!$A$1:$I$89,5,0)</f>
        <v>337.30944000000017</v>
      </c>
      <c r="P91" s="14">
        <f t="shared" si="87"/>
        <v>78.943802914307284</v>
      </c>
      <c r="Q91" s="22">
        <f t="shared" si="54"/>
        <v>724.97439807575211</v>
      </c>
      <c r="R91" s="60">
        <f t="shared" si="55"/>
        <v>998.6561304449458</v>
      </c>
      <c r="S91" s="60">
        <f ca="1">AVERAGE(OFFSET($R$3,0,0,'Données projet'!$E$9+1,1))-AVERAGE(OFFSET($H$3,0,0,'Données projet'!$E$9+1,1))</f>
        <v>570.08763950759544</v>
      </c>
      <c r="T91" s="60">
        <f t="shared" si="88"/>
        <v>297.32483725004136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-5.6843418860808015E-14</v>
      </c>
      <c r="AJ91" s="14">
        <f>AI91*VLOOKUP('Données projet'!$B$10,Paramètres!$A$1:$I$89,3,0)*VLOOKUP('Données projet'!$B$10,Paramètres!$A$1:$I$89,5,0)</f>
        <v>-4.5224624045658861E-14</v>
      </c>
      <c r="AK91" s="14" t="e">
        <f t="shared" si="89"/>
        <v>#NUM!</v>
      </c>
      <c r="AL91" s="22" t="e">
        <f t="shared" si="58"/>
        <v>#NUM!</v>
      </c>
      <c r="AM91" s="60" t="e">
        <f t="shared" si="59"/>
        <v>#NUM!</v>
      </c>
      <c r="AN91" s="60">
        <f ca="1">AVERAGE(OFFSET($AM$3,0,0,'Données projet'!$E$10+1,1))-AVERAGE(OFFSET($H$3,0,0,'Données projet'!$E$10+1,1))</f>
        <v>394.49874384716014</v>
      </c>
      <c r="AO91" s="60">
        <f t="shared" si="90"/>
        <v>423.72519584013378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3.4106051316484809E-13</v>
      </c>
      <c r="BE91" s="14">
        <f>BD91*VLOOKUP('Données projet'!$B$11,Paramètres!$A$1:$I$89,3,0)*VLOOKUP('Données projet'!$B$11,Paramètres!$A$1:$I$89,5,0)</f>
        <v>2.9795046430081134E-13</v>
      </c>
      <c r="BF91" s="14">
        <f t="shared" si="91"/>
        <v>3.9419014464513778E-12</v>
      </c>
      <c r="BG91" s="22">
        <f t="shared" si="61"/>
        <v>7.384408744560063E-12</v>
      </c>
      <c r="BH91" s="60">
        <f t="shared" si="62"/>
        <v>273.68173236920109</v>
      </c>
      <c r="BI91" s="60">
        <f ca="1">AVERAGE(OFFSET($BH$3,0,0,'Données projet'!$E$11+1,1))-AVERAGE(OFFSET($H$3,0,0,'Données projet'!$E$11+1,1))</f>
        <v>363.28611056308665</v>
      </c>
      <c r="BJ91" s="60">
        <f t="shared" si="92"/>
        <v>389.43647559455974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3.8461538461538454</v>
      </c>
      <c r="BY91" s="13">
        <f>IF('Données projet'!$A$114&gt;35,BY90+BX91-CG90,IF(A91&lt;'Données projet'!$A$114,$BV$205^A91,IF(A91='Données projet'!$A$114,'Données projet'!$B$114,BY90+BX91-CG90)))</f>
        <v>241.02564102564097</v>
      </c>
      <c r="BZ91" s="14">
        <f>BY91*VLOOKUP('Données projet'!$B$12,Paramètres!$A$1:$I$89,3,0)*VLOOKUP('Données projet'!$B$12,Paramètres!$A$1:$I$89,5,0)</f>
        <v>229.35999999999996</v>
      </c>
      <c r="CA91" s="14">
        <f t="shared" si="93"/>
        <v>56.144276133877753</v>
      </c>
      <c r="CB91" s="22">
        <f t="shared" si="64"/>
        <v>497.25328093317034</v>
      </c>
      <c r="CC91" s="60">
        <f t="shared" si="65"/>
        <v>770.93501330236404</v>
      </c>
      <c r="CD91" s="60">
        <f ca="1">AVERAGE(OFFSET($CC$3,0,0,'Données projet'!$E$12+1,1))-AVERAGE(OFFSET($H$3,0,0,'Données projet'!$E$12+1,1))</f>
        <v>441.15969139782891</v>
      </c>
      <c r="CE91" s="60">
        <f t="shared" si="94"/>
        <v>315.06466790224783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-5.6843418860808015E-14</v>
      </c>
      <c r="CU91" s="18">
        <f>CT91*VLOOKUP('Données projet'!$B$13,Paramètres!$A$1:$I$89,3,0)*VLOOKUP('Données projet'!$B$13,Paramètres!$A$1:$I$89,5,0)</f>
        <v>-4.1677594708744434E-14</v>
      </c>
      <c r="CV91" s="14" t="e">
        <f t="shared" si="95"/>
        <v>#NUM!</v>
      </c>
      <c r="CW91" s="22" t="e">
        <f t="shared" si="67"/>
        <v>#NUM!</v>
      </c>
      <c r="CX91" s="60" t="e">
        <f t="shared" si="68"/>
        <v>#NUM!</v>
      </c>
      <c r="CY91" s="60">
        <f ca="1">AVERAGE(OFFSET($CX$3,0,0,'Données projet'!$E$13+1,1))-AVERAGE(OFFSET($H$3,0,0,'Données projet'!$E$13+1,1))</f>
        <v>368.35775920359396</v>
      </c>
      <c r="CZ91" s="60">
        <f t="shared" si="96"/>
        <v>395.5218438652638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1.1368683772161603E-13</v>
      </c>
      <c r="DP91" s="18">
        <f>DO91*VLOOKUP('Données projet'!$B$14,Paramètres!$A$1:$I$89,3,0)*VLOOKUP('Données projet'!$B$14,Paramètres!$A$1:$I$89,5,0)</f>
        <v>8.8675733422860506E-14</v>
      </c>
      <c r="DQ91" s="14">
        <f t="shared" si="97"/>
        <v>1.3509285393066301E-12</v>
      </c>
      <c r="DR91" s="22">
        <f t="shared" si="70"/>
        <v>2.5073107750038623E-12</v>
      </c>
      <c r="DS91" s="60">
        <f t="shared" si="71"/>
        <v>273.6817323691962</v>
      </c>
      <c r="DT91" s="60">
        <f ca="1">AVERAGE(OFFSET($DS$3,0,0,'Données projet'!$E$14+1,1))-AVERAGE(OFFSET($H$3,0,0,'Données projet'!$E$14+1,1))</f>
        <v>312.59632808777332</v>
      </c>
      <c r="DU91" s="60">
        <f t="shared" si="98"/>
        <v>302.59481222418219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0</v>
      </c>
      <c r="EE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11.5</v>
      </c>
      <c r="EJ91" s="13">
        <f>IF('Données projet'!$A$192&gt;35,EJ90+EI91-ER90,IF(A91&lt;'Données projet'!$A$192,$EG$205^A91,IF(A91='Données projet'!$A$192,'Données projet'!$B$192,EJ90+EI91-ER90)))</f>
        <v>465.99999999999966</v>
      </c>
      <c r="EK91" s="18">
        <f>EJ91*VLOOKUP('Données projet'!$B$15,Paramètres!$A$1:$I$89,3,0)*VLOOKUP('Données projet'!$B$15,Paramètres!$A$1:$I$89,5,0)</f>
        <v>399.82799999999975</v>
      </c>
      <c r="EL91" s="14">
        <f t="shared" si="99"/>
        <v>91.741793988042701</v>
      </c>
      <c r="EM91" s="22">
        <f t="shared" si="73"/>
        <v>856.15072452917377</v>
      </c>
      <c r="EN91" s="60">
        <f t="shared" si="74"/>
        <v>1129.8324568983676</v>
      </c>
      <c r="EO91" s="60">
        <f ca="1">AVERAGE(OFFSET($EN$3,0,0,'Données projet'!$E$15+1,1))-AVERAGE(OFFSET($H$3,0,0,'Données projet'!$E$15+1,1))</f>
        <v>478.11504516179713</v>
      </c>
      <c r="EP91" s="60">
        <f t="shared" si="100"/>
        <v>249.93713224442419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0</v>
      </c>
      <c r="EW91" s="23">
        <f>EXP(-LN(2)/25)*EW90+(1-EXP(-LN(2)/25))/(LN(2)/25)*Calculateur!ER91*Calculateur!ET91*VLOOKUP('Données projet'!$B$15,Paramètres!$A$1:$I$89,3,0)*0.475*44/12</f>
        <v>0</v>
      </c>
      <c r="EX91" s="23">
        <f>EXP(-LN(2)/2)*EX90+(1-EXP(-LN(2)/2))/(LN(2)/2)*ER91*EU91*VLOOKUP('Données projet'!$B$15,Paramètres!$A$1:$I$89,3,0)*0.475*44/12</f>
        <v>0</v>
      </c>
      <c r="EY91" s="24">
        <f t="shared" si="75"/>
        <v>0</v>
      </c>
      <c r="EZ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6.6</v>
      </c>
      <c r="FE91" s="13">
        <f>IF('Données projet'!$A$218&gt;35,FE90+FD91-FM90,IF(A91&lt;'Données projet'!$A$218,$FB$205^A91,IF(A91='Données projet'!$A$218,'Données projet'!$B$218,FE90+FD91-FM90)))</f>
        <v>372.80000000000018</v>
      </c>
      <c r="FF91" s="18">
        <f>FE91*VLOOKUP('Données projet'!$B$16,Paramètres!$A$1:$I$89,3,0)*VLOOKUP('Données projet'!$B$16,Paramètres!$A$1:$I$89,5,0)</f>
        <v>360.57216000000017</v>
      </c>
      <c r="FG91" s="14">
        <f t="shared" si="101"/>
        <v>83.735644103746736</v>
      </c>
      <c r="FH91" s="22">
        <f t="shared" si="76"/>
        <v>773.83609214735907</v>
      </c>
      <c r="FI91" s="60">
        <f t="shared" si="77"/>
        <v>1047.5178245165528</v>
      </c>
      <c r="FJ91" s="60">
        <f ca="1">AVERAGE(OFFSET($FI$3,0,0,'Données projet'!$E$16+1,1))-AVERAGE(OFFSET($H$3,0,0,'Données projet'!$E$16+1,1))</f>
        <v>603.52431522262032</v>
      </c>
      <c r="FK91" s="60">
        <f t="shared" si="102"/>
        <v>313.56299786481338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>
        <f>EXP(-LN(2)/35)*FQ90+(1-EXP(-LN(2)/35))/(LN(2)/35)*FM91*FN91*VLOOKUP('Données projet'!$B$16,Paramètres!$A$1:$I$89,3,0)*0.475*44/12</f>
        <v>0</v>
      </c>
      <c r="FR91" s="23">
        <f>EXP(-LN(2)/25)*FR90+(1-EXP(-LN(2)/25))/(LN(2)/25)*Calculateur!FM91*Calculateur!FO91*VLOOKUP('Données projet'!$B$16,Paramètres!$A$1:$I$89,3,0)*0.475*44/12</f>
        <v>0</v>
      </c>
      <c r="FS91" s="23">
        <f>EXP(-LN(2)/2)*FS90+(1-EXP(-LN(2)/2))/(LN(2)/2)*FM91*FP91*VLOOKUP('Données projet'!$B$16,Paramètres!$A$1:$I$89,3,0)*0.475*44/12</f>
        <v>0</v>
      </c>
      <c r="FT91" s="24">
        <f t="shared" si="78"/>
        <v>0</v>
      </c>
      <c r="FU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4.3589743589743648</v>
      </c>
      <c r="FZ91" s="13">
        <f>IF('Données projet'!$A$244&gt;35,FZ90+FY91-GH90,IF(A91&lt;'Données projet'!$A$244,$FW$205^A91,IF(A91='Données projet'!$A$244,'Données projet'!$B$244,FZ90+FY91-GH90)))</f>
        <v>333.58974358974365</v>
      </c>
      <c r="GA91" s="18">
        <f>FZ91*VLOOKUP('Données projet'!$B$17,Paramètres!$A$1:$I$89,3,0)*VLOOKUP('Données projet'!$B$17,Paramètres!$A$1:$I$89,5,0)</f>
        <v>223.77200000000005</v>
      </c>
      <c r="GB91" s="14">
        <f t="shared" si="103"/>
        <v>54.933898381063038</v>
      </c>
      <c r="GC91" s="22">
        <f t="shared" si="79"/>
        <v>485.4127730136849</v>
      </c>
      <c r="GD91" s="60">
        <f t="shared" si="80"/>
        <v>759.09450538287865</v>
      </c>
      <c r="GE91" s="60">
        <f ca="1">AVERAGE(OFFSET($GD$3,0,0,'Données projet'!$E$17+1,1))-AVERAGE(OFFSET($H$3,0,0,'Données projet'!$E$17+1,1))</f>
        <v>396.0878652679051</v>
      </c>
      <c r="GF91" s="60">
        <f t="shared" si="104"/>
        <v>327.26339199235406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>
        <f>EXP(-LN(2)/35)*GL90+(1-EXP(-LN(2)/35))/(LN(2)/35)*GH91*GI91*VLOOKUP('Données projet'!$B$17,Paramètres!$A$1:$I$89,3,0)*0.475*44/12</f>
        <v>0</v>
      </c>
      <c r="GM91" s="23">
        <f>EXP(-LN(2)/25)*GM90+(1-EXP(-LN(2)/25))/(LN(2)/25)*Calculateur!GH91*Calculateur!GJ91*VLOOKUP('Données projet'!$B$17,Paramètres!$A$1:$I$89,3,0)*0.475*44/12</f>
        <v>0</v>
      </c>
      <c r="GN91" s="23">
        <f>EXP(-LN(2)/2)*GN90+(1-EXP(-LN(2)/2))/(LN(2)/2)*GH91*GK91*VLOOKUP('Données projet'!$B$17,Paramètres!$A$1:$I$89,3,0)*0.475*44/12</f>
        <v>0</v>
      </c>
      <c r="GO91" s="23">
        <f t="shared" si="81"/>
        <v>0</v>
      </c>
      <c r="GP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-1.1368683772161603E-13</v>
      </c>
      <c r="GV91" s="18">
        <f>GU91*VLOOKUP('Données projet'!$B$18,Paramètres!$A$1:$I$89,3,0)*VLOOKUP('Données projet'!$B$18,Paramètres!$A$1:$I$89,5,0)</f>
        <v>-9.2222762759774927E-14</v>
      </c>
      <c r="GW91" s="14" t="e">
        <f t="shared" si="105"/>
        <v>#NUM!</v>
      </c>
      <c r="GX91" s="22" t="e">
        <f t="shared" si="82"/>
        <v>#NUM!</v>
      </c>
      <c r="GY91" s="60" t="e">
        <f t="shared" si="83"/>
        <v>#NUM!</v>
      </c>
      <c r="GZ91" s="60">
        <f ca="1">AVERAGE(OFFSET($GY$3,0,0,'Données projet'!$E$18+1,1))-AVERAGE(OFFSET($H$3,0,0,'Données projet'!$E$18+1,1))</f>
        <v>272.69564942740931</v>
      </c>
      <c r="HA91" s="60">
        <f t="shared" si="106"/>
        <v>316.57989180609252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>
        <f>EXP(-LN(2)/35)*HG90+(1-EXP(-LN(2)/35))/(LN(2)/35)*HC91*HD91*VLOOKUP('Données projet'!$B$18,Paramètres!$A$1:$I$89,3,0)*0.475*44/12</f>
        <v>0</v>
      </c>
      <c r="HH91" s="23">
        <f>EXP(-LN(2)/25)*HH90+(1-EXP(-LN(2)/25))/(LN(2)/25)*Calculateur!HC91*Calculateur!HE91*VLOOKUP('Données projet'!$B$18,Paramètres!$A$1:$I$89,3,0)*0.475*44/12</f>
        <v>0</v>
      </c>
      <c r="HI91" s="23">
        <f>EXP(-LN(2)/2)*HI90+(1-EXP(-LN(2)/2))/(LN(2)/2)*HC91*HF91*VLOOKUP('Données projet'!$B$18,Paramètres!$A$1:$I$89,3,0)*0.475*44/12</f>
        <v>0</v>
      </c>
      <c r="HJ91" s="24">
        <f t="shared" si="84"/>
        <v>0</v>
      </c>
    </row>
    <row r="92" spans="1:218" s="5" customFormat="1" x14ac:dyDescent="0.25">
      <c r="A92" s="11">
        <f t="shared" si="85"/>
        <v>89</v>
      </c>
      <c r="B92" s="75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8">
        <f t="shared" si="56"/>
        <v>183.33333333333334</v>
      </c>
      <c r="I92" s="7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6.6</v>
      </c>
      <c r="N92" s="14">
        <f>IF('Données projet'!$A$36&gt;35,N91+M92-V91,IF(A92&lt;'Données projet'!$A$36,$K$205^A92,IF(A92='Données projet'!$A$36,'Données projet'!$B$36,N91+M92-V91)))</f>
        <v>379.4000000000002</v>
      </c>
      <c r="O92" s="14">
        <f>N92*VLOOKUP('Données projet'!$B$9,Paramètres!$A$1:$I$89,3,0)*VLOOKUP('Données projet'!$B$9,Paramètres!$A$1:$I$89,5,0)</f>
        <v>343.28112000000016</v>
      </c>
      <c r="P92" s="14">
        <f t="shared" si="87"/>
        <v>80.17746720510398</v>
      </c>
      <c r="Q92" s="22">
        <f t="shared" si="54"/>
        <v>737.52370604888972</v>
      </c>
      <c r="R92" s="60">
        <f t="shared" si="55"/>
        <v>1011.5463497604132</v>
      </c>
      <c r="S92" s="60">
        <f ca="1">AVERAGE(OFFSET($R$3,0,0,'Données projet'!$E$9+1,1))-AVERAGE(OFFSET($H$3,0,0,'Données projet'!$E$9+1,1))</f>
        <v>570.08763950759544</v>
      </c>
      <c r="T92" s="60">
        <f t="shared" si="88"/>
        <v>297.32483725004136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-5.6843418860808015E-14</v>
      </c>
      <c r="AJ92" s="14">
        <f>AI92*VLOOKUP('Données projet'!$B$10,Paramètres!$A$1:$I$89,3,0)*VLOOKUP('Données projet'!$B$10,Paramètres!$A$1:$I$89,5,0)</f>
        <v>-4.5224624045658861E-14</v>
      </c>
      <c r="AK92" s="14" t="e">
        <f t="shared" si="89"/>
        <v>#NUM!</v>
      </c>
      <c r="AL92" s="22" t="e">
        <f t="shared" si="58"/>
        <v>#NUM!</v>
      </c>
      <c r="AM92" s="60" t="e">
        <f t="shared" si="59"/>
        <v>#NUM!</v>
      </c>
      <c r="AN92" s="60">
        <f ca="1">AVERAGE(OFFSET($AM$3,0,0,'Données projet'!$E$10+1,1))-AVERAGE(OFFSET($H$3,0,0,'Données projet'!$E$10+1,1))</f>
        <v>394.49874384716014</v>
      </c>
      <c r="AO92" s="60">
        <f t="shared" si="90"/>
        <v>423.72519584013378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3.4106051316484809E-13</v>
      </c>
      <c r="BE92" s="14">
        <f>BD92*VLOOKUP('Données projet'!$B$11,Paramètres!$A$1:$I$89,3,0)*VLOOKUP('Données projet'!$B$11,Paramètres!$A$1:$I$89,5,0)</f>
        <v>2.9795046430081134E-13</v>
      </c>
      <c r="BF92" s="14">
        <f t="shared" si="91"/>
        <v>3.9419014464513778E-12</v>
      </c>
      <c r="BG92" s="22">
        <f t="shared" si="61"/>
        <v>7.384408744560063E-12</v>
      </c>
      <c r="BH92" s="60">
        <f t="shared" si="62"/>
        <v>274.02264371153097</v>
      </c>
      <c r="BI92" s="60">
        <f ca="1">AVERAGE(OFFSET($BH$3,0,0,'Données projet'!$E$11+1,1))-AVERAGE(OFFSET($H$3,0,0,'Données projet'!$E$11+1,1))</f>
        <v>363.28611056308665</v>
      </c>
      <c r="BJ92" s="60">
        <f t="shared" si="92"/>
        <v>389.43647559455974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3.8461538461538454</v>
      </c>
      <c r="BY92" s="13">
        <f>IF('Données projet'!$A$114&gt;35,BY91+BX92-CG91,IF(A92&lt;'Données projet'!$A$114,$BV$205^A92,IF(A92='Données projet'!$A$114,'Données projet'!$B$114,BY91+BX92-CG91)))</f>
        <v>244.8717948717948</v>
      </c>
      <c r="BZ92" s="14">
        <f>BY92*VLOOKUP('Données projet'!$B$12,Paramètres!$A$1:$I$89,3,0)*VLOOKUP('Données projet'!$B$12,Paramètres!$A$1:$I$89,5,0)</f>
        <v>233.01999999999995</v>
      </c>
      <c r="CA92" s="14">
        <f t="shared" si="93"/>
        <v>56.935179547462297</v>
      </c>
      <c r="CB92" s="22">
        <f t="shared" si="64"/>
        <v>505.00527104516345</v>
      </c>
      <c r="CC92" s="60">
        <f t="shared" si="65"/>
        <v>779.0279147566871</v>
      </c>
      <c r="CD92" s="60">
        <f ca="1">AVERAGE(OFFSET($CC$3,0,0,'Données projet'!$E$12+1,1))-AVERAGE(OFFSET($H$3,0,0,'Données projet'!$E$12+1,1))</f>
        <v>441.15969139782891</v>
      </c>
      <c r="CE92" s="60">
        <f t="shared" si="94"/>
        <v>315.06466790224783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-5.6843418860808015E-14</v>
      </c>
      <c r="CU92" s="18">
        <f>CT92*VLOOKUP('Données projet'!$B$13,Paramètres!$A$1:$I$89,3,0)*VLOOKUP('Données projet'!$B$13,Paramètres!$A$1:$I$89,5,0)</f>
        <v>-4.1677594708744434E-14</v>
      </c>
      <c r="CV92" s="14" t="e">
        <f t="shared" si="95"/>
        <v>#NUM!</v>
      </c>
      <c r="CW92" s="22" t="e">
        <f t="shared" si="67"/>
        <v>#NUM!</v>
      </c>
      <c r="CX92" s="60" t="e">
        <f t="shared" si="68"/>
        <v>#NUM!</v>
      </c>
      <c r="CY92" s="60">
        <f ca="1">AVERAGE(OFFSET($CX$3,0,0,'Données projet'!$E$13+1,1))-AVERAGE(OFFSET($H$3,0,0,'Données projet'!$E$13+1,1))</f>
        <v>368.35775920359396</v>
      </c>
      <c r="CZ92" s="60">
        <f t="shared" si="96"/>
        <v>395.5218438652638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1.1368683772161603E-13</v>
      </c>
      <c r="DP92" s="18">
        <f>DO92*VLOOKUP('Données projet'!$B$14,Paramètres!$A$1:$I$89,3,0)*VLOOKUP('Données projet'!$B$14,Paramètres!$A$1:$I$89,5,0)</f>
        <v>8.8675733422860506E-14</v>
      </c>
      <c r="DQ92" s="14">
        <f t="shared" si="97"/>
        <v>1.3509285393066301E-12</v>
      </c>
      <c r="DR92" s="22">
        <f t="shared" si="70"/>
        <v>2.5073107750038623E-12</v>
      </c>
      <c r="DS92" s="60">
        <f t="shared" si="71"/>
        <v>274.02264371152609</v>
      </c>
      <c r="DT92" s="60">
        <f ca="1">AVERAGE(OFFSET($DS$3,0,0,'Données projet'!$E$14+1,1))-AVERAGE(OFFSET($H$3,0,0,'Données projet'!$E$14+1,1))</f>
        <v>312.59632808777332</v>
      </c>
      <c r="DU92" s="60">
        <f t="shared" si="98"/>
        <v>302.59481222418219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0</v>
      </c>
      <c r="EE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11.5</v>
      </c>
      <c r="EJ92" s="13">
        <f>IF('Données projet'!$A$192&gt;35,EJ91+EI92-ER91,IF(A92&lt;'Données projet'!$A$192,$EG$205^A92,IF(A92='Données projet'!$A$192,'Données projet'!$B$192,EJ91+EI92-ER91)))</f>
        <v>477.49999999999966</v>
      </c>
      <c r="EK92" s="18">
        <f>EJ92*VLOOKUP('Données projet'!$B$15,Paramètres!$A$1:$I$89,3,0)*VLOOKUP('Données projet'!$B$15,Paramètres!$A$1:$I$89,5,0)</f>
        <v>409.69499999999977</v>
      </c>
      <c r="EL92" s="14">
        <f t="shared" si="99"/>
        <v>93.739429782288525</v>
      </c>
      <c r="EM92" s="22">
        <f t="shared" si="73"/>
        <v>876.81496520415214</v>
      </c>
      <c r="EN92" s="60">
        <f t="shared" si="74"/>
        <v>1150.8376089156757</v>
      </c>
      <c r="EO92" s="60">
        <f ca="1">AVERAGE(OFFSET($EN$3,0,0,'Données projet'!$E$15+1,1))-AVERAGE(OFFSET($H$3,0,0,'Données projet'!$E$15+1,1))</f>
        <v>478.11504516179713</v>
      </c>
      <c r="EP92" s="60">
        <f t="shared" si="100"/>
        <v>249.93713224442419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0</v>
      </c>
      <c r="EW92" s="23">
        <f>EXP(-LN(2)/25)*EW91+(1-EXP(-LN(2)/25))/(LN(2)/25)*Calculateur!ER92*Calculateur!ET92*VLOOKUP('Données projet'!$B$15,Paramètres!$A$1:$I$89,3,0)*0.475*44/12</f>
        <v>0</v>
      </c>
      <c r="EX92" s="23">
        <f>EXP(-LN(2)/2)*EX91+(1-EXP(-LN(2)/2))/(LN(2)/2)*ER92*EU92*VLOOKUP('Données projet'!$B$15,Paramètres!$A$1:$I$89,3,0)*0.475*44/12</f>
        <v>0</v>
      </c>
      <c r="EY92" s="24">
        <f t="shared" si="75"/>
        <v>0</v>
      </c>
      <c r="EZ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6.6</v>
      </c>
      <c r="FE92" s="13">
        <f>IF('Données projet'!$A$218&gt;35,FE91+FD92-FM91,IF(A92&lt;'Données projet'!$A$218,$FB$205^A92,IF(A92='Données projet'!$A$218,'Données projet'!$B$218,FE91+FD92-FM91)))</f>
        <v>379.4000000000002</v>
      </c>
      <c r="FF92" s="18">
        <f>FE92*VLOOKUP('Données projet'!$B$16,Paramètres!$A$1:$I$89,3,0)*VLOOKUP('Données projet'!$B$16,Paramètres!$A$1:$I$89,5,0)</f>
        <v>366.9556800000002</v>
      </c>
      <c r="FG92" s="14">
        <f t="shared" si="101"/>
        <v>85.044191072402157</v>
      </c>
      <c r="FH92" s="22">
        <f t="shared" si="76"/>
        <v>787.23310878443408</v>
      </c>
      <c r="FI92" s="60">
        <f t="shared" si="77"/>
        <v>1061.2557524959577</v>
      </c>
      <c r="FJ92" s="60">
        <f ca="1">AVERAGE(OFFSET($FI$3,0,0,'Données projet'!$E$16+1,1))-AVERAGE(OFFSET($H$3,0,0,'Données projet'!$E$16+1,1))</f>
        <v>603.52431522262032</v>
      </c>
      <c r="FK92" s="60">
        <f t="shared" si="102"/>
        <v>313.56299786481338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>
        <f>EXP(-LN(2)/35)*FQ91+(1-EXP(-LN(2)/35))/(LN(2)/35)*FM92*FN92*VLOOKUP('Données projet'!$B$16,Paramètres!$A$1:$I$89,3,0)*0.475*44/12</f>
        <v>0</v>
      </c>
      <c r="FR92" s="23">
        <f>EXP(-LN(2)/25)*FR91+(1-EXP(-LN(2)/25))/(LN(2)/25)*Calculateur!FM92*Calculateur!FO92*VLOOKUP('Données projet'!$B$16,Paramètres!$A$1:$I$89,3,0)*0.475*44/12</f>
        <v>0</v>
      </c>
      <c r="FS92" s="23">
        <f>EXP(-LN(2)/2)*FS91+(1-EXP(-LN(2)/2))/(LN(2)/2)*FM92*FP92*VLOOKUP('Données projet'!$B$16,Paramètres!$A$1:$I$89,3,0)*0.475*44/12</f>
        <v>0</v>
      </c>
      <c r="FT92" s="24">
        <f t="shared" si="78"/>
        <v>0</v>
      </c>
      <c r="FU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4.3589743589743648</v>
      </c>
      <c r="FZ92" s="13">
        <f>IF('Données projet'!$A$244&gt;35,FZ91+FY92-GH91,IF(A92&lt;'Données projet'!$A$244,$FW$205^A92,IF(A92='Données projet'!$A$244,'Données projet'!$B$244,FZ91+FY92-GH91)))</f>
        <v>337.94871794871801</v>
      </c>
      <c r="GA92" s="18">
        <f>FZ92*VLOOKUP('Données projet'!$B$17,Paramètres!$A$1:$I$89,3,0)*VLOOKUP('Données projet'!$B$17,Paramètres!$A$1:$I$89,5,0)</f>
        <v>226.69600000000005</v>
      </c>
      <c r="GB92" s="14">
        <f t="shared" si="103"/>
        <v>55.567678986325824</v>
      </c>
      <c r="GC92" s="22">
        <f t="shared" si="79"/>
        <v>491.60924090118425</v>
      </c>
      <c r="GD92" s="60">
        <f t="shared" si="80"/>
        <v>765.63188461270784</v>
      </c>
      <c r="GE92" s="60">
        <f ca="1">AVERAGE(OFFSET($GD$3,0,0,'Données projet'!$E$17+1,1))-AVERAGE(OFFSET($H$3,0,0,'Données projet'!$E$17+1,1))</f>
        <v>396.0878652679051</v>
      </c>
      <c r="GF92" s="60">
        <f t="shared" si="104"/>
        <v>327.26339199235406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>
        <f>EXP(-LN(2)/35)*GL91+(1-EXP(-LN(2)/35))/(LN(2)/35)*GH92*GI92*VLOOKUP('Données projet'!$B$17,Paramètres!$A$1:$I$89,3,0)*0.475*44/12</f>
        <v>0</v>
      </c>
      <c r="GM92" s="23">
        <f>EXP(-LN(2)/25)*GM91+(1-EXP(-LN(2)/25))/(LN(2)/25)*Calculateur!GH92*Calculateur!GJ92*VLOOKUP('Données projet'!$B$17,Paramètres!$A$1:$I$89,3,0)*0.475*44/12</f>
        <v>0</v>
      </c>
      <c r="GN92" s="23">
        <f>EXP(-LN(2)/2)*GN91+(1-EXP(-LN(2)/2))/(LN(2)/2)*GH92*GK92*VLOOKUP('Données projet'!$B$17,Paramètres!$A$1:$I$89,3,0)*0.475*44/12</f>
        <v>0</v>
      </c>
      <c r="GO92" s="23">
        <f t="shared" si="81"/>
        <v>0</v>
      </c>
      <c r="GP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-1.1368683772161603E-13</v>
      </c>
      <c r="GV92" s="18">
        <f>GU92*VLOOKUP('Données projet'!$B$18,Paramètres!$A$1:$I$89,3,0)*VLOOKUP('Données projet'!$B$18,Paramètres!$A$1:$I$89,5,0)</f>
        <v>-9.2222762759774927E-14</v>
      </c>
      <c r="GW92" s="14" t="e">
        <f t="shared" si="105"/>
        <v>#NUM!</v>
      </c>
      <c r="GX92" s="22" t="e">
        <f t="shared" si="82"/>
        <v>#NUM!</v>
      </c>
      <c r="GY92" s="60" t="e">
        <f t="shared" si="83"/>
        <v>#NUM!</v>
      </c>
      <c r="GZ92" s="60">
        <f ca="1">AVERAGE(OFFSET($GY$3,0,0,'Données projet'!$E$18+1,1))-AVERAGE(OFFSET($H$3,0,0,'Données projet'!$E$18+1,1))</f>
        <v>272.69564942740931</v>
      </c>
      <c r="HA92" s="60">
        <f t="shared" si="106"/>
        <v>316.57989180609252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>
        <f>EXP(-LN(2)/35)*HG91+(1-EXP(-LN(2)/35))/(LN(2)/35)*HC92*HD92*VLOOKUP('Données projet'!$B$18,Paramètres!$A$1:$I$89,3,0)*0.475*44/12</f>
        <v>0</v>
      </c>
      <c r="HH92" s="23">
        <f>EXP(-LN(2)/25)*HH91+(1-EXP(-LN(2)/25))/(LN(2)/25)*Calculateur!HC92*Calculateur!HE92*VLOOKUP('Données projet'!$B$18,Paramètres!$A$1:$I$89,3,0)*0.475*44/12</f>
        <v>0</v>
      </c>
      <c r="HI92" s="23">
        <f>EXP(-LN(2)/2)*HI91+(1-EXP(-LN(2)/2))/(LN(2)/2)*HC92*HF92*VLOOKUP('Données projet'!$B$18,Paramètres!$A$1:$I$89,3,0)*0.475*44/12</f>
        <v>0</v>
      </c>
      <c r="HJ92" s="24">
        <f t="shared" si="84"/>
        <v>0</v>
      </c>
    </row>
    <row r="93" spans="1:218" s="5" customFormat="1" x14ac:dyDescent="0.25">
      <c r="A93" s="11">
        <f t="shared" si="85"/>
        <v>90</v>
      </c>
      <c r="B93" s="75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8">
        <f t="shared" si="56"/>
        <v>183.33333333333334</v>
      </c>
      <c r="I93" s="7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386</v>
      </c>
      <c r="L93" s="13">
        <f>VLOOKUP(A93,'Données projet'!$A$35:$I$55,9,0)</f>
        <v>6.6</v>
      </c>
      <c r="M93" s="13">
        <f t="array" ref="M93">INDEX(L:L,MIN(IF(ISNUMBER(L93:L289),ROW(L93:L289),"")))</f>
        <v>6.6</v>
      </c>
      <c r="N93" s="14">
        <f>IF('Données projet'!$A$36&gt;35,N92+M93-V92,IF(A93&lt;'Données projet'!$A$36,$K$205^A93,IF(A93='Données projet'!$A$36,'Données projet'!$B$36,N92+M93-V92)))</f>
        <v>386.00000000000023</v>
      </c>
      <c r="O93" s="14">
        <f>N93*VLOOKUP('Données projet'!$B$9,Paramètres!$A$1:$I$89,3,0)*VLOOKUP('Données projet'!$B$9,Paramètres!$A$1:$I$89,5,0)</f>
        <v>349.25280000000021</v>
      </c>
      <c r="P93" s="14">
        <f t="shared" si="87"/>
        <v>81.408635866358992</v>
      </c>
      <c r="Q93" s="22">
        <f t="shared" si="54"/>
        <v>750.06866746724211</v>
      </c>
      <c r="R93" s="60">
        <f t="shared" si="55"/>
        <v>1024.4263084714698</v>
      </c>
      <c r="S93" s="60">
        <f ca="1">AVERAGE(OFFSET($R$3,0,0,'Données projet'!$E$9+1,1))-AVERAGE(OFFSET($H$3,0,0,'Données projet'!$E$9+1,1))</f>
        <v>570.08763950759544</v>
      </c>
      <c r="T93" s="60">
        <f t="shared" si="88"/>
        <v>297.32483725004136</v>
      </c>
      <c r="U93" s="16">
        <f>IF(ISNA(VLOOKUP(A93,'Données projet'!$A$35:$I$55,3,0)),0,VLOOKUP(A93,'Données projet'!$A$35:$I$55,3,0))</f>
        <v>7</v>
      </c>
      <c r="V93" s="16">
        <f>IF(ISNA(VLOOKUP(A93,'Données projet'!$A$35:$I$55,4,0)),0,VLOOKUP(A93,'Données projet'!$A$35:$I$55,4,0))</f>
        <v>84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-5.6843418860808015E-14</v>
      </c>
      <c r="AJ93" s="14">
        <f>AI93*VLOOKUP('Données projet'!$B$10,Paramètres!$A$1:$I$89,3,0)*VLOOKUP('Données projet'!$B$10,Paramètres!$A$1:$I$89,5,0)</f>
        <v>-4.5224624045658861E-14</v>
      </c>
      <c r="AK93" s="14" t="e">
        <f t="shared" si="89"/>
        <v>#NUM!</v>
      </c>
      <c r="AL93" s="22" t="e">
        <f t="shared" si="58"/>
        <v>#NUM!</v>
      </c>
      <c r="AM93" s="60" t="e">
        <f t="shared" si="59"/>
        <v>#NUM!</v>
      </c>
      <c r="AN93" s="60">
        <f ca="1">AVERAGE(OFFSET($AM$3,0,0,'Données projet'!$E$10+1,1))-AVERAGE(OFFSET($H$3,0,0,'Données projet'!$E$10+1,1))</f>
        <v>394.49874384716014</v>
      </c>
      <c r="AO93" s="60">
        <f t="shared" si="90"/>
        <v>423.72519584013378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3.4106051316484809E-13</v>
      </c>
      <c r="BE93" s="14">
        <f>BD93*VLOOKUP('Données projet'!$B$11,Paramètres!$A$1:$I$89,3,0)*VLOOKUP('Données projet'!$B$11,Paramètres!$A$1:$I$89,5,0)</f>
        <v>2.9795046430081134E-13</v>
      </c>
      <c r="BF93" s="14">
        <f t="shared" si="91"/>
        <v>3.9419014464513778E-12</v>
      </c>
      <c r="BG93" s="22">
        <f t="shared" si="61"/>
        <v>7.384408744560063E-12</v>
      </c>
      <c r="BH93" s="60">
        <f t="shared" si="62"/>
        <v>274.35764100423506</v>
      </c>
      <c r="BI93" s="60">
        <f ca="1">AVERAGE(OFFSET($BH$3,0,0,'Données projet'!$E$11+1,1))-AVERAGE(OFFSET($H$3,0,0,'Données projet'!$E$11+1,1))</f>
        <v>363.28611056308665</v>
      </c>
      <c r="BJ93" s="60">
        <f t="shared" si="92"/>
        <v>389.43647559455974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248.7179487179487</v>
      </c>
      <c r="BW93" s="13">
        <f>VLOOKUP(A93,'Données projet'!$A$113:$I$133,9,0)</f>
        <v>3.8461538461538454</v>
      </c>
      <c r="BX93" s="13">
        <f t="array" ref="BX93">INDEX(BW:BW,MIN(IF(ISNUMBER(BW93:BW289),ROW(BW93:BW289),"")))</f>
        <v>3.8461538461538454</v>
      </c>
      <c r="BY93" s="13">
        <f>IF('Données projet'!$A$114&gt;35,BY92+BX93-CG92,IF(A93&lt;'Données projet'!$A$114,$BV$205^A93,IF(A93='Données projet'!$A$114,'Données projet'!$B$114,BY92+BX93-CG92)))</f>
        <v>248.71794871794864</v>
      </c>
      <c r="BZ93" s="14">
        <f>BY93*VLOOKUP('Données projet'!$B$12,Paramètres!$A$1:$I$89,3,0)*VLOOKUP('Données projet'!$B$12,Paramètres!$A$1:$I$89,5,0)</f>
        <v>236.67999999999995</v>
      </c>
      <c r="CA93" s="14">
        <f t="shared" si="93"/>
        <v>57.724638232498961</v>
      </c>
      <c r="CB93" s="22">
        <f t="shared" si="64"/>
        <v>512.7547449216022</v>
      </c>
      <c r="CC93" s="60">
        <f t="shared" si="65"/>
        <v>787.11238592582981</v>
      </c>
      <c r="CD93" s="60">
        <f ca="1">AVERAGE(OFFSET($CC$3,0,0,'Données projet'!$E$12+1,1))-AVERAGE(OFFSET($H$3,0,0,'Données projet'!$E$12+1,1))</f>
        <v>441.15969139782891</v>
      </c>
      <c r="CE93" s="60">
        <f t="shared" si="94"/>
        <v>315.06466790224783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-5.6843418860808015E-14</v>
      </c>
      <c r="CU93" s="18">
        <f>CT93*VLOOKUP('Données projet'!$B$13,Paramètres!$A$1:$I$89,3,0)*VLOOKUP('Données projet'!$B$13,Paramètres!$A$1:$I$89,5,0)</f>
        <v>-4.1677594708744434E-14</v>
      </c>
      <c r="CV93" s="14" t="e">
        <f t="shared" si="95"/>
        <v>#NUM!</v>
      </c>
      <c r="CW93" s="22" t="e">
        <f t="shared" si="67"/>
        <v>#NUM!</v>
      </c>
      <c r="CX93" s="60" t="e">
        <f t="shared" si="68"/>
        <v>#NUM!</v>
      </c>
      <c r="CY93" s="60">
        <f ca="1">AVERAGE(OFFSET($CX$3,0,0,'Données projet'!$E$13+1,1))-AVERAGE(OFFSET($H$3,0,0,'Données projet'!$E$13+1,1))</f>
        <v>368.35775920359396</v>
      </c>
      <c r="CZ93" s="60">
        <f t="shared" si="96"/>
        <v>395.5218438652638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1.1368683772161603E-13</v>
      </c>
      <c r="DP93" s="18">
        <f>DO93*VLOOKUP('Données projet'!$B$14,Paramètres!$A$1:$I$89,3,0)*VLOOKUP('Données projet'!$B$14,Paramètres!$A$1:$I$89,5,0)</f>
        <v>8.8675733422860506E-14</v>
      </c>
      <c r="DQ93" s="14">
        <f t="shared" si="97"/>
        <v>1.3509285393066301E-12</v>
      </c>
      <c r="DR93" s="22">
        <f t="shared" si="70"/>
        <v>2.5073107750038623E-12</v>
      </c>
      <c r="DS93" s="60">
        <f t="shared" si="71"/>
        <v>274.35764100423017</v>
      </c>
      <c r="DT93" s="60">
        <f ca="1">AVERAGE(OFFSET($DS$3,0,0,'Données projet'!$E$14+1,1))-AVERAGE(OFFSET($H$3,0,0,'Données projet'!$E$14+1,1))</f>
        <v>312.59632808777332</v>
      </c>
      <c r="DU93" s="60">
        <f t="shared" si="98"/>
        <v>302.59481222418219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0</v>
      </c>
      <c r="EE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>
        <f>VLOOKUP(A93,'Données projet'!$A$191:$I$211,2,0)</f>
        <v>489</v>
      </c>
      <c r="EH93" s="13">
        <f>VLOOKUP(A93,'Données projet'!$A$191:$I$211,9,0)</f>
        <v>11.5</v>
      </c>
      <c r="EI93" s="13">
        <f t="array" ref="EI93">INDEX(EH:EH,MIN(IF(ISNUMBER(EH93:EH289),ROW(EH93:EH289),"")))</f>
        <v>11.5</v>
      </c>
      <c r="EJ93" s="13">
        <f>IF('Données projet'!$A$192&gt;35,EJ92+EI93-ER92,IF(A93&lt;'Données projet'!$A$192,$EG$205^A93,IF(A93='Données projet'!$A$192,'Données projet'!$B$192,EJ92+EI93-ER92)))</f>
        <v>488.99999999999966</v>
      </c>
      <c r="EK93" s="18">
        <f>EJ93*VLOOKUP('Données projet'!$B$15,Paramètres!$A$1:$I$89,3,0)*VLOOKUP('Données projet'!$B$15,Paramètres!$A$1:$I$89,5,0)</f>
        <v>419.56199999999973</v>
      </c>
      <c r="EL93" s="14">
        <f t="shared" si="99"/>
        <v>95.731472773408413</v>
      </c>
      <c r="EM93" s="22">
        <f t="shared" si="73"/>
        <v>897.46946508035228</v>
      </c>
      <c r="EN93" s="60">
        <f t="shared" si="74"/>
        <v>1171.82710608458</v>
      </c>
      <c r="EO93" s="60">
        <f ca="1">AVERAGE(OFFSET($EN$3,0,0,'Données projet'!$E$15+1,1))-AVERAGE(OFFSET($H$3,0,0,'Données projet'!$E$15+1,1))</f>
        <v>478.11504516179713</v>
      </c>
      <c r="EP93" s="60">
        <f t="shared" si="100"/>
        <v>249.93713224442419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0</v>
      </c>
      <c r="EW93" s="23">
        <f>EXP(-LN(2)/25)*EW92+(1-EXP(-LN(2)/25))/(LN(2)/25)*Calculateur!ER93*Calculateur!ET93*VLOOKUP('Données projet'!$B$15,Paramètres!$A$1:$I$89,3,0)*0.475*44/12</f>
        <v>0</v>
      </c>
      <c r="EX93" s="23">
        <f>EXP(-LN(2)/2)*EX92+(1-EXP(-LN(2)/2))/(LN(2)/2)*ER93*EU93*VLOOKUP('Données projet'!$B$15,Paramètres!$A$1:$I$89,3,0)*0.475*44/12</f>
        <v>0</v>
      </c>
      <c r="EY93" s="24">
        <f t="shared" si="75"/>
        <v>0</v>
      </c>
      <c r="EZ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>
        <f>VLOOKUP(A93,'Données projet'!$A$217:$I$237,2,0)</f>
        <v>386</v>
      </c>
      <c r="FC93" s="13">
        <f>VLOOKUP(A93,'Données projet'!$A$217:$I$237,9,0)</f>
        <v>6.6</v>
      </c>
      <c r="FD93" s="13">
        <f t="array" ref="FD93">INDEX(FC:FC,MIN(IF(ISNUMBER(FC93:FC289),ROW(FC93:FC289),"")))</f>
        <v>6.6</v>
      </c>
      <c r="FE93" s="13">
        <f>IF('Données projet'!$A$218&gt;35,FE92+FD93-FM92,IF(A93&lt;'Données projet'!$A$218,$FB$205^A93,IF(A93='Données projet'!$A$218,'Données projet'!$B$218,FE92+FD93-FM92)))</f>
        <v>386.00000000000023</v>
      </c>
      <c r="FF93" s="18">
        <f>FE93*VLOOKUP('Données projet'!$B$16,Paramètres!$A$1:$I$89,3,0)*VLOOKUP('Données projet'!$B$16,Paramètres!$A$1:$I$89,5,0)</f>
        <v>373.33920000000023</v>
      </c>
      <c r="FG93" s="14">
        <f t="shared" si="101"/>
        <v>86.350090928308958</v>
      </c>
      <c r="FH93" s="22">
        <f t="shared" si="76"/>
        <v>800.62551503347186</v>
      </c>
      <c r="FI93" s="60">
        <f t="shared" si="77"/>
        <v>1074.9831560376995</v>
      </c>
      <c r="FJ93" s="60">
        <f ca="1">AVERAGE(OFFSET($FI$3,0,0,'Données projet'!$E$16+1,1))-AVERAGE(OFFSET($H$3,0,0,'Données projet'!$E$16+1,1))</f>
        <v>603.52431522262032</v>
      </c>
      <c r="FK93" s="60">
        <f t="shared" si="102"/>
        <v>313.56299786481338</v>
      </c>
      <c r="FL93" s="16">
        <f>IF(ISNA(VLOOKUP(A93,'Données projet'!$A$217:$I$237,3,0)),0,VLOOKUP(A93,'Données projet'!$A$217:$I$237,3,0))</f>
        <v>7</v>
      </c>
      <c r="FM93" s="16">
        <f>IF(ISNA(VLOOKUP(A93,'Données projet'!$A$217:$I$237,4,0)),0,VLOOKUP(A93,'Données projet'!$A$217:$I$237,4,0))</f>
        <v>84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>
        <f>EXP(-LN(2)/35)*FQ92+(1-EXP(-LN(2)/35))/(LN(2)/35)*FM93*FN93*VLOOKUP('Données projet'!$B$16,Paramètres!$A$1:$I$89,3,0)*0.475*44/12</f>
        <v>0</v>
      </c>
      <c r="FR93" s="23">
        <f>EXP(-LN(2)/25)*FR92+(1-EXP(-LN(2)/25))/(LN(2)/25)*Calculateur!FM93*Calculateur!FO93*VLOOKUP('Données projet'!$B$16,Paramètres!$A$1:$I$89,3,0)*0.475*44/12</f>
        <v>0</v>
      </c>
      <c r="FS93" s="23">
        <f>EXP(-LN(2)/2)*FS92+(1-EXP(-LN(2)/2))/(LN(2)/2)*FM93*FP93*VLOOKUP('Données projet'!$B$16,Paramètres!$A$1:$I$89,3,0)*0.475*44/12</f>
        <v>0</v>
      </c>
      <c r="FT93" s="24">
        <f t="shared" si="78"/>
        <v>0</v>
      </c>
      <c r="FU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>
        <f>VLOOKUP(A93,'Données projet'!$A$243:$I$263,2,0)</f>
        <v>342.30769230769232</v>
      </c>
      <c r="FX93" s="13">
        <f>VLOOKUP(A93,'Données projet'!$A$243:$I$263,9,0)</f>
        <v>4.3589743589743648</v>
      </c>
      <c r="FY93" s="13">
        <f t="array" ref="FY93">INDEX(FX:FX,MIN(IF(ISNUMBER(FX93:FX289),ROW(FX93:FX289),"")))</f>
        <v>4.3589743589743648</v>
      </c>
      <c r="FZ93" s="13">
        <f>IF('Données projet'!$A$244&gt;35,FZ92+FY93-GH92,IF(A93&lt;'Données projet'!$A$244,$FW$205^A93,IF(A93='Données projet'!$A$244,'Données projet'!$B$244,FZ92+FY93-GH92)))</f>
        <v>342.30769230769238</v>
      </c>
      <c r="GA93" s="18">
        <f>FZ93*VLOOKUP('Données projet'!$B$17,Paramètres!$A$1:$I$89,3,0)*VLOOKUP('Données projet'!$B$17,Paramètres!$A$1:$I$89,5,0)</f>
        <v>229.62000000000003</v>
      </c>
      <c r="GB93" s="14">
        <f t="shared" si="103"/>
        <v>56.200508741188202</v>
      </c>
      <c r="GC93" s="22">
        <f t="shared" si="79"/>
        <v>497.8040527242361</v>
      </c>
      <c r="GD93" s="60">
        <f t="shared" si="80"/>
        <v>772.16169372846377</v>
      </c>
      <c r="GE93" s="60">
        <f ca="1">AVERAGE(OFFSET($GD$3,0,0,'Données projet'!$E$17+1,1))-AVERAGE(OFFSET($H$3,0,0,'Données projet'!$E$17+1,1))</f>
        <v>396.0878652679051</v>
      </c>
      <c r="GF93" s="60">
        <f t="shared" si="104"/>
        <v>327.26339199235406</v>
      </c>
      <c r="GG93" s="16">
        <f>IF(ISNA(VLOOKUP(A93,'Données projet'!$A$243:$I$263,3,0)),0,VLOOKUP(A93,'Données projet'!$A$243:$I$263,3,0))</f>
        <v>8</v>
      </c>
      <c r="GH93" s="16">
        <f>IF(ISNA(VLOOKUP(A93,'Données projet'!$A$243:$I$263,4,0)),0,VLOOKUP(A93,'Données projet'!$A$243:$I$263,4,0))</f>
        <v>27.564102564102562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>
        <f>EXP(-LN(2)/35)*GL92+(1-EXP(-LN(2)/35))/(LN(2)/35)*GH93*GI93*VLOOKUP('Données projet'!$B$17,Paramètres!$A$1:$I$89,3,0)*0.475*44/12</f>
        <v>0</v>
      </c>
      <c r="GM93" s="23">
        <f>EXP(-LN(2)/25)*GM92+(1-EXP(-LN(2)/25))/(LN(2)/25)*Calculateur!GH93*Calculateur!GJ93*VLOOKUP('Données projet'!$B$17,Paramètres!$A$1:$I$89,3,0)*0.475*44/12</f>
        <v>0</v>
      </c>
      <c r="GN93" s="23">
        <f>EXP(-LN(2)/2)*GN92+(1-EXP(-LN(2)/2))/(LN(2)/2)*GH93*GK93*VLOOKUP('Données projet'!$B$17,Paramètres!$A$1:$I$89,3,0)*0.475*44/12</f>
        <v>0</v>
      </c>
      <c r="GO93" s="23">
        <f t="shared" si="81"/>
        <v>0</v>
      </c>
      <c r="GP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-1.1368683772161603E-13</v>
      </c>
      <c r="GV93" s="18">
        <f>GU93*VLOOKUP('Données projet'!$B$18,Paramètres!$A$1:$I$89,3,0)*VLOOKUP('Données projet'!$B$18,Paramètres!$A$1:$I$89,5,0)</f>
        <v>-9.2222762759774927E-14</v>
      </c>
      <c r="GW93" s="14" t="e">
        <f t="shared" si="105"/>
        <v>#NUM!</v>
      </c>
      <c r="GX93" s="22" t="e">
        <f t="shared" si="82"/>
        <v>#NUM!</v>
      </c>
      <c r="GY93" s="60" t="e">
        <f t="shared" si="83"/>
        <v>#NUM!</v>
      </c>
      <c r="GZ93" s="60">
        <f ca="1">AVERAGE(OFFSET($GY$3,0,0,'Données projet'!$E$18+1,1))-AVERAGE(OFFSET($H$3,0,0,'Données projet'!$E$18+1,1))</f>
        <v>272.69564942740931</v>
      </c>
      <c r="HA93" s="60">
        <f t="shared" si="106"/>
        <v>316.57989180609252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>
        <f>EXP(-LN(2)/35)*HG92+(1-EXP(-LN(2)/35))/(LN(2)/35)*HC93*HD93*VLOOKUP('Données projet'!$B$18,Paramètres!$A$1:$I$89,3,0)*0.475*44/12</f>
        <v>0</v>
      </c>
      <c r="HH93" s="23">
        <f>EXP(-LN(2)/25)*HH92+(1-EXP(-LN(2)/25))/(LN(2)/25)*Calculateur!HC93*Calculateur!HE93*VLOOKUP('Données projet'!$B$18,Paramètres!$A$1:$I$89,3,0)*0.475*44/12</f>
        <v>0</v>
      </c>
      <c r="HI93" s="23">
        <f>EXP(-LN(2)/2)*HI92+(1-EXP(-LN(2)/2))/(LN(2)/2)*HC93*HF93*VLOOKUP('Données projet'!$B$18,Paramètres!$A$1:$I$89,3,0)*0.475*44/12</f>
        <v>0</v>
      </c>
      <c r="HJ93" s="24">
        <f t="shared" si="84"/>
        <v>0</v>
      </c>
    </row>
    <row r="94" spans="1:218" s="5" customFormat="1" x14ac:dyDescent="0.25">
      <c r="A94" s="11">
        <f t="shared" si="85"/>
        <v>91</v>
      </c>
      <c r="B94" s="75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8">
        <f t="shared" si="56"/>
        <v>183.33333333333334</v>
      </c>
      <c r="I94" s="7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5.9</v>
      </c>
      <c r="N94" s="14">
        <f>IF('Données projet'!$A$36&gt;35,N93+M94-V93,IF(A94&lt;'Données projet'!$A$36,$K$205^A94,IF(A94='Données projet'!$A$36,'Données projet'!$B$36,N93+M94-V93)))</f>
        <v>307.9000000000002</v>
      </c>
      <c r="O94" s="14">
        <f>N94*VLOOKUP('Données projet'!$B$9,Paramètres!$A$1:$I$89,3,0)*VLOOKUP('Données projet'!$B$9,Paramètres!$A$1:$I$89,5,0)</f>
        <v>278.58792000000017</v>
      </c>
      <c r="P94" s="14">
        <f t="shared" si="87"/>
        <v>66.668508032294284</v>
      </c>
      <c r="Q94" s="22">
        <f t="shared" si="54"/>
        <v>601.32161215624615</v>
      </c>
      <c r="R94" s="60">
        <f t="shared" si="55"/>
        <v>876.00843899909114</v>
      </c>
      <c r="S94" s="60">
        <f ca="1">AVERAGE(OFFSET($R$3,0,0,'Données projet'!$E$9+1,1))-AVERAGE(OFFSET($H$3,0,0,'Données projet'!$E$9+1,1))</f>
        <v>570.08763950759544</v>
      </c>
      <c r="T94" s="60">
        <f t="shared" si="88"/>
        <v>297.32483725004136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-5.6843418860808015E-14</v>
      </c>
      <c r="AJ94" s="14">
        <f>AI94*VLOOKUP('Données projet'!$B$10,Paramètres!$A$1:$I$89,3,0)*VLOOKUP('Données projet'!$B$10,Paramètres!$A$1:$I$89,5,0)</f>
        <v>-4.5224624045658861E-14</v>
      </c>
      <c r="AK94" s="14" t="e">
        <f t="shared" si="89"/>
        <v>#NUM!</v>
      </c>
      <c r="AL94" s="22" t="e">
        <f t="shared" si="58"/>
        <v>#NUM!</v>
      </c>
      <c r="AM94" s="60" t="e">
        <f t="shared" si="59"/>
        <v>#NUM!</v>
      </c>
      <c r="AN94" s="60">
        <f ca="1">AVERAGE(OFFSET($AM$3,0,0,'Données projet'!$E$10+1,1))-AVERAGE(OFFSET($H$3,0,0,'Données projet'!$E$10+1,1))</f>
        <v>394.49874384716014</v>
      </c>
      <c r="AO94" s="60">
        <f t="shared" si="90"/>
        <v>423.72519584013378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3.4106051316484809E-13</v>
      </c>
      <c r="BE94" s="14">
        <f>BD94*VLOOKUP('Données projet'!$B$11,Paramètres!$A$1:$I$89,3,0)*VLOOKUP('Données projet'!$B$11,Paramètres!$A$1:$I$89,5,0)</f>
        <v>2.9795046430081134E-13</v>
      </c>
      <c r="BF94" s="14">
        <f t="shared" si="91"/>
        <v>3.9419014464513778E-12</v>
      </c>
      <c r="BG94" s="22">
        <f t="shared" si="61"/>
        <v>7.384408744560063E-12</v>
      </c>
      <c r="BH94" s="60">
        <f t="shared" si="62"/>
        <v>274.68682684285244</v>
      </c>
      <c r="BI94" s="60">
        <f ca="1">AVERAGE(OFFSET($BH$3,0,0,'Données projet'!$E$11+1,1))-AVERAGE(OFFSET($H$3,0,0,'Données projet'!$E$11+1,1))</f>
        <v>363.28611056308665</v>
      </c>
      <c r="BJ94" s="60">
        <f t="shared" si="92"/>
        <v>389.43647559455974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3.8461538461538511</v>
      </c>
      <c r="BY94" s="13">
        <f>IF('Données projet'!$A$114&gt;35,BY93+BX94-CG93,IF(A94&lt;'Données projet'!$A$114,$BV$205^A94,IF(A94='Données projet'!$A$114,'Données projet'!$B$114,BY93+BX94-CG93)))</f>
        <v>252.56410256410248</v>
      </c>
      <c r="BZ94" s="14">
        <f>BY94*VLOOKUP('Données projet'!$B$12,Paramètres!$A$1:$I$89,3,0)*VLOOKUP('Données projet'!$B$12,Paramètres!$A$1:$I$89,5,0)</f>
        <v>240.33999999999992</v>
      </c>
      <c r="CA94" s="14">
        <f t="shared" si="93"/>
        <v>58.512677110228594</v>
      </c>
      <c r="CB94" s="22">
        <f t="shared" si="64"/>
        <v>520.50174596698128</v>
      </c>
      <c r="CC94" s="60">
        <f t="shared" si="65"/>
        <v>795.18857280982638</v>
      </c>
      <c r="CD94" s="60">
        <f ca="1">AVERAGE(OFFSET($CC$3,0,0,'Données projet'!$E$12+1,1))-AVERAGE(OFFSET($H$3,0,0,'Données projet'!$E$12+1,1))</f>
        <v>441.15969139782891</v>
      </c>
      <c r="CE94" s="60">
        <f t="shared" si="94"/>
        <v>315.06466790224783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-5.6843418860808015E-14</v>
      </c>
      <c r="CU94" s="18">
        <f>CT94*VLOOKUP('Données projet'!$B$13,Paramètres!$A$1:$I$89,3,0)*VLOOKUP('Données projet'!$B$13,Paramètres!$A$1:$I$89,5,0)</f>
        <v>-4.1677594708744434E-14</v>
      </c>
      <c r="CV94" s="14" t="e">
        <f t="shared" si="95"/>
        <v>#NUM!</v>
      </c>
      <c r="CW94" s="22" t="e">
        <f t="shared" si="67"/>
        <v>#NUM!</v>
      </c>
      <c r="CX94" s="60" t="e">
        <f t="shared" si="68"/>
        <v>#NUM!</v>
      </c>
      <c r="CY94" s="60">
        <f ca="1">AVERAGE(OFFSET($CX$3,0,0,'Données projet'!$E$13+1,1))-AVERAGE(OFFSET($H$3,0,0,'Données projet'!$E$13+1,1))</f>
        <v>368.35775920359396</v>
      </c>
      <c r="CZ94" s="60">
        <f t="shared" si="96"/>
        <v>395.5218438652638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1.1368683772161603E-13</v>
      </c>
      <c r="DP94" s="18">
        <f>DO94*VLOOKUP('Données projet'!$B$14,Paramètres!$A$1:$I$89,3,0)*VLOOKUP('Données projet'!$B$14,Paramètres!$A$1:$I$89,5,0)</f>
        <v>8.8675733422860506E-14</v>
      </c>
      <c r="DQ94" s="14">
        <f t="shared" si="97"/>
        <v>1.3509285393066301E-12</v>
      </c>
      <c r="DR94" s="22">
        <f t="shared" si="70"/>
        <v>2.5073107750038623E-12</v>
      </c>
      <c r="DS94" s="60">
        <f t="shared" si="71"/>
        <v>274.68682684284755</v>
      </c>
      <c r="DT94" s="60">
        <f ca="1">AVERAGE(OFFSET($DS$3,0,0,'Données projet'!$E$14+1,1))-AVERAGE(OFFSET($H$3,0,0,'Données projet'!$E$14+1,1))</f>
        <v>312.59632808777332</v>
      </c>
      <c r="DU94" s="60">
        <f t="shared" si="98"/>
        <v>302.59481222418219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0</v>
      </c>
      <c r="EE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11.333333333333334</v>
      </c>
      <c r="EJ94" s="13">
        <f>IF('Données projet'!$A$192&gt;35,EJ93+EI94-ER93,IF(A94&lt;'Données projet'!$A$192,$EG$205^A94,IF(A94='Données projet'!$A$192,'Données projet'!$B$192,EJ93+EI94-ER93)))</f>
        <v>500.33333333333297</v>
      </c>
      <c r="EK94" s="18">
        <f>EJ94*VLOOKUP('Données projet'!$B$15,Paramètres!$A$1:$I$89,3,0)*VLOOKUP('Données projet'!$B$15,Paramètres!$A$1:$I$89,5,0)</f>
        <v>429.28599999999977</v>
      </c>
      <c r="EL94" s="14">
        <f t="shared" si="99"/>
        <v>97.689316592289586</v>
      </c>
      <c r="EM94" s="22">
        <f t="shared" si="73"/>
        <v>917.81534306490391</v>
      </c>
      <c r="EN94" s="60">
        <f t="shared" si="74"/>
        <v>1192.502169907749</v>
      </c>
      <c r="EO94" s="60">
        <f ca="1">AVERAGE(OFFSET($EN$3,0,0,'Données projet'!$E$15+1,1))-AVERAGE(OFFSET($H$3,0,0,'Données projet'!$E$15+1,1))</f>
        <v>478.11504516179713</v>
      </c>
      <c r="EP94" s="60">
        <f t="shared" si="100"/>
        <v>249.93713224442419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0</v>
      </c>
      <c r="EW94" s="23">
        <f>EXP(-LN(2)/25)*EW93+(1-EXP(-LN(2)/25))/(LN(2)/25)*Calculateur!ER94*Calculateur!ET94*VLOOKUP('Données projet'!$B$15,Paramètres!$A$1:$I$89,3,0)*0.475*44/12</f>
        <v>0</v>
      </c>
      <c r="EX94" s="23">
        <f>EXP(-LN(2)/2)*EX93+(1-EXP(-LN(2)/2))/(LN(2)/2)*ER94*EU94*VLOOKUP('Données projet'!$B$15,Paramètres!$A$1:$I$89,3,0)*0.475*44/12</f>
        <v>0</v>
      </c>
      <c r="EY94" s="24">
        <f t="shared" si="75"/>
        <v>0</v>
      </c>
      <c r="EZ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5.9</v>
      </c>
      <c r="FE94" s="13">
        <f>IF('Données projet'!$A$218&gt;35,FE93+FD94-FM93,IF(A94&lt;'Données projet'!$A$218,$FB$205^A94,IF(A94='Données projet'!$A$218,'Données projet'!$B$218,FE93+FD94-FM93)))</f>
        <v>307.9000000000002</v>
      </c>
      <c r="FF94" s="18">
        <f>FE94*VLOOKUP('Données projet'!$B$16,Paramètres!$A$1:$I$89,3,0)*VLOOKUP('Données projet'!$B$16,Paramètres!$A$1:$I$89,5,0)</f>
        <v>297.80088000000023</v>
      </c>
      <c r="FG94" s="14">
        <f t="shared" si="101"/>
        <v>70.715246231293804</v>
      </c>
      <c r="FH94" s="22">
        <f t="shared" si="76"/>
        <v>641.83225318617042</v>
      </c>
      <c r="FI94" s="60">
        <f t="shared" si="77"/>
        <v>916.51908002901541</v>
      </c>
      <c r="FJ94" s="60">
        <f ca="1">AVERAGE(OFFSET($FI$3,0,0,'Données projet'!$E$16+1,1))-AVERAGE(OFFSET($H$3,0,0,'Données projet'!$E$16+1,1))</f>
        <v>603.52431522262032</v>
      </c>
      <c r="FK94" s="60">
        <f t="shared" si="102"/>
        <v>313.56299786481338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>
        <f>EXP(-LN(2)/35)*FQ93+(1-EXP(-LN(2)/35))/(LN(2)/35)*FM94*FN94*VLOOKUP('Données projet'!$B$16,Paramètres!$A$1:$I$89,3,0)*0.475*44/12</f>
        <v>0</v>
      </c>
      <c r="FR94" s="23">
        <f>EXP(-LN(2)/25)*FR93+(1-EXP(-LN(2)/25))/(LN(2)/25)*Calculateur!FM94*Calculateur!FO94*VLOOKUP('Données projet'!$B$16,Paramètres!$A$1:$I$89,3,0)*0.475*44/12</f>
        <v>0</v>
      </c>
      <c r="FS94" s="23">
        <f>EXP(-LN(2)/2)*FS93+(1-EXP(-LN(2)/2))/(LN(2)/2)*FM94*FP94*VLOOKUP('Données projet'!$B$16,Paramètres!$A$1:$I$89,3,0)*0.475*44/12</f>
        <v>0</v>
      </c>
      <c r="FT94" s="24">
        <f t="shared" si="78"/>
        <v>0</v>
      </c>
      <c r="FU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4.102564102564088</v>
      </c>
      <c r="FZ94" s="13">
        <f>IF('Données projet'!$A$244&gt;35,FZ93+FY94-GH93,IF(A94&lt;'Données projet'!$A$244,$FW$205^A94,IF(A94='Données projet'!$A$244,'Données projet'!$B$244,FZ93+FY94-GH93)))</f>
        <v>318.84615384615392</v>
      </c>
      <c r="GA94" s="18">
        <f>FZ94*VLOOKUP('Données projet'!$B$17,Paramètres!$A$1:$I$89,3,0)*VLOOKUP('Données projet'!$B$17,Paramètres!$A$1:$I$89,5,0)</f>
        <v>213.88200000000003</v>
      </c>
      <c r="GB94" s="14">
        <f t="shared" si="103"/>
        <v>52.782993910626054</v>
      </c>
      <c r="GC94" s="22">
        <f t="shared" si="79"/>
        <v>464.44153106100708</v>
      </c>
      <c r="GD94" s="60">
        <f t="shared" si="80"/>
        <v>739.12835790385213</v>
      </c>
      <c r="GE94" s="60">
        <f ca="1">AVERAGE(OFFSET($GD$3,0,0,'Données projet'!$E$17+1,1))-AVERAGE(OFFSET($H$3,0,0,'Données projet'!$E$17+1,1))</f>
        <v>396.0878652679051</v>
      </c>
      <c r="GF94" s="60">
        <f t="shared" si="104"/>
        <v>327.26339199235406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>
        <f>EXP(-LN(2)/35)*GL93+(1-EXP(-LN(2)/35))/(LN(2)/35)*GH94*GI94*VLOOKUP('Données projet'!$B$17,Paramètres!$A$1:$I$89,3,0)*0.475*44/12</f>
        <v>0</v>
      </c>
      <c r="GM94" s="23">
        <f>EXP(-LN(2)/25)*GM93+(1-EXP(-LN(2)/25))/(LN(2)/25)*Calculateur!GH94*Calculateur!GJ94*VLOOKUP('Données projet'!$B$17,Paramètres!$A$1:$I$89,3,0)*0.475*44/12</f>
        <v>0</v>
      </c>
      <c r="GN94" s="23">
        <f>EXP(-LN(2)/2)*GN93+(1-EXP(-LN(2)/2))/(LN(2)/2)*GH94*GK94*VLOOKUP('Données projet'!$B$17,Paramètres!$A$1:$I$89,3,0)*0.475*44/12</f>
        <v>0</v>
      </c>
      <c r="GO94" s="23">
        <f t="shared" si="81"/>
        <v>0</v>
      </c>
      <c r="GP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-1.1368683772161603E-13</v>
      </c>
      <c r="GV94" s="18">
        <f>GU94*VLOOKUP('Données projet'!$B$18,Paramètres!$A$1:$I$89,3,0)*VLOOKUP('Données projet'!$B$18,Paramètres!$A$1:$I$89,5,0)</f>
        <v>-9.2222762759774927E-14</v>
      </c>
      <c r="GW94" s="14" t="e">
        <f t="shared" si="105"/>
        <v>#NUM!</v>
      </c>
      <c r="GX94" s="22" t="e">
        <f t="shared" si="82"/>
        <v>#NUM!</v>
      </c>
      <c r="GY94" s="60" t="e">
        <f t="shared" si="83"/>
        <v>#NUM!</v>
      </c>
      <c r="GZ94" s="60">
        <f ca="1">AVERAGE(OFFSET($GY$3,0,0,'Données projet'!$E$18+1,1))-AVERAGE(OFFSET($H$3,0,0,'Données projet'!$E$18+1,1))</f>
        <v>272.69564942740931</v>
      </c>
      <c r="HA94" s="60">
        <f t="shared" si="106"/>
        <v>316.57989180609252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>
        <f>EXP(-LN(2)/35)*HG93+(1-EXP(-LN(2)/35))/(LN(2)/35)*HC94*HD94*VLOOKUP('Données projet'!$B$18,Paramètres!$A$1:$I$89,3,0)*0.475*44/12</f>
        <v>0</v>
      </c>
      <c r="HH94" s="23">
        <f>EXP(-LN(2)/25)*HH93+(1-EXP(-LN(2)/25))/(LN(2)/25)*Calculateur!HC94*Calculateur!HE94*VLOOKUP('Données projet'!$B$18,Paramètres!$A$1:$I$89,3,0)*0.475*44/12</f>
        <v>0</v>
      </c>
      <c r="HI94" s="23">
        <f>EXP(-LN(2)/2)*HI93+(1-EXP(-LN(2)/2))/(LN(2)/2)*HC94*HF94*VLOOKUP('Données projet'!$B$18,Paramètres!$A$1:$I$89,3,0)*0.475*44/12</f>
        <v>0</v>
      </c>
      <c r="HJ94" s="24">
        <f t="shared" si="84"/>
        <v>0</v>
      </c>
    </row>
    <row r="95" spans="1:218" s="5" customFormat="1" x14ac:dyDescent="0.25">
      <c r="A95" s="11">
        <f t="shared" si="85"/>
        <v>92</v>
      </c>
      <c r="B95" s="75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8">
        <f t="shared" si="56"/>
        <v>183.33333333333334</v>
      </c>
      <c r="I95" s="7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5.9</v>
      </c>
      <c r="N95" s="14">
        <f>IF('Données projet'!$A$36&gt;35,N94+M95-V94,IF(A95&lt;'Données projet'!$A$36,$K$205^A95,IF(A95='Données projet'!$A$36,'Données projet'!$B$36,N94+M95-V94)))</f>
        <v>313.80000000000018</v>
      </c>
      <c r="O95" s="14">
        <f>N95*VLOOKUP('Données projet'!$B$9,Paramètres!$A$1:$I$89,3,0)*VLOOKUP('Données projet'!$B$9,Paramètres!$A$1:$I$89,5,0)</f>
        <v>283.92624000000018</v>
      </c>
      <c r="P95" s="14">
        <f t="shared" si="87"/>
        <v>67.796062628528361</v>
      </c>
      <c r="Q95" s="22">
        <f t="shared" si="54"/>
        <v>612.58301041135394</v>
      </c>
      <c r="R95" s="60">
        <f t="shared" si="55"/>
        <v>887.5933124544656</v>
      </c>
      <c r="S95" s="60">
        <f ca="1">AVERAGE(OFFSET($R$3,0,0,'Données projet'!$E$9+1,1))-AVERAGE(OFFSET($H$3,0,0,'Données projet'!$E$9+1,1))</f>
        <v>570.08763950759544</v>
      </c>
      <c r="T95" s="60">
        <f t="shared" si="88"/>
        <v>297.32483725004136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-5.6843418860808015E-14</v>
      </c>
      <c r="AJ95" s="14">
        <f>AI95*VLOOKUP('Données projet'!$B$10,Paramètres!$A$1:$I$89,3,0)*VLOOKUP('Données projet'!$B$10,Paramètres!$A$1:$I$89,5,0)</f>
        <v>-4.5224624045658861E-14</v>
      </c>
      <c r="AK95" s="14" t="e">
        <f t="shared" si="89"/>
        <v>#NUM!</v>
      </c>
      <c r="AL95" s="22" t="e">
        <f t="shared" si="58"/>
        <v>#NUM!</v>
      </c>
      <c r="AM95" s="60" t="e">
        <f t="shared" si="59"/>
        <v>#NUM!</v>
      </c>
      <c r="AN95" s="60">
        <f ca="1">AVERAGE(OFFSET($AM$3,0,0,'Données projet'!$E$10+1,1))-AVERAGE(OFFSET($H$3,0,0,'Données projet'!$E$10+1,1))</f>
        <v>394.49874384716014</v>
      </c>
      <c r="AO95" s="60">
        <f t="shared" si="90"/>
        <v>423.72519584013378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3.4106051316484809E-13</v>
      </c>
      <c r="BE95" s="14">
        <f>BD95*VLOOKUP('Données projet'!$B$11,Paramètres!$A$1:$I$89,3,0)*VLOOKUP('Données projet'!$B$11,Paramètres!$A$1:$I$89,5,0)</f>
        <v>2.9795046430081134E-13</v>
      </c>
      <c r="BF95" s="14">
        <f t="shared" si="91"/>
        <v>3.9419014464513778E-12</v>
      </c>
      <c r="BG95" s="22">
        <f t="shared" si="61"/>
        <v>7.384408744560063E-12</v>
      </c>
      <c r="BH95" s="60">
        <f t="shared" si="62"/>
        <v>275.01030204311911</v>
      </c>
      <c r="BI95" s="60">
        <f ca="1">AVERAGE(OFFSET($BH$3,0,0,'Données projet'!$E$11+1,1))-AVERAGE(OFFSET($H$3,0,0,'Données projet'!$E$11+1,1))</f>
        <v>363.28611056308665</v>
      </c>
      <c r="BJ95" s="60">
        <f t="shared" si="92"/>
        <v>389.43647559455974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3.8461538461538511</v>
      </c>
      <c r="BY95" s="13">
        <f>IF('Données projet'!$A$114&gt;35,BY94+BX95-CG94,IF(A95&lt;'Données projet'!$A$114,$BV$205^A95,IF(A95='Données projet'!$A$114,'Données projet'!$B$114,BY94+BX95-CG94)))</f>
        <v>256.41025641025635</v>
      </c>
      <c r="BZ95" s="14">
        <f>BY95*VLOOKUP('Données projet'!$B$12,Paramètres!$A$1:$I$89,3,0)*VLOOKUP('Données projet'!$B$12,Paramètres!$A$1:$I$89,5,0)</f>
        <v>243.99999999999997</v>
      </c>
      <c r="CA95" s="14">
        <f t="shared" si="93"/>
        <v>59.299320299313244</v>
      </c>
      <c r="CB95" s="22">
        <f t="shared" si="64"/>
        <v>528.24631618797048</v>
      </c>
      <c r="CC95" s="60">
        <f t="shared" si="65"/>
        <v>803.25661823108226</v>
      </c>
      <c r="CD95" s="60">
        <f ca="1">AVERAGE(OFFSET($CC$3,0,0,'Données projet'!$E$12+1,1))-AVERAGE(OFFSET($H$3,0,0,'Données projet'!$E$12+1,1))</f>
        <v>441.15969139782891</v>
      </c>
      <c r="CE95" s="60">
        <f t="shared" si="94"/>
        <v>315.06466790224783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-5.6843418860808015E-14</v>
      </c>
      <c r="CU95" s="18">
        <f>CT95*VLOOKUP('Données projet'!$B$13,Paramètres!$A$1:$I$89,3,0)*VLOOKUP('Données projet'!$B$13,Paramètres!$A$1:$I$89,5,0)</f>
        <v>-4.1677594708744434E-14</v>
      </c>
      <c r="CV95" s="14" t="e">
        <f t="shared" si="95"/>
        <v>#NUM!</v>
      </c>
      <c r="CW95" s="22" t="e">
        <f t="shared" si="67"/>
        <v>#NUM!</v>
      </c>
      <c r="CX95" s="60" t="e">
        <f t="shared" si="68"/>
        <v>#NUM!</v>
      </c>
      <c r="CY95" s="60">
        <f ca="1">AVERAGE(OFFSET($CX$3,0,0,'Données projet'!$E$13+1,1))-AVERAGE(OFFSET($H$3,0,0,'Données projet'!$E$13+1,1))</f>
        <v>368.35775920359396</v>
      </c>
      <c r="CZ95" s="60">
        <f t="shared" si="96"/>
        <v>395.5218438652638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1.1368683772161603E-13</v>
      </c>
      <c r="DP95" s="18">
        <f>DO95*VLOOKUP('Données projet'!$B$14,Paramètres!$A$1:$I$89,3,0)*VLOOKUP('Données projet'!$B$14,Paramètres!$A$1:$I$89,5,0)</f>
        <v>8.8675733422860506E-14</v>
      </c>
      <c r="DQ95" s="14">
        <f t="shared" si="97"/>
        <v>1.3509285393066301E-12</v>
      </c>
      <c r="DR95" s="22">
        <f t="shared" si="70"/>
        <v>2.5073107750038623E-12</v>
      </c>
      <c r="DS95" s="60">
        <f t="shared" si="71"/>
        <v>275.01030204311422</v>
      </c>
      <c r="DT95" s="60">
        <f ca="1">AVERAGE(OFFSET($DS$3,0,0,'Données projet'!$E$14+1,1))-AVERAGE(OFFSET($H$3,0,0,'Données projet'!$E$14+1,1))</f>
        <v>312.59632808777332</v>
      </c>
      <c r="DU95" s="60">
        <f t="shared" si="98"/>
        <v>302.59481222418219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0</v>
      </c>
      <c r="EE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11.333333333333334</v>
      </c>
      <c r="EJ95" s="13">
        <f>IF('Données projet'!$A$192&gt;35,EJ94+EI95-ER94,IF(A95&lt;'Données projet'!$A$192,$EG$205^A95,IF(A95='Données projet'!$A$192,'Données projet'!$B$192,EJ94+EI95-ER94)))</f>
        <v>511.66666666666629</v>
      </c>
      <c r="EK95" s="18">
        <f>EJ95*VLOOKUP('Données projet'!$B$15,Paramètres!$A$1:$I$89,3,0)*VLOOKUP('Données projet'!$B$15,Paramètres!$A$1:$I$89,5,0)</f>
        <v>439.00999999999971</v>
      </c>
      <c r="EL95" s="14">
        <f t="shared" si="99"/>
        <v>99.642004610829247</v>
      </c>
      <c r="EM95" s="22">
        <f t="shared" si="73"/>
        <v>938.15224136386041</v>
      </c>
      <c r="EN95" s="60">
        <f t="shared" si="74"/>
        <v>1213.1625434069722</v>
      </c>
      <c r="EO95" s="60">
        <f ca="1">AVERAGE(OFFSET($EN$3,0,0,'Données projet'!$E$15+1,1))-AVERAGE(OFFSET($H$3,0,0,'Données projet'!$E$15+1,1))</f>
        <v>478.11504516179713</v>
      </c>
      <c r="EP95" s="60">
        <f t="shared" si="100"/>
        <v>249.93713224442419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0</v>
      </c>
      <c r="EW95" s="23">
        <f>EXP(-LN(2)/25)*EW94+(1-EXP(-LN(2)/25))/(LN(2)/25)*Calculateur!ER95*Calculateur!ET95*VLOOKUP('Données projet'!$B$15,Paramètres!$A$1:$I$89,3,0)*0.475*44/12</f>
        <v>0</v>
      </c>
      <c r="EX95" s="23">
        <f>EXP(-LN(2)/2)*EX94+(1-EXP(-LN(2)/2))/(LN(2)/2)*ER95*EU95*VLOOKUP('Données projet'!$B$15,Paramètres!$A$1:$I$89,3,0)*0.475*44/12</f>
        <v>0</v>
      </c>
      <c r="EY95" s="24">
        <f t="shared" si="75"/>
        <v>0</v>
      </c>
      <c r="EZ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5.9</v>
      </c>
      <c r="FE95" s="13">
        <f>IF('Données projet'!$A$218&gt;35,FE94+FD95-FM94,IF(A95&lt;'Données projet'!$A$218,$FB$205^A95,IF(A95='Données projet'!$A$218,'Données projet'!$B$218,FE94+FD95-FM94)))</f>
        <v>313.80000000000018</v>
      </c>
      <c r="FF95" s="18">
        <f>FE95*VLOOKUP('Données projet'!$B$16,Paramètres!$A$1:$I$89,3,0)*VLOOKUP('Données projet'!$B$16,Paramètres!$A$1:$I$89,5,0)</f>
        <v>303.50736000000023</v>
      </c>
      <c r="FG95" s="14">
        <f t="shared" si="101"/>
        <v>71.911242710970541</v>
      </c>
      <c r="FH95" s="22">
        <f t="shared" si="76"/>
        <v>653.85406638827408</v>
      </c>
      <c r="FI95" s="60">
        <f t="shared" si="77"/>
        <v>928.86436843138586</v>
      </c>
      <c r="FJ95" s="60">
        <f ca="1">AVERAGE(OFFSET($FI$3,0,0,'Données projet'!$E$16+1,1))-AVERAGE(OFFSET($H$3,0,0,'Données projet'!$E$16+1,1))</f>
        <v>603.52431522262032</v>
      </c>
      <c r="FK95" s="60">
        <f t="shared" si="102"/>
        <v>313.56299786481338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>
        <f>EXP(-LN(2)/35)*FQ94+(1-EXP(-LN(2)/35))/(LN(2)/35)*FM95*FN95*VLOOKUP('Données projet'!$B$16,Paramètres!$A$1:$I$89,3,0)*0.475*44/12</f>
        <v>0</v>
      </c>
      <c r="FR95" s="23">
        <f>EXP(-LN(2)/25)*FR94+(1-EXP(-LN(2)/25))/(LN(2)/25)*Calculateur!FM95*Calculateur!FO95*VLOOKUP('Données projet'!$B$16,Paramètres!$A$1:$I$89,3,0)*0.475*44/12</f>
        <v>0</v>
      </c>
      <c r="FS95" s="23">
        <f>EXP(-LN(2)/2)*FS94+(1-EXP(-LN(2)/2))/(LN(2)/2)*FM95*FP95*VLOOKUP('Données projet'!$B$16,Paramètres!$A$1:$I$89,3,0)*0.475*44/12</f>
        <v>0</v>
      </c>
      <c r="FT95" s="24">
        <f t="shared" si="78"/>
        <v>0</v>
      </c>
      <c r="FU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4.102564102564088</v>
      </c>
      <c r="FZ95" s="13">
        <f>IF('Données projet'!$A$244&gt;35,FZ94+FY95-GH94,IF(A95&lt;'Données projet'!$A$244,$FW$205^A95,IF(A95='Données projet'!$A$244,'Données projet'!$B$244,FZ94+FY95-GH94)))</f>
        <v>322.94871794871801</v>
      </c>
      <c r="GA95" s="18">
        <f>FZ95*VLOOKUP('Données projet'!$B$17,Paramètres!$A$1:$I$89,3,0)*VLOOKUP('Données projet'!$B$17,Paramètres!$A$1:$I$89,5,0)</f>
        <v>216.63400000000004</v>
      </c>
      <c r="GB95" s="14">
        <f t="shared" si="103"/>
        <v>53.382647066119048</v>
      </c>
      <c r="GC95" s="22">
        <f t="shared" si="79"/>
        <v>470.27899364015747</v>
      </c>
      <c r="GD95" s="60">
        <f t="shared" si="80"/>
        <v>745.28929568326919</v>
      </c>
      <c r="GE95" s="60">
        <f ca="1">AVERAGE(OFFSET($GD$3,0,0,'Données projet'!$E$17+1,1))-AVERAGE(OFFSET($H$3,0,0,'Données projet'!$E$17+1,1))</f>
        <v>396.0878652679051</v>
      </c>
      <c r="GF95" s="60">
        <f t="shared" si="104"/>
        <v>327.26339199235406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>
        <f>EXP(-LN(2)/35)*GL94+(1-EXP(-LN(2)/35))/(LN(2)/35)*GH95*GI95*VLOOKUP('Données projet'!$B$17,Paramètres!$A$1:$I$89,3,0)*0.475*44/12</f>
        <v>0</v>
      </c>
      <c r="GM95" s="23">
        <f>EXP(-LN(2)/25)*GM94+(1-EXP(-LN(2)/25))/(LN(2)/25)*Calculateur!GH95*Calculateur!GJ95*VLOOKUP('Données projet'!$B$17,Paramètres!$A$1:$I$89,3,0)*0.475*44/12</f>
        <v>0</v>
      </c>
      <c r="GN95" s="23">
        <f>EXP(-LN(2)/2)*GN94+(1-EXP(-LN(2)/2))/(LN(2)/2)*GH95*GK95*VLOOKUP('Données projet'!$B$17,Paramètres!$A$1:$I$89,3,0)*0.475*44/12</f>
        <v>0</v>
      </c>
      <c r="GO95" s="23">
        <f t="shared" si="81"/>
        <v>0</v>
      </c>
      <c r="GP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-1.1368683772161603E-13</v>
      </c>
      <c r="GV95" s="18">
        <f>GU95*VLOOKUP('Données projet'!$B$18,Paramètres!$A$1:$I$89,3,0)*VLOOKUP('Données projet'!$B$18,Paramètres!$A$1:$I$89,5,0)</f>
        <v>-9.2222762759774927E-14</v>
      </c>
      <c r="GW95" s="14" t="e">
        <f t="shared" si="105"/>
        <v>#NUM!</v>
      </c>
      <c r="GX95" s="22" t="e">
        <f t="shared" si="82"/>
        <v>#NUM!</v>
      </c>
      <c r="GY95" s="60" t="e">
        <f t="shared" si="83"/>
        <v>#NUM!</v>
      </c>
      <c r="GZ95" s="60">
        <f ca="1">AVERAGE(OFFSET($GY$3,0,0,'Données projet'!$E$18+1,1))-AVERAGE(OFFSET($H$3,0,0,'Données projet'!$E$18+1,1))</f>
        <v>272.69564942740931</v>
      </c>
      <c r="HA95" s="60">
        <f t="shared" si="106"/>
        <v>316.57989180609252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>
        <f>EXP(-LN(2)/35)*HG94+(1-EXP(-LN(2)/35))/(LN(2)/35)*HC95*HD95*VLOOKUP('Données projet'!$B$18,Paramètres!$A$1:$I$89,3,0)*0.475*44/12</f>
        <v>0</v>
      </c>
      <c r="HH95" s="23">
        <f>EXP(-LN(2)/25)*HH94+(1-EXP(-LN(2)/25))/(LN(2)/25)*Calculateur!HC95*Calculateur!HE95*VLOOKUP('Données projet'!$B$18,Paramètres!$A$1:$I$89,3,0)*0.475*44/12</f>
        <v>0</v>
      </c>
      <c r="HI95" s="23">
        <f>EXP(-LN(2)/2)*HI94+(1-EXP(-LN(2)/2))/(LN(2)/2)*HC95*HF95*VLOOKUP('Données projet'!$B$18,Paramètres!$A$1:$I$89,3,0)*0.475*44/12</f>
        <v>0</v>
      </c>
      <c r="HJ95" s="24">
        <f t="shared" si="84"/>
        <v>0</v>
      </c>
    </row>
    <row r="96" spans="1:218" s="5" customFormat="1" x14ac:dyDescent="0.25">
      <c r="A96" s="11">
        <f t="shared" si="85"/>
        <v>93</v>
      </c>
      <c r="B96" s="75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8">
        <f t="shared" si="56"/>
        <v>183.33333333333334</v>
      </c>
      <c r="I96" s="7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5.9</v>
      </c>
      <c r="N96" s="14">
        <f>IF('Données projet'!$A$36&gt;35,N95+M96-V95,IF(A96&lt;'Données projet'!$A$36,$K$205^A96,IF(A96='Données projet'!$A$36,'Données projet'!$B$36,N95+M96-V95)))</f>
        <v>319.70000000000016</v>
      </c>
      <c r="O96" s="14">
        <f>N96*VLOOKUP('Données projet'!$B$9,Paramètres!$A$1:$I$89,3,0)*VLOOKUP('Données projet'!$B$9,Paramètres!$A$1:$I$89,5,0)</f>
        <v>289.26456000000013</v>
      </c>
      <c r="P96" s="14">
        <f t="shared" si="87"/>
        <v>68.921152085057912</v>
      </c>
      <c r="Q96" s="22">
        <f t="shared" si="54"/>
        <v>623.84011521480943</v>
      </c>
      <c r="R96" s="60">
        <f t="shared" si="55"/>
        <v>899.16828088664533</v>
      </c>
      <c r="S96" s="60">
        <f ca="1">AVERAGE(OFFSET($R$3,0,0,'Données projet'!$E$9+1,1))-AVERAGE(OFFSET($H$3,0,0,'Données projet'!$E$9+1,1))</f>
        <v>570.08763950759544</v>
      </c>
      <c r="T96" s="60">
        <f t="shared" si="88"/>
        <v>297.32483725004136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-5.6843418860808015E-14</v>
      </c>
      <c r="AJ96" s="14">
        <f>AI96*VLOOKUP('Données projet'!$B$10,Paramètres!$A$1:$I$89,3,0)*VLOOKUP('Données projet'!$B$10,Paramètres!$A$1:$I$89,5,0)</f>
        <v>-4.5224624045658861E-14</v>
      </c>
      <c r="AK96" s="14" t="e">
        <f t="shared" si="89"/>
        <v>#NUM!</v>
      </c>
      <c r="AL96" s="22" t="e">
        <f t="shared" si="58"/>
        <v>#NUM!</v>
      </c>
      <c r="AM96" s="60" t="e">
        <f t="shared" si="59"/>
        <v>#NUM!</v>
      </c>
      <c r="AN96" s="60">
        <f ca="1">AVERAGE(OFFSET($AM$3,0,0,'Données projet'!$E$10+1,1))-AVERAGE(OFFSET($H$3,0,0,'Données projet'!$E$10+1,1))</f>
        <v>394.49874384716014</v>
      </c>
      <c r="AO96" s="60">
        <f t="shared" si="90"/>
        <v>423.72519584013378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3.4106051316484809E-13</v>
      </c>
      <c r="BE96" s="14">
        <f>BD96*VLOOKUP('Données projet'!$B$11,Paramètres!$A$1:$I$89,3,0)*VLOOKUP('Données projet'!$B$11,Paramètres!$A$1:$I$89,5,0)</f>
        <v>2.9795046430081134E-13</v>
      </c>
      <c r="BF96" s="14">
        <f t="shared" si="91"/>
        <v>3.9419014464513778E-12</v>
      </c>
      <c r="BG96" s="22">
        <f t="shared" si="61"/>
        <v>7.384408744560063E-12</v>
      </c>
      <c r="BH96" s="60">
        <f t="shared" si="62"/>
        <v>275.32816567184335</v>
      </c>
      <c r="BI96" s="60">
        <f ca="1">AVERAGE(OFFSET($BH$3,0,0,'Données projet'!$E$11+1,1))-AVERAGE(OFFSET($H$3,0,0,'Données projet'!$E$11+1,1))</f>
        <v>363.28611056308665</v>
      </c>
      <c r="BJ96" s="60">
        <f t="shared" si="92"/>
        <v>389.43647559455974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3.8461538461538511</v>
      </c>
      <c r="BY96" s="13">
        <f>IF('Données projet'!$A$114&gt;35,BY95+BX96-CG95,IF(A96&lt;'Données projet'!$A$114,$BV$205^A96,IF(A96='Données projet'!$A$114,'Données projet'!$B$114,BY95+BX96-CG95)))</f>
        <v>260.25641025641022</v>
      </c>
      <c r="BZ96" s="14">
        <f>BY96*VLOOKUP('Données projet'!$B$12,Paramètres!$A$1:$I$89,3,0)*VLOOKUP('Données projet'!$B$12,Paramètres!$A$1:$I$89,5,0)</f>
        <v>247.65999999999994</v>
      </c>
      <c r="CA96" s="14">
        <f t="shared" si="93"/>
        <v>60.084591153326222</v>
      </c>
      <c r="CB96" s="22">
        <f t="shared" si="64"/>
        <v>535.98849625870969</v>
      </c>
      <c r="CC96" s="60">
        <f t="shared" si="65"/>
        <v>811.31666193054571</v>
      </c>
      <c r="CD96" s="60">
        <f ca="1">AVERAGE(OFFSET($CC$3,0,0,'Données projet'!$E$12+1,1))-AVERAGE(OFFSET($H$3,0,0,'Données projet'!$E$12+1,1))</f>
        <v>441.15969139782891</v>
      </c>
      <c r="CE96" s="60">
        <f t="shared" si="94"/>
        <v>315.06466790224783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-5.6843418860808015E-14</v>
      </c>
      <c r="CU96" s="18">
        <f>CT96*VLOOKUP('Données projet'!$B$13,Paramètres!$A$1:$I$89,3,0)*VLOOKUP('Données projet'!$B$13,Paramètres!$A$1:$I$89,5,0)</f>
        <v>-4.1677594708744434E-14</v>
      </c>
      <c r="CV96" s="14" t="e">
        <f t="shared" si="95"/>
        <v>#NUM!</v>
      </c>
      <c r="CW96" s="22" t="e">
        <f t="shared" si="67"/>
        <v>#NUM!</v>
      </c>
      <c r="CX96" s="60" t="e">
        <f t="shared" si="68"/>
        <v>#NUM!</v>
      </c>
      <c r="CY96" s="60">
        <f ca="1">AVERAGE(OFFSET($CX$3,0,0,'Données projet'!$E$13+1,1))-AVERAGE(OFFSET($H$3,0,0,'Données projet'!$E$13+1,1))</f>
        <v>368.35775920359396</v>
      </c>
      <c r="CZ96" s="60">
        <f t="shared" si="96"/>
        <v>395.5218438652638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1.1368683772161603E-13</v>
      </c>
      <c r="DP96" s="18">
        <f>DO96*VLOOKUP('Données projet'!$B$14,Paramètres!$A$1:$I$89,3,0)*VLOOKUP('Données projet'!$B$14,Paramètres!$A$1:$I$89,5,0)</f>
        <v>8.8675733422860506E-14</v>
      </c>
      <c r="DQ96" s="14">
        <f t="shared" si="97"/>
        <v>1.3509285393066301E-12</v>
      </c>
      <c r="DR96" s="22">
        <f t="shared" si="70"/>
        <v>2.5073107750038623E-12</v>
      </c>
      <c r="DS96" s="60">
        <f t="shared" si="71"/>
        <v>275.32816567183846</v>
      </c>
      <c r="DT96" s="60">
        <f ca="1">AVERAGE(OFFSET($DS$3,0,0,'Données projet'!$E$14+1,1))-AVERAGE(OFFSET($H$3,0,0,'Données projet'!$E$14+1,1))</f>
        <v>312.59632808777332</v>
      </c>
      <c r="DU96" s="60">
        <f t="shared" si="98"/>
        <v>302.59481222418219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0</v>
      </c>
      <c r="EE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11.333333333333334</v>
      </c>
      <c r="EJ96" s="13">
        <f>IF('Données projet'!$A$192&gt;35,EJ95+EI96-ER95,IF(A96&lt;'Données projet'!$A$192,$EG$205^A96,IF(A96='Données projet'!$A$192,'Données projet'!$B$192,EJ95+EI96-ER95)))</f>
        <v>522.99999999999966</v>
      </c>
      <c r="EK96" s="18">
        <f>EJ96*VLOOKUP('Données projet'!$B$15,Paramètres!$A$1:$I$89,3,0)*VLOOKUP('Données projet'!$B$15,Paramètres!$A$1:$I$89,5,0)</f>
        <v>448.73399999999981</v>
      </c>
      <c r="EL96" s="14">
        <f t="shared" si="99"/>
        <v>101.58966417888674</v>
      </c>
      <c r="EM96" s="22">
        <f t="shared" si="73"/>
        <v>958.48038177822752</v>
      </c>
      <c r="EN96" s="60">
        <f t="shared" si="74"/>
        <v>1233.8085474500635</v>
      </c>
      <c r="EO96" s="60">
        <f ca="1">AVERAGE(OFFSET($EN$3,0,0,'Données projet'!$E$15+1,1))-AVERAGE(OFFSET($H$3,0,0,'Données projet'!$E$15+1,1))</f>
        <v>478.11504516179713</v>
      </c>
      <c r="EP96" s="60">
        <f t="shared" si="100"/>
        <v>249.93713224442419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0</v>
      </c>
      <c r="EW96" s="23">
        <f>EXP(-LN(2)/25)*EW95+(1-EXP(-LN(2)/25))/(LN(2)/25)*Calculateur!ER96*Calculateur!ET96*VLOOKUP('Données projet'!$B$15,Paramètres!$A$1:$I$89,3,0)*0.475*44/12</f>
        <v>0</v>
      </c>
      <c r="EX96" s="23">
        <f>EXP(-LN(2)/2)*EX95+(1-EXP(-LN(2)/2))/(LN(2)/2)*ER96*EU96*VLOOKUP('Données projet'!$B$15,Paramètres!$A$1:$I$89,3,0)*0.475*44/12</f>
        <v>0</v>
      </c>
      <c r="EY96" s="24">
        <f t="shared" si="75"/>
        <v>0</v>
      </c>
      <c r="EZ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5.9</v>
      </c>
      <c r="FE96" s="13">
        <f>IF('Données projet'!$A$218&gt;35,FE95+FD96-FM95,IF(A96&lt;'Données projet'!$A$218,$FB$205^A96,IF(A96='Données projet'!$A$218,'Données projet'!$B$218,FE95+FD96-FM95)))</f>
        <v>319.70000000000016</v>
      </c>
      <c r="FF96" s="18">
        <f>FE96*VLOOKUP('Données projet'!$B$16,Paramètres!$A$1:$I$89,3,0)*VLOOKUP('Données projet'!$B$16,Paramètres!$A$1:$I$89,5,0)</f>
        <v>309.21384000000012</v>
      </c>
      <c r="FG96" s="14">
        <f t="shared" si="101"/>
        <v>73.104624418450499</v>
      </c>
      <c r="FH96" s="22">
        <f t="shared" si="76"/>
        <v>665.87132552880155</v>
      </c>
      <c r="FI96" s="60">
        <f t="shared" si="77"/>
        <v>941.19949120063757</v>
      </c>
      <c r="FJ96" s="60">
        <f ca="1">AVERAGE(OFFSET($FI$3,0,0,'Données projet'!$E$16+1,1))-AVERAGE(OFFSET($H$3,0,0,'Données projet'!$E$16+1,1))</f>
        <v>603.52431522262032</v>
      </c>
      <c r="FK96" s="60">
        <f t="shared" si="102"/>
        <v>313.56299786481338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>
        <f>EXP(-LN(2)/35)*FQ95+(1-EXP(-LN(2)/35))/(LN(2)/35)*FM96*FN96*VLOOKUP('Données projet'!$B$16,Paramètres!$A$1:$I$89,3,0)*0.475*44/12</f>
        <v>0</v>
      </c>
      <c r="FR96" s="23">
        <f>EXP(-LN(2)/25)*FR95+(1-EXP(-LN(2)/25))/(LN(2)/25)*Calculateur!FM96*Calculateur!FO96*VLOOKUP('Données projet'!$B$16,Paramètres!$A$1:$I$89,3,0)*0.475*44/12</f>
        <v>0</v>
      </c>
      <c r="FS96" s="23">
        <f>EXP(-LN(2)/2)*FS95+(1-EXP(-LN(2)/2))/(LN(2)/2)*FM96*FP96*VLOOKUP('Données projet'!$B$16,Paramètres!$A$1:$I$89,3,0)*0.475*44/12</f>
        <v>0</v>
      </c>
      <c r="FT96" s="24">
        <f t="shared" si="78"/>
        <v>0</v>
      </c>
      <c r="FU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4.102564102564088</v>
      </c>
      <c r="FZ96" s="13">
        <f>IF('Données projet'!$A$244&gt;35,FZ95+FY96-GH95,IF(A96&lt;'Données projet'!$A$244,$FW$205^A96,IF(A96='Données projet'!$A$244,'Données projet'!$B$244,FZ95+FY96-GH95)))</f>
        <v>327.0512820512821</v>
      </c>
      <c r="GA96" s="18">
        <f>FZ96*VLOOKUP('Données projet'!$B$17,Paramètres!$A$1:$I$89,3,0)*VLOOKUP('Données projet'!$B$17,Paramètres!$A$1:$I$89,5,0)</f>
        <v>219.38600000000002</v>
      </c>
      <c r="GB96" s="14">
        <f t="shared" si="103"/>
        <v>53.981414155321495</v>
      </c>
      <c r="GC96" s="22">
        <f t="shared" si="79"/>
        <v>476.11491298718494</v>
      </c>
      <c r="GD96" s="60">
        <f t="shared" si="80"/>
        <v>751.4430786590209</v>
      </c>
      <c r="GE96" s="60">
        <f ca="1">AVERAGE(OFFSET($GD$3,0,0,'Données projet'!$E$17+1,1))-AVERAGE(OFFSET($H$3,0,0,'Données projet'!$E$17+1,1))</f>
        <v>396.0878652679051</v>
      </c>
      <c r="GF96" s="60">
        <f t="shared" si="104"/>
        <v>327.26339199235406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>
        <f>EXP(-LN(2)/35)*GL95+(1-EXP(-LN(2)/35))/(LN(2)/35)*GH96*GI96*VLOOKUP('Données projet'!$B$17,Paramètres!$A$1:$I$89,3,0)*0.475*44/12</f>
        <v>0</v>
      </c>
      <c r="GM96" s="23">
        <f>EXP(-LN(2)/25)*GM95+(1-EXP(-LN(2)/25))/(LN(2)/25)*Calculateur!GH96*Calculateur!GJ96*VLOOKUP('Données projet'!$B$17,Paramètres!$A$1:$I$89,3,0)*0.475*44/12</f>
        <v>0</v>
      </c>
      <c r="GN96" s="23">
        <f>EXP(-LN(2)/2)*GN95+(1-EXP(-LN(2)/2))/(LN(2)/2)*GH96*GK96*VLOOKUP('Données projet'!$B$17,Paramètres!$A$1:$I$89,3,0)*0.475*44/12</f>
        <v>0</v>
      </c>
      <c r="GO96" s="23">
        <f t="shared" si="81"/>
        <v>0</v>
      </c>
      <c r="GP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-1.1368683772161603E-13</v>
      </c>
      <c r="GV96" s="18">
        <f>GU96*VLOOKUP('Données projet'!$B$18,Paramètres!$A$1:$I$89,3,0)*VLOOKUP('Données projet'!$B$18,Paramètres!$A$1:$I$89,5,0)</f>
        <v>-9.2222762759774927E-14</v>
      </c>
      <c r="GW96" s="14" t="e">
        <f t="shared" si="105"/>
        <v>#NUM!</v>
      </c>
      <c r="GX96" s="22" t="e">
        <f t="shared" si="82"/>
        <v>#NUM!</v>
      </c>
      <c r="GY96" s="60" t="e">
        <f t="shared" si="83"/>
        <v>#NUM!</v>
      </c>
      <c r="GZ96" s="60">
        <f ca="1">AVERAGE(OFFSET($GY$3,0,0,'Données projet'!$E$18+1,1))-AVERAGE(OFFSET($H$3,0,0,'Données projet'!$E$18+1,1))</f>
        <v>272.69564942740931</v>
      </c>
      <c r="HA96" s="60">
        <f t="shared" si="106"/>
        <v>316.57989180609252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>
        <f>EXP(-LN(2)/35)*HG95+(1-EXP(-LN(2)/35))/(LN(2)/35)*HC96*HD96*VLOOKUP('Données projet'!$B$18,Paramètres!$A$1:$I$89,3,0)*0.475*44/12</f>
        <v>0</v>
      </c>
      <c r="HH96" s="23">
        <f>EXP(-LN(2)/25)*HH95+(1-EXP(-LN(2)/25))/(LN(2)/25)*Calculateur!HC96*Calculateur!HE96*VLOOKUP('Données projet'!$B$18,Paramètres!$A$1:$I$89,3,0)*0.475*44/12</f>
        <v>0</v>
      </c>
      <c r="HI96" s="23">
        <f>EXP(-LN(2)/2)*HI95+(1-EXP(-LN(2)/2))/(LN(2)/2)*HC96*HF96*VLOOKUP('Données projet'!$B$18,Paramètres!$A$1:$I$89,3,0)*0.475*44/12</f>
        <v>0</v>
      </c>
      <c r="HJ96" s="24">
        <f t="shared" si="84"/>
        <v>0</v>
      </c>
    </row>
    <row r="97" spans="1:218" s="5" customFormat="1" x14ac:dyDescent="0.25">
      <c r="A97" s="11">
        <f t="shared" si="85"/>
        <v>94</v>
      </c>
      <c r="B97" s="75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8">
        <f t="shared" si="56"/>
        <v>183.33333333333334</v>
      </c>
      <c r="I97" s="7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5.9</v>
      </c>
      <c r="N97" s="14">
        <f>IF('Données projet'!$A$36&gt;35,N96+M97-V96,IF(A97&lt;'Données projet'!$A$36,$K$205^A97,IF(A97='Données projet'!$A$36,'Données projet'!$B$36,N96+M97-V96)))</f>
        <v>325.60000000000014</v>
      </c>
      <c r="O97" s="14">
        <f>N97*VLOOKUP('Données projet'!$B$9,Paramètres!$A$1:$I$89,3,0)*VLOOKUP('Données projet'!$B$9,Paramètres!$A$1:$I$89,5,0)</f>
        <v>294.60288000000014</v>
      </c>
      <c r="P97" s="14">
        <f t="shared" si="87"/>
        <v>70.043827142305744</v>
      </c>
      <c r="Q97" s="22">
        <f t="shared" si="54"/>
        <v>635.09301493951614</v>
      </c>
      <c r="R97" s="60">
        <f t="shared" si="55"/>
        <v>910.73353001675468</v>
      </c>
      <c r="S97" s="60">
        <f ca="1">AVERAGE(OFFSET($R$3,0,0,'Données projet'!$E$9+1,1))-AVERAGE(OFFSET($H$3,0,0,'Données projet'!$E$9+1,1))</f>
        <v>570.08763950759544</v>
      </c>
      <c r="T97" s="60">
        <f t="shared" si="88"/>
        <v>297.32483725004136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-5.6843418860808015E-14</v>
      </c>
      <c r="AJ97" s="14">
        <f>AI97*VLOOKUP('Données projet'!$B$10,Paramètres!$A$1:$I$89,3,0)*VLOOKUP('Données projet'!$B$10,Paramètres!$A$1:$I$89,5,0)</f>
        <v>-4.5224624045658861E-14</v>
      </c>
      <c r="AK97" s="14" t="e">
        <f t="shared" si="89"/>
        <v>#NUM!</v>
      </c>
      <c r="AL97" s="22" t="e">
        <f t="shared" si="58"/>
        <v>#NUM!</v>
      </c>
      <c r="AM97" s="60" t="e">
        <f t="shared" si="59"/>
        <v>#NUM!</v>
      </c>
      <c r="AN97" s="60">
        <f ca="1">AVERAGE(OFFSET($AM$3,0,0,'Données projet'!$E$10+1,1))-AVERAGE(OFFSET($H$3,0,0,'Données projet'!$E$10+1,1))</f>
        <v>394.49874384716014</v>
      </c>
      <c r="AO97" s="60">
        <f t="shared" si="90"/>
        <v>423.72519584013378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3.4106051316484809E-13</v>
      </c>
      <c r="BE97" s="14">
        <f>BD97*VLOOKUP('Données projet'!$B$11,Paramètres!$A$1:$I$89,3,0)*VLOOKUP('Données projet'!$B$11,Paramètres!$A$1:$I$89,5,0)</f>
        <v>2.9795046430081134E-13</v>
      </c>
      <c r="BF97" s="14">
        <f t="shared" si="91"/>
        <v>3.9419014464513778E-12</v>
      </c>
      <c r="BG97" s="22">
        <f t="shared" si="61"/>
        <v>7.384408744560063E-12</v>
      </c>
      <c r="BH97" s="60">
        <f t="shared" si="62"/>
        <v>275.64051507724588</v>
      </c>
      <c r="BI97" s="60">
        <f ca="1">AVERAGE(OFFSET($BH$3,0,0,'Données projet'!$E$11+1,1))-AVERAGE(OFFSET($H$3,0,0,'Données projet'!$E$11+1,1))</f>
        <v>363.28611056308665</v>
      </c>
      <c r="BJ97" s="60">
        <f t="shared" si="92"/>
        <v>389.43647559455974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3.8461538461538511</v>
      </c>
      <c r="BY97" s="13">
        <f>IF('Données projet'!$A$114&gt;35,BY96+BX97-CG96,IF(A97&lt;'Données projet'!$A$114,$BV$205^A97,IF(A97='Données projet'!$A$114,'Données projet'!$B$114,BY96+BX97-CG96)))</f>
        <v>264.10256410256409</v>
      </c>
      <c r="BZ97" s="14">
        <f>BY97*VLOOKUP('Données projet'!$B$12,Paramètres!$A$1:$I$89,3,0)*VLOOKUP('Données projet'!$B$12,Paramètres!$A$1:$I$89,5,0)</f>
        <v>251.32</v>
      </c>
      <c r="CA97" s="14">
        <f t="shared" si="93"/>
        <v>60.868512295963441</v>
      </c>
      <c r="CB97" s="22">
        <f t="shared" si="64"/>
        <v>543.72832558213634</v>
      </c>
      <c r="CC97" s="60">
        <f t="shared" si="65"/>
        <v>819.36884065937488</v>
      </c>
      <c r="CD97" s="60">
        <f ca="1">AVERAGE(OFFSET($CC$3,0,0,'Données projet'!$E$12+1,1))-AVERAGE(OFFSET($H$3,0,0,'Données projet'!$E$12+1,1))</f>
        <v>441.15969139782891</v>
      </c>
      <c r="CE97" s="60">
        <f t="shared" si="94"/>
        <v>315.06466790224783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-5.6843418860808015E-14</v>
      </c>
      <c r="CU97" s="18">
        <f>CT97*VLOOKUP('Données projet'!$B$13,Paramètres!$A$1:$I$89,3,0)*VLOOKUP('Données projet'!$B$13,Paramètres!$A$1:$I$89,5,0)</f>
        <v>-4.1677594708744434E-14</v>
      </c>
      <c r="CV97" s="14" t="e">
        <f t="shared" si="95"/>
        <v>#NUM!</v>
      </c>
      <c r="CW97" s="22" t="e">
        <f t="shared" si="67"/>
        <v>#NUM!</v>
      </c>
      <c r="CX97" s="60" t="e">
        <f t="shared" si="68"/>
        <v>#NUM!</v>
      </c>
      <c r="CY97" s="60">
        <f ca="1">AVERAGE(OFFSET($CX$3,0,0,'Données projet'!$E$13+1,1))-AVERAGE(OFFSET($H$3,0,0,'Données projet'!$E$13+1,1))</f>
        <v>368.35775920359396</v>
      </c>
      <c r="CZ97" s="60">
        <f t="shared" si="96"/>
        <v>395.5218438652638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1.1368683772161603E-13</v>
      </c>
      <c r="DP97" s="18">
        <f>DO97*VLOOKUP('Données projet'!$B$14,Paramètres!$A$1:$I$89,3,0)*VLOOKUP('Données projet'!$B$14,Paramètres!$A$1:$I$89,5,0)</f>
        <v>8.8675733422860506E-14</v>
      </c>
      <c r="DQ97" s="14">
        <f t="shared" si="97"/>
        <v>1.3509285393066301E-12</v>
      </c>
      <c r="DR97" s="22">
        <f t="shared" si="70"/>
        <v>2.5073107750038623E-12</v>
      </c>
      <c r="DS97" s="60">
        <f t="shared" si="71"/>
        <v>275.64051507724099</v>
      </c>
      <c r="DT97" s="60">
        <f ca="1">AVERAGE(OFFSET($DS$3,0,0,'Données projet'!$E$14+1,1))-AVERAGE(OFFSET($H$3,0,0,'Données projet'!$E$14+1,1))</f>
        <v>312.59632808777332</v>
      </c>
      <c r="DU97" s="60">
        <f t="shared" si="98"/>
        <v>302.59481222418219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0</v>
      </c>
      <c r="EE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11.333333333333334</v>
      </c>
      <c r="EJ97" s="13">
        <f>IF('Données projet'!$A$192&gt;35,EJ96+EI97-ER96,IF(A97&lt;'Données projet'!$A$192,$EG$205^A97,IF(A97='Données projet'!$A$192,'Données projet'!$B$192,EJ96+EI97-ER96)))</f>
        <v>534.33333333333303</v>
      </c>
      <c r="EK97" s="18">
        <f>EJ97*VLOOKUP('Données projet'!$B$15,Paramètres!$A$1:$I$89,3,0)*VLOOKUP('Données projet'!$B$15,Paramètres!$A$1:$I$89,5,0)</f>
        <v>458.4579999999998</v>
      </c>
      <c r="EL97" s="14">
        <f t="shared" si="99"/>
        <v>103.53241681177968</v>
      </c>
      <c r="EM97" s="22">
        <f t="shared" si="73"/>
        <v>978.79997594718259</v>
      </c>
      <c r="EN97" s="60">
        <f t="shared" si="74"/>
        <v>1254.4404910244211</v>
      </c>
      <c r="EO97" s="60">
        <f ca="1">AVERAGE(OFFSET($EN$3,0,0,'Données projet'!$E$15+1,1))-AVERAGE(OFFSET($H$3,0,0,'Données projet'!$E$15+1,1))</f>
        <v>478.11504516179713</v>
      </c>
      <c r="EP97" s="60">
        <f t="shared" si="100"/>
        <v>249.93713224442419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0</v>
      </c>
      <c r="EW97" s="23">
        <f>EXP(-LN(2)/25)*EW96+(1-EXP(-LN(2)/25))/(LN(2)/25)*Calculateur!ER97*Calculateur!ET97*VLOOKUP('Données projet'!$B$15,Paramètres!$A$1:$I$89,3,0)*0.475*44/12</f>
        <v>0</v>
      </c>
      <c r="EX97" s="23">
        <f>EXP(-LN(2)/2)*EX96+(1-EXP(-LN(2)/2))/(LN(2)/2)*ER97*EU97*VLOOKUP('Données projet'!$B$15,Paramètres!$A$1:$I$89,3,0)*0.475*44/12</f>
        <v>0</v>
      </c>
      <c r="EY97" s="24">
        <f t="shared" si="75"/>
        <v>0</v>
      </c>
      <c r="EZ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5.9</v>
      </c>
      <c r="FE97" s="13">
        <f>IF('Données projet'!$A$218&gt;35,FE96+FD97-FM96,IF(A97&lt;'Données projet'!$A$218,$FB$205^A97,IF(A97='Données projet'!$A$218,'Données projet'!$B$218,FE96+FD97-FM96)))</f>
        <v>325.60000000000014</v>
      </c>
      <c r="FF97" s="18">
        <f>FE97*VLOOKUP('Données projet'!$B$16,Paramètres!$A$1:$I$89,3,0)*VLOOKUP('Données projet'!$B$16,Paramètres!$A$1:$I$89,5,0)</f>
        <v>314.92032000000012</v>
      </c>
      <c r="FG97" s="14">
        <f t="shared" si="101"/>
        <v>74.295445174069556</v>
      </c>
      <c r="FH97" s="22">
        <f t="shared" si="76"/>
        <v>677.88412434483791</v>
      </c>
      <c r="FI97" s="60">
        <f t="shared" si="77"/>
        <v>953.52463942207646</v>
      </c>
      <c r="FJ97" s="60">
        <f ca="1">AVERAGE(OFFSET($FI$3,0,0,'Données projet'!$E$16+1,1))-AVERAGE(OFFSET($H$3,0,0,'Données projet'!$E$16+1,1))</f>
        <v>603.52431522262032</v>
      </c>
      <c r="FK97" s="60">
        <f t="shared" si="102"/>
        <v>313.56299786481338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>
        <f>EXP(-LN(2)/35)*FQ96+(1-EXP(-LN(2)/35))/(LN(2)/35)*FM97*FN97*VLOOKUP('Données projet'!$B$16,Paramètres!$A$1:$I$89,3,0)*0.475*44/12</f>
        <v>0</v>
      </c>
      <c r="FR97" s="23">
        <f>EXP(-LN(2)/25)*FR96+(1-EXP(-LN(2)/25))/(LN(2)/25)*Calculateur!FM97*Calculateur!FO97*VLOOKUP('Données projet'!$B$16,Paramètres!$A$1:$I$89,3,0)*0.475*44/12</f>
        <v>0</v>
      </c>
      <c r="FS97" s="23">
        <f>EXP(-LN(2)/2)*FS96+(1-EXP(-LN(2)/2))/(LN(2)/2)*FM97*FP97*VLOOKUP('Données projet'!$B$16,Paramètres!$A$1:$I$89,3,0)*0.475*44/12</f>
        <v>0</v>
      </c>
      <c r="FT97" s="24">
        <f t="shared" si="78"/>
        <v>0</v>
      </c>
      <c r="FU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4.102564102564088</v>
      </c>
      <c r="FZ97" s="13">
        <f>IF('Données projet'!$A$244&gt;35,FZ96+FY97-GH96,IF(A97&lt;'Données projet'!$A$244,$FW$205^A97,IF(A97='Données projet'!$A$244,'Données projet'!$B$244,FZ96+FY97-GH96)))</f>
        <v>331.15384615384619</v>
      </c>
      <c r="GA97" s="18">
        <f>FZ97*VLOOKUP('Données projet'!$B$17,Paramètres!$A$1:$I$89,3,0)*VLOOKUP('Données projet'!$B$17,Paramètres!$A$1:$I$89,5,0)</f>
        <v>222.13800000000001</v>
      </c>
      <c r="GB97" s="14">
        <f t="shared" si="103"/>
        <v>54.579307578512022</v>
      </c>
      <c r="GC97" s="22">
        <f t="shared" si="79"/>
        <v>481.94931069924172</v>
      </c>
      <c r="GD97" s="60">
        <f t="shared" si="80"/>
        <v>757.58982577648021</v>
      </c>
      <c r="GE97" s="60">
        <f ca="1">AVERAGE(OFFSET($GD$3,0,0,'Données projet'!$E$17+1,1))-AVERAGE(OFFSET($H$3,0,0,'Données projet'!$E$17+1,1))</f>
        <v>396.0878652679051</v>
      </c>
      <c r="GF97" s="60">
        <f t="shared" si="104"/>
        <v>327.26339199235406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>
        <f>EXP(-LN(2)/35)*GL96+(1-EXP(-LN(2)/35))/(LN(2)/35)*GH97*GI97*VLOOKUP('Données projet'!$B$17,Paramètres!$A$1:$I$89,3,0)*0.475*44/12</f>
        <v>0</v>
      </c>
      <c r="GM97" s="23">
        <f>EXP(-LN(2)/25)*GM96+(1-EXP(-LN(2)/25))/(LN(2)/25)*Calculateur!GH97*Calculateur!GJ97*VLOOKUP('Données projet'!$B$17,Paramètres!$A$1:$I$89,3,0)*0.475*44/12</f>
        <v>0</v>
      </c>
      <c r="GN97" s="23">
        <f>EXP(-LN(2)/2)*GN96+(1-EXP(-LN(2)/2))/(LN(2)/2)*GH97*GK97*VLOOKUP('Données projet'!$B$17,Paramètres!$A$1:$I$89,3,0)*0.475*44/12</f>
        <v>0</v>
      </c>
      <c r="GO97" s="23">
        <f t="shared" si="81"/>
        <v>0</v>
      </c>
      <c r="GP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-1.1368683772161603E-13</v>
      </c>
      <c r="GV97" s="18">
        <f>GU97*VLOOKUP('Données projet'!$B$18,Paramètres!$A$1:$I$89,3,0)*VLOOKUP('Données projet'!$B$18,Paramètres!$A$1:$I$89,5,0)</f>
        <v>-9.2222762759774927E-14</v>
      </c>
      <c r="GW97" s="14" t="e">
        <f t="shared" si="105"/>
        <v>#NUM!</v>
      </c>
      <c r="GX97" s="22" t="e">
        <f t="shared" si="82"/>
        <v>#NUM!</v>
      </c>
      <c r="GY97" s="60" t="e">
        <f t="shared" si="83"/>
        <v>#NUM!</v>
      </c>
      <c r="GZ97" s="60">
        <f ca="1">AVERAGE(OFFSET($GY$3,0,0,'Données projet'!$E$18+1,1))-AVERAGE(OFFSET($H$3,0,0,'Données projet'!$E$18+1,1))</f>
        <v>272.69564942740931</v>
      </c>
      <c r="HA97" s="60">
        <f t="shared" si="106"/>
        <v>316.57989180609252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>
        <f>EXP(-LN(2)/35)*HG96+(1-EXP(-LN(2)/35))/(LN(2)/35)*HC97*HD97*VLOOKUP('Données projet'!$B$18,Paramètres!$A$1:$I$89,3,0)*0.475*44/12</f>
        <v>0</v>
      </c>
      <c r="HH97" s="23">
        <f>EXP(-LN(2)/25)*HH96+(1-EXP(-LN(2)/25))/(LN(2)/25)*Calculateur!HC97*Calculateur!HE97*VLOOKUP('Données projet'!$B$18,Paramètres!$A$1:$I$89,3,0)*0.475*44/12</f>
        <v>0</v>
      </c>
      <c r="HI97" s="23">
        <f>EXP(-LN(2)/2)*HI96+(1-EXP(-LN(2)/2))/(LN(2)/2)*HC97*HF97*VLOOKUP('Données projet'!$B$18,Paramètres!$A$1:$I$89,3,0)*0.475*44/12</f>
        <v>0</v>
      </c>
      <c r="HJ97" s="24">
        <f t="shared" si="84"/>
        <v>0</v>
      </c>
    </row>
    <row r="98" spans="1:218" s="5" customFormat="1" x14ac:dyDescent="0.25">
      <c r="A98" s="11">
        <f t="shared" si="85"/>
        <v>95</v>
      </c>
      <c r="B98" s="75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8">
        <f t="shared" si="56"/>
        <v>183.33333333333334</v>
      </c>
      <c r="I98" s="7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5.9</v>
      </c>
      <c r="N98" s="14">
        <f>IF('Données projet'!$A$36&gt;35,N97+M98-V97,IF(A98&lt;'Données projet'!$A$36,$K$205^A98,IF(A98='Données projet'!$A$36,'Données projet'!$B$36,N97+M98-V97)))</f>
        <v>331.50000000000011</v>
      </c>
      <c r="O98" s="14">
        <f>N98*VLOOKUP('Données projet'!$B$9,Paramètres!$A$1:$I$89,3,0)*VLOOKUP('Données projet'!$B$9,Paramètres!$A$1:$I$89,5,0)</f>
        <v>299.94120000000009</v>
      </c>
      <c r="P98" s="14">
        <f t="shared" si="87"/>
        <v>71.164136596531577</v>
      </c>
      <c r="Q98" s="22">
        <f t="shared" si="54"/>
        <v>646.34179457229266</v>
      </c>
      <c r="R98" s="60">
        <f t="shared" si="55"/>
        <v>922.28924049105854</v>
      </c>
      <c r="S98" s="60">
        <f ca="1">AVERAGE(OFFSET($R$3,0,0,'Données projet'!$E$9+1,1))-AVERAGE(OFFSET($H$3,0,0,'Données projet'!$E$9+1,1))</f>
        <v>570.08763950759544</v>
      </c>
      <c r="T98" s="60">
        <f t="shared" si="88"/>
        <v>297.32483725004136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-5.6843418860808015E-14</v>
      </c>
      <c r="AJ98" s="14">
        <f>AI98*VLOOKUP('Données projet'!$B$10,Paramètres!$A$1:$I$89,3,0)*VLOOKUP('Données projet'!$B$10,Paramètres!$A$1:$I$89,5,0)</f>
        <v>-4.5224624045658861E-14</v>
      </c>
      <c r="AK98" s="14" t="e">
        <f t="shared" si="89"/>
        <v>#NUM!</v>
      </c>
      <c r="AL98" s="22" t="e">
        <f t="shared" si="58"/>
        <v>#NUM!</v>
      </c>
      <c r="AM98" s="60" t="e">
        <f t="shared" si="59"/>
        <v>#NUM!</v>
      </c>
      <c r="AN98" s="60">
        <f ca="1">AVERAGE(OFFSET($AM$3,0,0,'Données projet'!$E$10+1,1))-AVERAGE(OFFSET($H$3,0,0,'Données projet'!$E$10+1,1))</f>
        <v>394.49874384716014</v>
      </c>
      <c r="AO98" s="60">
        <f t="shared" si="90"/>
        <v>423.72519584013378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3.4106051316484809E-13</v>
      </c>
      <c r="BE98" s="14">
        <f>BD98*VLOOKUP('Données projet'!$B$11,Paramètres!$A$1:$I$89,3,0)*VLOOKUP('Données projet'!$B$11,Paramètres!$A$1:$I$89,5,0)</f>
        <v>2.9795046430081134E-13</v>
      </c>
      <c r="BF98" s="14">
        <f t="shared" si="91"/>
        <v>3.9419014464513778E-12</v>
      </c>
      <c r="BG98" s="22">
        <f t="shared" si="61"/>
        <v>7.384408744560063E-12</v>
      </c>
      <c r="BH98" s="60">
        <f t="shared" si="62"/>
        <v>275.94744591877333</v>
      </c>
      <c r="BI98" s="60">
        <f ca="1">AVERAGE(OFFSET($BH$3,0,0,'Données projet'!$E$11+1,1))-AVERAGE(OFFSET($H$3,0,0,'Données projet'!$E$11+1,1))</f>
        <v>363.28611056308665</v>
      </c>
      <c r="BJ98" s="60">
        <f t="shared" si="92"/>
        <v>389.43647559455974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>
        <f>VLOOKUP(A98,'Données projet'!$A$113:$I$133,2,0)</f>
        <v>267.94871794871796</v>
      </c>
      <c r="BW98" s="13">
        <f>VLOOKUP(A98,'Données projet'!$A$113:$I$133,9,0)</f>
        <v>3.8461538461538511</v>
      </c>
      <c r="BX98" s="13">
        <f t="array" ref="BX98">INDEX(BW:BW,MIN(IF(ISNUMBER(BW98:BW294),ROW(BW98:BW294),"")))</f>
        <v>3.8461538461538511</v>
      </c>
      <c r="BY98" s="13">
        <f>IF('Données projet'!$A$114&gt;35,BY97+BX98-CG97,IF(A98&lt;'Données projet'!$A$114,$BV$205^A98,IF(A98='Données projet'!$A$114,'Données projet'!$B$114,BY97+BX98-CG97)))</f>
        <v>267.94871794871796</v>
      </c>
      <c r="BZ98" s="14">
        <f>BY98*VLOOKUP('Données projet'!$B$12,Paramètres!$A$1:$I$89,3,0)*VLOOKUP('Données projet'!$B$12,Paramètres!$A$1:$I$89,5,0)</f>
        <v>254.98000000000002</v>
      </c>
      <c r="CA98" s="14">
        <f t="shared" si="93"/>
        <v>61.651105654144821</v>
      </c>
      <c r="CB98" s="22">
        <f t="shared" si="64"/>
        <v>551.46584234763566</v>
      </c>
      <c r="CC98" s="60">
        <f t="shared" si="65"/>
        <v>827.41328826640165</v>
      </c>
      <c r="CD98" s="60">
        <f ca="1">AVERAGE(OFFSET($CC$3,0,0,'Données projet'!$E$12+1,1))-AVERAGE(OFFSET($H$3,0,0,'Données projet'!$E$12+1,1))</f>
        <v>441.15969139782891</v>
      </c>
      <c r="CE98" s="60">
        <f t="shared" si="94"/>
        <v>315.06466790224783</v>
      </c>
      <c r="CF98" s="16">
        <f>IF(ISNA(VLOOKUP(A98,'Données projet'!$A$113:$I$133,3,0)),0,VLOOKUP(A98,'Données projet'!$A$113:$I$133,3,0))</f>
        <v>8</v>
      </c>
      <c r="CG98" s="16">
        <f>IF(ISNA(VLOOKUP(A98,'Données projet'!$A$113:$I$133,4,0)),0,VLOOKUP(A98,'Données projet'!$A$113:$I$133,4,0))</f>
        <v>27.564102564102562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-5.6843418860808015E-14</v>
      </c>
      <c r="CU98" s="18">
        <f>CT98*VLOOKUP('Données projet'!$B$13,Paramètres!$A$1:$I$89,3,0)*VLOOKUP('Données projet'!$B$13,Paramètres!$A$1:$I$89,5,0)</f>
        <v>-4.1677594708744434E-14</v>
      </c>
      <c r="CV98" s="14" t="e">
        <f t="shared" si="95"/>
        <v>#NUM!</v>
      </c>
      <c r="CW98" s="22" t="e">
        <f t="shared" si="67"/>
        <v>#NUM!</v>
      </c>
      <c r="CX98" s="60" t="e">
        <f t="shared" si="68"/>
        <v>#NUM!</v>
      </c>
      <c r="CY98" s="60">
        <f ca="1">AVERAGE(OFFSET($CX$3,0,0,'Données projet'!$E$13+1,1))-AVERAGE(OFFSET($H$3,0,0,'Données projet'!$E$13+1,1))</f>
        <v>368.35775920359396</v>
      </c>
      <c r="CZ98" s="60">
        <f t="shared" si="96"/>
        <v>395.5218438652638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1.1368683772161603E-13</v>
      </c>
      <c r="DP98" s="18">
        <f>DO98*VLOOKUP('Données projet'!$B$14,Paramètres!$A$1:$I$89,3,0)*VLOOKUP('Données projet'!$B$14,Paramètres!$A$1:$I$89,5,0)</f>
        <v>8.8675733422860506E-14</v>
      </c>
      <c r="DQ98" s="14">
        <f t="shared" si="97"/>
        <v>1.3509285393066301E-12</v>
      </c>
      <c r="DR98" s="22">
        <f t="shared" si="70"/>
        <v>2.5073107750038623E-12</v>
      </c>
      <c r="DS98" s="60">
        <f t="shared" si="71"/>
        <v>275.94744591876844</v>
      </c>
      <c r="DT98" s="60">
        <f ca="1">AVERAGE(OFFSET($DS$3,0,0,'Données projet'!$E$14+1,1))-AVERAGE(OFFSET($H$3,0,0,'Données projet'!$E$14+1,1))</f>
        <v>312.59632808777332</v>
      </c>
      <c r="DU98" s="60">
        <f t="shared" si="98"/>
        <v>302.59481222418219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0</v>
      </c>
      <c r="EE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11.333333333333334</v>
      </c>
      <c r="EJ98" s="13">
        <f>IF('Données projet'!$A$192&gt;35,EJ97+EI98-ER97,IF(A98&lt;'Données projet'!$A$192,$EG$205^A98,IF(A98='Données projet'!$A$192,'Données projet'!$B$192,EJ97+EI98-ER97)))</f>
        <v>545.6666666666664</v>
      </c>
      <c r="EK98" s="18">
        <f>EJ98*VLOOKUP('Données projet'!$B$15,Paramètres!$A$1:$I$89,3,0)*VLOOKUP('Données projet'!$B$15,Paramètres!$A$1:$I$89,5,0)</f>
        <v>468.18199999999985</v>
      </c>
      <c r="EL98" s="14">
        <f t="shared" si="99"/>
        <v>105.47037857558523</v>
      </c>
      <c r="EM98" s="22">
        <f t="shared" si="73"/>
        <v>999.11122601914394</v>
      </c>
      <c r="EN98" s="60">
        <f t="shared" si="74"/>
        <v>1275.0586719379098</v>
      </c>
      <c r="EO98" s="60">
        <f ca="1">AVERAGE(OFFSET($EN$3,0,0,'Données projet'!$E$15+1,1))-AVERAGE(OFFSET($H$3,0,0,'Données projet'!$E$15+1,1))</f>
        <v>478.11504516179713</v>
      </c>
      <c r="EP98" s="60">
        <f t="shared" si="100"/>
        <v>249.93713224442419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0</v>
      </c>
      <c r="EW98" s="23">
        <f>EXP(-LN(2)/25)*EW97+(1-EXP(-LN(2)/25))/(LN(2)/25)*Calculateur!ER98*Calculateur!ET98*VLOOKUP('Données projet'!$B$15,Paramètres!$A$1:$I$89,3,0)*0.475*44/12</f>
        <v>0</v>
      </c>
      <c r="EX98" s="23">
        <f>EXP(-LN(2)/2)*EX97+(1-EXP(-LN(2)/2))/(LN(2)/2)*ER98*EU98*VLOOKUP('Données projet'!$B$15,Paramètres!$A$1:$I$89,3,0)*0.475*44/12</f>
        <v>0</v>
      </c>
      <c r="EY98" s="24">
        <f t="shared" si="75"/>
        <v>0</v>
      </c>
      <c r="EZ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5.9</v>
      </c>
      <c r="FE98" s="13">
        <f>IF('Données projet'!$A$218&gt;35,FE97+FD98-FM97,IF(A98&lt;'Données projet'!$A$218,$FB$205^A98,IF(A98='Données projet'!$A$218,'Données projet'!$B$218,FE97+FD98-FM97)))</f>
        <v>331.50000000000011</v>
      </c>
      <c r="FF98" s="18">
        <f>FE98*VLOOKUP('Données projet'!$B$16,Paramètres!$A$1:$I$89,3,0)*VLOOKUP('Données projet'!$B$16,Paramètres!$A$1:$I$89,5,0)</f>
        <v>320.62680000000012</v>
      </c>
      <c r="FG98" s="14">
        <f t="shared" si="101"/>
        <v>75.483756735990909</v>
      </c>
      <c r="FH98" s="22">
        <f t="shared" si="76"/>
        <v>689.89255298185105</v>
      </c>
      <c r="FI98" s="60">
        <f t="shared" si="77"/>
        <v>965.83999890061705</v>
      </c>
      <c r="FJ98" s="60">
        <f ca="1">AVERAGE(OFFSET($FI$3,0,0,'Données projet'!$E$16+1,1))-AVERAGE(OFFSET($H$3,0,0,'Données projet'!$E$16+1,1))</f>
        <v>603.52431522262032</v>
      </c>
      <c r="FK98" s="60">
        <f t="shared" si="102"/>
        <v>313.56299786481338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>
        <f>EXP(-LN(2)/35)*FQ97+(1-EXP(-LN(2)/35))/(LN(2)/35)*FM98*FN98*VLOOKUP('Données projet'!$B$16,Paramètres!$A$1:$I$89,3,0)*0.475*44/12</f>
        <v>0</v>
      </c>
      <c r="FR98" s="23">
        <f>EXP(-LN(2)/25)*FR97+(1-EXP(-LN(2)/25))/(LN(2)/25)*Calculateur!FM98*Calculateur!FO98*VLOOKUP('Données projet'!$B$16,Paramètres!$A$1:$I$89,3,0)*0.475*44/12</f>
        <v>0</v>
      </c>
      <c r="FS98" s="23">
        <f>EXP(-LN(2)/2)*FS97+(1-EXP(-LN(2)/2))/(LN(2)/2)*FM98*FP98*VLOOKUP('Données projet'!$B$16,Paramètres!$A$1:$I$89,3,0)*0.475*44/12</f>
        <v>0</v>
      </c>
      <c r="FT98" s="24">
        <f t="shared" si="78"/>
        <v>0</v>
      </c>
      <c r="FU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>
        <f>VLOOKUP(A98,'Données projet'!$A$243:$I$263,2,0)</f>
        <v>335.25641025641022</v>
      </c>
      <c r="FX98" s="13">
        <f>VLOOKUP(A98,'Données projet'!$A$243:$I$263,9,0)</f>
        <v>4.102564102564088</v>
      </c>
      <c r="FY98" s="13">
        <f t="array" ref="FY98">INDEX(FX:FX,MIN(IF(ISNUMBER(FX98:FX294),ROW(FX98:FX294),"")))</f>
        <v>4.102564102564088</v>
      </c>
      <c r="FZ98" s="13">
        <f>IF('Données projet'!$A$244&gt;35,FZ97+FY98-GH97,IF(A98&lt;'Données projet'!$A$244,$FW$205^A98,IF(A98='Données projet'!$A$244,'Données projet'!$B$244,FZ97+FY98-GH97)))</f>
        <v>335.25641025641028</v>
      </c>
      <c r="GA98" s="18">
        <f>FZ98*VLOOKUP('Données projet'!$B$17,Paramètres!$A$1:$I$89,3,0)*VLOOKUP('Données projet'!$B$17,Paramètres!$A$1:$I$89,5,0)</f>
        <v>224.89000000000001</v>
      </c>
      <c r="GB98" s="14">
        <f t="shared" si="103"/>
        <v>55.17633941105067</v>
      </c>
      <c r="GC98" s="22">
        <f t="shared" si="79"/>
        <v>487.78220780757994</v>
      </c>
      <c r="GD98" s="60">
        <f t="shared" si="80"/>
        <v>763.72965372634587</v>
      </c>
      <c r="GE98" s="60">
        <f ca="1">AVERAGE(OFFSET($GD$3,0,0,'Données projet'!$E$17+1,1))-AVERAGE(OFFSET($H$3,0,0,'Données projet'!$E$17+1,1))</f>
        <v>396.0878652679051</v>
      </c>
      <c r="GF98" s="60">
        <f t="shared" si="104"/>
        <v>327.26339199235406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>
        <f>EXP(-LN(2)/35)*GL97+(1-EXP(-LN(2)/35))/(LN(2)/35)*GH98*GI98*VLOOKUP('Données projet'!$B$17,Paramètres!$A$1:$I$89,3,0)*0.475*44/12</f>
        <v>0</v>
      </c>
      <c r="GM98" s="23">
        <f>EXP(-LN(2)/25)*GM97+(1-EXP(-LN(2)/25))/(LN(2)/25)*Calculateur!GH98*Calculateur!GJ98*VLOOKUP('Données projet'!$B$17,Paramètres!$A$1:$I$89,3,0)*0.475*44/12</f>
        <v>0</v>
      </c>
      <c r="GN98" s="23">
        <f>EXP(-LN(2)/2)*GN97+(1-EXP(-LN(2)/2))/(LN(2)/2)*GH98*GK98*VLOOKUP('Données projet'!$B$17,Paramètres!$A$1:$I$89,3,0)*0.475*44/12</f>
        <v>0</v>
      </c>
      <c r="GO98" s="23">
        <f t="shared" si="81"/>
        <v>0</v>
      </c>
      <c r="GP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-1.1368683772161603E-13</v>
      </c>
      <c r="GV98" s="18">
        <f>GU98*VLOOKUP('Données projet'!$B$18,Paramètres!$A$1:$I$89,3,0)*VLOOKUP('Données projet'!$B$18,Paramètres!$A$1:$I$89,5,0)</f>
        <v>-9.2222762759774927E-14</v>
      </c>
      <c r="GW98" s="14" t="e">
        <f t="shared" si="105"/>
        <v>#NUM!</v>
      </c>
      <c r="GX98" s="22" t="e">
        <f t="shared" si="82"/>
        <v>#NUM!</v>
      </c>
      <c r="GY98" s="60" t="e">
        <f t="shared" si="83"/>
        <v>#NUM!</v>
      </c>
      <c r="GZ98" s="60">
        <f ca="1">AVERAGE(OFFSET($GY$3,0,0,'Données projet'!$E$18+1,1))-AVERAGE(OFFSET($H$3,0,0,'Données projet'!$E$18+1,1))</f>
        <v>272.69564942740931</v>
      </c>
      <c r="HA98" s="60">
        <f t="shared" si="106"/>
        <v>316.57989180609252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>
        <f>EXP(-LN(2)/35)*HG97+(1-EXP(-LN(2)/35))/(LN(2)/35)*HC98*HD98*VLOOKUP('Données projet'!$B$18,Paramètres!$A$1:$I$89,3,0)*0.475*44/12</f>
        <v>0</v>
      </c>
      <c r="HH98" s="23">
        <f>EXP(-LN(2)/25)*HH97+(1-EXP(-LN(2)/25))/(LN(2)/25)*Calculateur!HC98*Calculateur!HE98*VLOOKUP('Données projet'!$B$18,Paramètres!$A$1:$I$89,3,0)*0.475*44/12</f>
        <v>0</v>
      </c>
      <c r="HI98" s="23">
        <f>EXP(-LN(2)/2)*HI97+(1-EXP(-LN(2)/2))/(LN(2)/2)*HC98*HF98*VLOOKUP('Données projet'!$B$18,Paramètres!$A$1:$I$89,3,0)*0.475*44/12</f>
        <v>0</v>
      </c>
      <c r="HJ98" s="24">
        <f t="shared" si="84"/>
        <v>0</v>
      </c>
    </row>
    <row r="99" spans="1:218" s="5" customFormat="1" x14ac:dyDescent="0.25">
      <c r="A99" s="11">
        <f t="shared" si="85"/>
        <v>96</v>
      </c>
      <c r="B99" s="75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8">
        <f t="shared" si="56"/>
        <v>183.33333333333334</v>
      </c>
      <c r="I99" s="7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5.9</v>
      </c>
      <c r="N99" s="14">
        <f>IF('Données projet'!$A$36&gt;35,N98+M99-V98,IF(A99&lt;'Données projet'!$A$36,$K$205^A99,IF(A99='Données projet'!$A$36,'Données projet'!$B$36,N98+M99-V98)))</f>
        <v>337.40000000000009</v>
      </c>
      <c r="O99" s="14">
        <f>N99*VLOOKUP('Données projet'!$B$9,Paramètres!$A$1:$I$89,3,0)*VLOOKUP('Données projet'!$B$9,Paramètres!$A$1:$I$89,5,0)</f>
        <v>305.27952000000005</v>
      </c>
      <c r="P99" s="14">
        <f t="shared" si="87"/>
        <v>72.282127407576866</v>
      </c>
      <c r="Q99" s="22">
        <f t="shared" ref="Q99:Q130" si="107">(O99+P99)*0.475*44/12</f>
        <v>657.58653590152971</v>
      </c>
      <c r="R99" s="60">
        <f t="shared" si="55"/>
        <v>933.83558809791714</v>
      </c>
      <c r="S99" s="60">
        <f ca="1">AVERAGE(OFFSET($R$3,0,0,'Données projet'!$E$9+1,1))-AVERAGE(OFFSET($H$3,0,0,'Données projet'!$E$9+1,1))</f>
        <v>570.08763950759544</v>
      </c>
      <c r="T99" s="60">
        <f t="shared" si="88"/>
        <v>297.32483725004136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-5.6843418860808015E-14</v>
      </c>
      <c r="AJ99" s="14">
        <f>AI99*VLOOKUP('Données projet'!$B$10,Paramètres!$A$1:$I$89,3,0)*VLOOKUP('Données projet'!$B$10,Paramètres!$A$1:$I$89,5,0)</f>
        <v>-4.5224624045658861E-14</v>
      </c>
      <c r="AK99" s="14" t="e">
        <f t="shared" si="89"/>
        <v>#NUM!</v>
      </c>
      <c r="AL99" s="22" t="e">
        <f t="shared" si="58"/>
        <v>#NUM!</v>
      </c>
      <c r="AM99" s="60" t="e">
        <f t="shared" si="59"/>
        <v>#NUM!</v>
      </c>
      <c r="AN99" s="60">
        <f ca="1">AVERAGE(OFFSET($AM$3,0,0,'Données projet'!$E$10+1,1))-AVERAGE(OFFSET($H$3,0,0,'Données projet'!$E$10+1,1))</f>
        <v>394.49874384716014</v>
      </c>
      <c r="AO99" s="60">
        <f t="shared" si="90"/>
        <v>423.72519584013378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3.4106051316484809E-13</v>
      </c>
      <c r="BE99" s="14">
        <f>BD99*VLOOKUP('Données projet'!$B$11,Paramètres!$A$1:$I$89,3,0)*VLOOKUP('Données projet'!$B$11,Paramètres!$A$1:$I$89,5,0)</f>
        <v>2.9795046430081134E-13</v>
      </c>
      <c r="BF99" s="14">
        <f t="shared" si="91"/>
        <v>3.9419014464513778E-12</v>
      </c>
      <c r="BG99" s="22">
        <f t="shared" si="61"/>
        <v>7.384408744560063E-12</v>
      </c>
      <c r="BH99" s="60">
        <f t="shared" si="62"/>
        <v>276.24905219639481</v>
      </c>
      <c r="BI99" s="60">
        <f ca="1">AVERAGE(OFFSET($BH$3,0,0,'Données projet'!$E$11+1,1))-AVERAGE(OFFSET($H$3,0,0,'Données projet'!$E$11+1,1))</f>
        <v>363.28611056308665</v>
      </c>
      <c r="BJ99" s="60">
        <f t="shared" si="92"/>
        <v>389.43647559455974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3.5897435897435854</v>
      </c>
      <c r="BY99" s="13">
        <f>IF('Données projet'!$A$114&gt;35,BY98+BX99-CG98,IF(A99&lt;'Données projet'!$A$114,$BV$205^A99,IF(A99='Données projet'!$A$114,'Données projet'!$B$114,BY98+BX99-CG98)))</f>
        <v>243.97435897435898</v>
      </c>
      <c r="BZ99" s="14">
        <f>BY99*VLOOKUP('Données projet'!$B$12,Paramètres!$A$1:$I$89,3,0)*VLOOKUP('Données projet'!$B$12,Paramètres!$A$1:$I$89,5,0)</f>
        <v>232.166</v>
      </c>
      <c r="CA99" s="14">
        <f t="shared" si="93"/>
        <v>56.750765573960223</v>
      </c>
      <c r="CB99" s="22">
        <f t="shared" si="64"/>
        <v>503.19670004131399</v>
      </c>
      <c r="CC99" s="60">
        <f t="shared" si="65"/>
        <v>779.44575223770141</v>
      </c>
      <c r="CD99" s="60">
        <f ca="1">AVERAGE(OFFSET($CC$3,0,0,'Données projet'!$E$12+1,1))-AVERAGE(OFFSET($H$3,0,0,'Données projet'!$E$12+1,1))</f>
        <v>441.15969139782891</v>
      </c>
      <c r="CE99" s="60">
        <f t="shared" si="94"/>
        <v>315.06466790224783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-5.6843418860808015E-14</v>
      </c>
      <c r="CU99" s="18">
        <f>CT99*VLOOKUP('Données projet'!$B$13,Paramètres!$A$1:$I$89,3,0)*VLOOKUP('Données projet'!$B$13,Paramètres!$A$1:$I$89,5,0)</f>
        <v>-4.1677594708744434E-14</v>
      </c>
      <c r="CV99" s="14" t="e">
        <f t="shared" si="95"/>
        <v>#NUM!</v>
      </c>
      <c r="CW99" s="22" t="e">
        <f t="shared" si="67"/>
        <v>#NUM!</v>
      </c>
      <c r="CX99" s="60" t="e">
        <f t="shared" si="68"/>
        <v>#NUM!</v>
      </c>
      <c r="CY99" s="60">
        <f ca="1">AVERAGE(OFFSET($CX$3,0,0,'Données projet'!$E$13+1,1))-AVERAGE(OFFSET($H$3,0,0,'Données projet'!$E$13+1,1))</f>
        <v>368.35775920359396</v>
      </c>
      <c r="CZ99" s="60">
        <f t="shared" si="96"/>
        <v>395.5218438652638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1.1368683772161603E-13</v>
      </c>
      <c r="DP99" s="18">
        <f>DO99*VLOOKUP('Données projet'!$B$14,Paramètres!$A$1:$I$89,3,0)*VLOOKUP('Données projet'!$B$14,Paramètres!$A$1:$I$89,5,0)</f>
        <v>8.8675733422860506E-14</v>
      </c>
      <c r="DQ99" s="14">
        <f t="shared" si="97"/>
        <v>1.3509285393066301E-12</v>
      </c>
      <c r="DR99" s="22">
        <f t="shared" si="70"/>
        <v>2.5073107750038623E-12</v>
      </c>
      <c r="DS99" s="60">
        <f t="shared" si="71"/>
        <v>276.24905219638993</v>
      </c>
      <c r="DT99" s="60">
        <f ca="1">AVERAGE(OFFSET($DS$3,0,0,'Données projet'!$E$14+1,1))-AVERAGE(OFFSET($H$3,0,0,'Données projet'!$E$14+1,1))</f>
        <v>312.59632808777332</v>
      </c>
      <c r="DU99" s="60">
        <f t="shared" si="98"/>
        <v>302.59481222418219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0</v>
      </c>
      <c r="EE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>
        <f>VLOOKUP(A99,'Données projet'!$A$191:$I$211,2,0)</f>
        <v>557</v>
      </c>
      <c r="EH99" s="13">
        <f>VLOOKUP(A99,'Données projet'!$A$191:$I$211,9,0)</f>
        <v>11.333333333333334</v>
      </c>
      <c r="EI99" s="13">
        <f t="array" ref="EI99">INDEX(EH:EH,MIN(IF(ISNUMBER(EH99:EH295),ROW(EH99:EH295),"")))</f>
        <v>11.333333333333334</v>
      </c>
      <c r="EJ99" s="13">
        <f>IF('Données projet'!$A$192&gt;35,EJ98+EI99-ER98,IF(A99&lt;'Données projet'!$A$192,$EG$205^A99,IF(A99='Données projet'!$A$192,'Données projet'!$B$192,EJ98+EI99-ER98)))</f>
        <v>556.99999999999977</v>
      </c>
      <c r="EK99" s="18">
        <f>EJ99*VLOOKUP('Données projet'!$B$15,Paramètres!$A$1:$I$89,3,0)*VLOOKUP('Données projet'!$B$15,Paramètres!$A$1:$I$89,5,0)</f>
        <v>477.90599999999989</v>
      </c>
      <c r="EL99" s="14">
        <f t="shared" si="99"/>
        <v>107.4036604395269</v>
      </c>
      <c r="EM99" s="22">
        <f t="shared" si="73"/>
        <v>1019.4143252655093</v>
      </c>
      <c r="EN99" s="60">
        <f t="shared" si="74"/>
        <v>1295.6633774618967</v>
      </c>
      <c r="EO99" s="60">
        <f ca="1">AVERAGE(OFFSET($EN$3,0,0,'Données projet'!$E$15+1,1))-AVERAGE(OFFSET($H$3,0,0,'Données projet'!$E$15+1,1))</f>
        <v>478.11504516179713</v>
      </c>
      <c r="EP99" s="60">
        <f t="shared" si="100"/>
        <v>249.93713224442419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0</v>
      </c>
      <c r="EW99" s="23">
        <f>EXP(-LN(2)/25)*EW98+(1-EXP(-LN(2)/25))/(LN(2)/25)*Calculateur!ER99*Calculateur!ET99*VLOOKUP('Données projet'!$B$15,Paramètres!$A$1:$I$89,3,0)*0.475*44/12</f>
        <v>0</v>
      </c>
      <c r="EX99" s="23">
        <f>EXP(-LN(2)/2)*EX98+(1-EXP(-LN(2)/2))/(LN(2)/2)*ER99*EU99*VLOOKUP('Données projet'!$B$15,Paramètres!$A$1:$I$89,3,0)*0.475*44/12</f>
        <v>0</v>
      </c>
      <c r="EY99" s="24">
        <f t="shared" si="75"/>
        <v>0</v>
      </c>
      <c r="EZ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5.9</v>
      </c>
      <c r="FE99" s="13">
        <f>IF('Données projet'!$A$218&gt;35,FE98+FD99-FM98,IF(A99&lt;'Données projet'!$A$218,$FB$205^A99,IF(A99='Données projet'!$A$218,'Données projet'!$B$218,FE98+FD99-FM98)))</f>
        <v>337.40000000000009</v>
      </c>
      <c r="FF99" s="18">
        <f>FE99*VLOOKUP('Données projet'!$B$16,Paramètres!$A$1:$I$89,3,0)*VLOOKUP('Données projet'!$B$16,Paramètres!$A$1:$I$89,5,0)</f>
        <v>326.33328000000006</v>
      </c>
      <c r="FG99" s="14">
        <f t="shared" si="101"/>
        <v>76.669608914490098</v>
      </c>
      <c r="FH99" s="22">
        <f t="shared" si="76"/>
        <v>701.89669819273695</v>
      </c>
      <c r="FI99" s="60">
        <f t="shared" si="77"/>
        <v>978.14575038912437</v>
      </c>
      <c r="FJ99" s="60">
        <f ca="1">AVERAGE(OFFSET($FI$3,0,0,'Données projet'!$E$16+1,1))-AVERAGE(OFFSET($H$3,0,0,'Données projet'!$E$16+1,1))</f>
        <v>603.52431522262032</v>
      </c>
      <c r="FK99" s="60">
        <f t="shared" si="102"/>
        <v>313.56299786481338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>
        <f>EXP(-LN(2)/35)*FQ98+(1-EXP(-LN(2)/35))/(LN(2)/35)*FM99*FN99*VLOOKUP('Données projet'!$B$16,Paramètres!$A$1:$I$89,3,0)*0.475*44/12</f>
        <v>0</v>
      </c>
      <c r="FR99" s="23">
        <f>EXP(-LN(2)/25)*FR98+(1-EXP(-LN(2)/25))/(LN(2)/25)*Calculateur!FM99*Calculateur!FO99*VLOOKUP('Données projet'!$B$16,Paramètres!$A$1:$I$89,3,0)*0.475*44/12</f>
        <v>0</v>
      </c>
      <c r="FS99" s="23">
        <f>EXP(-LN(2)/2)*FS98+(1-EXP(-LN(2)/2))/(LN(2)/2)*FM99*FP99*VLOOKUP('Données projet'!$B$16,Paramètres!$A$1:$I$89,3,0)*0.475*44/12</f>
        <v>0</v>
      </c>
      <c r="FT99" s="24">
        <f t="shared" si="78"/>
        <v>0</v>
      </c>
      <c r="FU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3.9743589743589838</v>
      </c>
      <c r="FZ99" s="13">
        <f>IF('Données projet'!$A$244&gt;35,FZ98+FY99-GH98,IF(A99&lt;'Données projet'!$A$244,$FW$205^A99,IF(A99='Données projet'!$A$244,'Données projet'!$B$244,FZ98+FY99-GH98)))</f>
        <v>339.23076923076928</v>
      </c>
      <c r="GA99" s="18">
        <f>FZ99*VLOOKUP('Données projet'!$B$17,Paramètres!$A$1:$I$89,3,0)*VLOOKUP('Données projet'!$B$17,Paramètres!$A$1:$I$89,5,0)</f>
        <v>227.55600000000004</v>
      </c>
      <c r="GB99" s="14">
        <f t="shared" si="103"/>
        <v>55.753903477108544</v>
      </c>
      <c r="GC99" s="22">
        <f t="shared" si="79"/>
        <v>493.43141522263085</v>
      </c>
      <c r="GD99" s="60">
        <f t="shared" si="80"/>
        <v>769.68046741901821</v>
      </c>
      <c r="GE99" s="60">
        <f ca="1">AVERAGE(OFFSET($GD$3,0,0,'Données projet'!$E$17+1,1))-AVERAGE(OFFSET($H$3,0,0,'Données projet'!$E$17+1,1))</f>
        <v>396.0878652679051</v>
      </c>
      <c r="GF99" s="60">
        <f t="shared" si="104"/>
        <v>327.26339199235406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>
        <f>EXP(-LN(2)/35)*GL98+(1-EXP(-LN(2)/35))/(LN(2)/35)*GH99*GI99*VLOOKUP('Données projet'!$B$17,Paramètres!$A$1:$I$89,3,0)*0.475*44/12</f>
        <v>0</v>
      </c>
      <c r="GM99" s="23">
        <f>EXP(-LN(2)/25)*GM98+(1-EXP(-LN(2)/25))/(LN(2)/25)*Calculateur!GH99*Calculateur!GJ99*VLOOKUP('Données projet'!$B$17,Paramètres!$A$1:$I$89,3,0)*0.475*44/12</f>
        <v>0</v>
      </c>
      <c r="GN99" s="23">
        <f>EXP(-LN(2)/2)*GN98+(1-EXP(-LN(2)/2))/(LN(2)/2)*GH99*GK99*VLOOKUP('Données projet'!$B$17,Paramètres!$A$1:$I$89,3,0)*0.475*44/12</f>
        <v>0</v>
      </c>
      <c r="GO99" s="23">
        <f t="shared" si="81"/>
        <v>0</v>
      </c>
      <c r="GP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-1.1368683772161603E-13</v>
      </c>
      <c r="GV99" s="18">
        <f>GU99*VLOOKUP('Données projet'!$B$18,Paramètres!$A$1:$I$89,3,0)*VLOOKUP('Données projet'!$B$18,Paramètres!$A$1:$I$89,5,0)</f>
        <v>-9.2222762759774927E-14</v>
      </c>
      <c r="GW99" s="14" t="e">
        <f t="shared" si="105"/>
        <v>#NUM!</v>
      </c>
      <c r="GX99" s="22" t="e">
        <f t="shared" si="82"/>
        <v>#NUM!</v>
      </c>
      <c r="GY99" s="60" t="e">
        <f t="shared" si="83"/>
        <v>#NUM!</v>
      </c>
      <c r="GZ99" s="60">
        <f ca="1">AVERAGE(OFFSET($GY$3,0,0,'Données projet'!$E$18+1,1))-AVERAGE(OFFSET($H$3,0,0,'Données projet'!$E$18+1,1))</f>
        <v>272.69564942740931</v>
      </c>
      <c r="HA99" s="60">
        <f t="shared" si="106"/>
        <v>316.57989180609252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>
        <f>EXP(-LN(2)/35)*HG98+(1-EXP(-LN(2)/35))/(LN(2)/35)*HC99*HD99*VLOOKUP('Données projet'!$B$18,Paramètres!$A$1:$I$89,3,0)*0.475*44/12</f>
        <v>0</v>
      </c>
      <c r="HH99" s="23">
        <f>EXP(-LN(2)/25)*HH98+(1-EXP(-LN(2)/25))/(LN(2)/25)*Calculateur!HC99*Calculateur!HE99*VLOOKUP('Données projet'!$B$18,Paramètres!$A$1:$I$89,3,0)*0.475*44/12</f>
        <v>0</v>
      </c>
      <c r="HI99" s="23">
        <f>EXP(-LN(2)/2)*HI98+(1-EXP(-LN(2)/2))/(LN(2)/2)*HC99*HF99*VLOOKUP('Données projet'!$B$18,Paramètres!$A$1:$I$89,3,0)*0.475*44/12</f>
        <v>0</v>
      </c>
      <c r="HJ99" s="24">
        <f t="shared" si="84"/>
        <v>0</v>
      </c>
    </row>
    <row r="100" spans="1:218" s="5" customFormat="1" x14ac:dyDescent="0.25">
      <c r="A100" s="11">
        <f t="shared" si="85"/>
        <v>97</v>
      </c>
      <c r="B100" s="75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8">
        <f t="shared" si="56"/>
        <v>183.33333333333334</v>
      </c>
      <c r="I100" s="7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5.9</v>
      </c>
      <c r="N100" s="14">
        <f>IF('Données projet'!$A$36&gt;35,N99+M100-V99,IF(A100&lt;'Données projet'!$A$36,$K$205^A100,IF(A100='Données projet'!$A$36,'Données projet'!$B$36,N99+M100-V99)))</f>
        <v>343.30000000000007</v>
      </c>
      <c r="O100" s="14">
        <f>N100*VLOOKUP('Données projet'!$B$9,Paramètres!$A$1:$I$89,3,0)*VLOOKUP('Données projet'!$B$9,Paramètres!$A$1:$I$89,5,0)</f>
        <v>310.61784000000006</v>
      </c>
      <c r="P100" s="14">
        <f t="shared" si="87"/>
        <v>73.397844798859666</v>
      </c>
      <c r="Q100" s="22">
        <f t="shared" si="107"/>
        <v>668.82731769134739</v>
      </c>
      <c r="R100" s="60">
        <f t="shared" si="55"/>
        <v>945.3727439707302</v>
      </c>
      <c r="S100" s="60">
        <f ca="1">AVERAGE(OFFSET($R$3,0,0,'Données projet'!$E$9+1,1))-AVERAGE(OFFSET($H$3,0,0,'Données projet'!$E$9+1,1))</f>
        <v>570.08763950759544</v>
      </c>
      <c r="T100" s="60">
        <f t="shared" si="88"/>
        <v>297.32483725004136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-5.6843418860808015E-14</v>
      </c>
      <c r="AJ100" s="14">
        <f>AI100*VLOOKUP('Données projet'!$B$10,Paramètres!$A$1:$I$89,3,0)*VLOOKUP('Données projet'!$B$10,Paramètres!$A$1:$I$89,5,0)</f>
        <v>-4.5224624045658861E-14</v>
      </c>
      <c r="AK100" s="14" t="e">
        <f t="shared" si="89"/>
        <v>#NUM!</v>
      </c>
      <c r="AL100" s="22" t="e">
        <f t="shared" si="58"/>
        <v>#NUM!</v>
      </c>
      <c r="AM100" s="60" t="e">
        <f t="shared" si="59"/>
        <v>#NUM!</v>
      </c>
      <c r="AN100" s="60">
        <f ca="1">AVERAGE(OFFSET($AM$3,0,0,'Données projet'!$E$10+1,1))-AVERAGE(OFFSET($H$3,0,0,'Données projet'!$E$10+1,1))</f>
        <v>394.49874384716014</v>
      </c>
      <c r="AO100" s="60">
        <f t="shared" si="90"/>
        <v>423.72519584013378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3.4106051316484809E-13</v>
      </c>
      <c r="BE100" s="14">
        <f>BD100*VLOOKUP('Données projet'!$B$11,Paramètres!$A$1:$I$89,3,0)*VLOOKUP('Données projet'!$B$11,Paramètres!$A$1:$I$89,5,0)</f>
        <v>2.9795046430081134E-13</v>
      </c>
      <c r="BF100" s="14">
        <f t="shared" si="91"/>
        <v>3.9419014464513778E-12</v>
      </c>
      <c r="BG100" s="22">
        <f t="shared" si="61"/>
        <v>7.384408744560063E-12</v>
      </c>
      <c r="BH100" s="60">
        <f t="shared" si="62"/>
        <v>276.5454262793902</v>
      </c>
      <c r="BI100" s="60">
        <f ca="1">AVERAGE(OFFSET($BH$3,0,0,'Données projet'!$E$11+1,1))-AVERAGE(OFFSET($H$3,0,0,'Données projet'!$E$11+1,1))</f>
        <v>363.28611056308665</v>
      </c>
      <c r="BJ100" s="60">
        <f t="shared" si="92"/>
        <v>389.43647559455974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3.5897435897435854</v>
      </c>
      <c r="BY100" s="13">
        <f>IF('Données projet'!$A$114&gt;35,BY99+BX100-CG99,IF(A100&lt;'Données projet'!$A$114,$BV$205^A100,IF(A100='Données projet'!$A$114,'Données projet'!$B$114,BY99+BX100-CG99)))</f>
        <v>247.56410256410257</v>
      </c>
      <c r="BZ100" s="14">
        <f>BY100*VLOOKUP('Données projet'!$B$12,Paramètres!$A$1:$I$89,3,0)*VLOOKUP('Données projet'!$B$12,Paramètres!$A$1:$I$89,5,0)</f>
        <v>235.58199999999999</v>
      </c>
      <c r="CA100" s="14">
        <f t="shared" si="93"/>
        <v>57.487950824806624</v>
      </c>
      <c r="CB100" s="22">
        <f t="shared" si="64"/>
        <v>510.4301643532047</v>
      </c>
      <c r="CC100" s="60">
        <f t="shared" si="65"/>
        <v>786.97559063258745</v>
      </c>
      <c r="CD100" s="60">
        <f ca="1">AVERAGE(OFFSET($CC$3,0,0,'Données projet'!$E$12+1,1))-AVERAGE(OFFSET($H$3,0,0,'Données projet'!$E$12+1,1))</f>
        <v>441.15969139782891</v>
      </c>
      <c r="CE100" s="60">
        <f t="shared" si="94"/>
        <v>315.06466790224783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-5.6843418860808015E-14</v>
      </c>
      <c r="CU100" s="18">
        <f>CT100*VLOOKUP('Données projet'!$B$13,Paramètres!$A$1:$I$89,3,0)*VLOOKUP('Données projet'!$B$13,Paramètres!$A$1:$I$89,5,0)</f>
        <v>-4.1677594708744434E-14</v>
      </c>
      <c r="CV100" s="14" t="e">
        <f t="shared" si="95"/>
        <v>#NUM!</v>
      </c>
      <c r="CW100" s="22" t="e">
        <f t="shared" si="67"/>
        <v>#NUM!</v>
      </c>
      <c r="CX100" s="60" t="e">
        <f t="shared" si="68"/>
        <v>#NUM!</v>
      </c>
      <c r="CY100" s="60">
        <f ca="1">AVERAGE(OFFSET($CX$3,0,0,'Données projet'!$E$13+1,1))-AVERAGE(OFFSET($H$3,0,0,'Données projet'!$E$13+1,1))</f>
        <v>368.35775920359396</v>
      </c>
      <c r="CZ100" s="60">
        <f t="shared" si="96"/>
        <v>395.5218438652638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1.1368683772161603E-13</v>
      </c>
      <c r="DP100" s="18">
        <f>DO100*VLOOKUP('Données projet'!$B$14,Paramètres!$A$1:$I$89,3,0)*VLOOKUP('Données projet'!$B$14,Paramètres!$A$1:$I$89,5,0)</f>
        <v>8.8675733422860506E-14</v>
      </c>
      <c r="DQ100" s="14">
        <f t="shared" si="97"/>
        <v>1.3509285393066301E-12</v>
      </c>
      <c r="DR100" s="22">
        <f t="shared" si="70"/>
        <v>2.5073107750038623E-12</v>
      </c>
      <c r="DS100" s="60">
        <f t="shared" si="71"/>
        <v>276.54542627938531</v>
      </c>
      <c r="DT100" s="60">
        <f ca="1">AVERAGE(OFFSET($DS$3,0,0,'Données projet'!$E$14+1,1))-AVERAGE(OFFSET($H$3,0,0,'Données projet'!$E$14+1,1))</f>
        <v>312.59632808777332</v>
      </c>
      <c r="DU100" s="60">
        <f t="shared" si="98"/>
        <v>302.59481222418219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0</v>
      </c>
      <c r="EE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11.333333333333334</v>
      </c>
      <c r="EJ100" s="13">
        <f>IF('Données projet'!$A$192&gt;35,EJ99+EI100-ER99,IF(A100&lt;'Données projet'!$A$192,$EG$205^A100,IF(A100='Données projet'!$A$192,'Données projet'!$B$192,EJ99+EI100-ER99)))</f>
        <v>568.33333333333314</v>
      </c>
      <c r="EK100" s="18">
        <f>EJ100*VLOOKUP('Données projet'!$B$15,Paramètres!$A$1:$I$89,3,0)*VLOOKUP('Données projet'!$B$15,Paramètres!$A$1:$I$89,5,0)</f>
        <v>487.62999999999988</v>
      </c>
      <c r="EL100" s="14">
        <f t="shared" si="99"/>
        <v>109.33236859887117</v>
      </c>
      <c r="EM100" s="22">
        <f t="shared" si="73"/>
        <v>1039.7094586430337</v>
      </c>
      <c r="EN100" s="60">
        <f t="shared" si="74"/>
        <v>1316.2548849224165</v>
      </c>
      <c r="EO100" s="60">
        <f ca="1">AVERAGE(OFFSET($EN$3,0,0,'Données projet'!$E$15+1,1))-AVERAGE(OFFSET($H$3,0,0,'Données projet'!$E$15+1,1))</f>
        <v>478.11504516179713</v>
      </c>
      <c r="EP100" s="60">
        <f t="shared" si="100"/>
        <v>249.93713224442419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0</v>
      </c>
      <c r="EW100" s="23">
        <f>EXP(-LN(2)/25)*EW99+(1-EXP(-LN(2)/25))/(LN(2)/25)*Calculateur!ER100*Calculateur!ET100*VLOOKUP('Données projet'!$B$15,Paramètres!$A$1:$I$89,3,0)*0.475*44/12</f>
        <v>0</v>
      </c>
      <c r="EX100" s="23">
        <f>EXP(-LN(2)/2)*EX99+(1-EXP(-LN(2)/2))/(LN(2)/2)*ER100*EU100*VLOOKUP('Données projet'!$B$15,Paramètres!$A$1:$I$89,3,0)*0.475*44/12</f>
        <v>0</v>
      </c>
      <c r="EY100" s="24">
        <f t="shared" si="75"/>
        <v>0</v>
      </c>
      <c r="EZ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5.9</v>
      </c>
      <c r="FE100" s="13">
        <f>IF('Données projet'!$A$218&gt;35,FE99+FD100-FM99,IF(A100&lt;'Données projet'!$A$218,$FB$205^A100,IF(A100='Données projet'!$A$218,'Données projet'!$B$218,FE99+FD100-FM99)))</f>
        <v>343.30000000000007</v>
      </c>
      <c r="FF100" s="18">
        <f>FE100*VLOOKUP('Données projet'!$B$16,Paramètres!$A$1:$I$89,3,0)*VLOOKUP('Données projet'!$B$16,Paramètres!$A$1:$I$89,5,0)</f>
        <v>332.03976000000006</v>
      </c>
      <c r="FG100" s="14">
        <f t="shared" si="101"/>
        <v>77.853049678019573</v>
      </c>
      <c r="FH100" s="22">
        <f t="shared" si="76"/>
        <v>713.89664352255079</v>
      </c>
      <c r="FI100" s="60">
        <f t="shared" si="77"/>
        <v>990.4420698019336</v>
      </c>
      <c r="FJ100" s="60">
        <f ca="1">AVERAGE(OFFSET($FI$3,0,0,'Données projet'!$E$16+1,1))-AVERAGE(OFFSET($H$3,0,0,'Données projet'!$E$16+1,1))</f>
        <v>603.52431522262032</v>
      </c>
      <c r="FK100" s="60">
        <f t="shared" si="102"/>
        <v>313.56299786481338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>
        <f>EXP(-LN(2)/35)*FQ99+(1-EXP(-LN(2)/35))/(LN(2)/35)*FM100*FN100*VLOOKUP('Données projet'!$B$16,Paramètres!$A$1:$I$89,3,0)*0.475*44/12</f>
        <v>0</v>
      </c>
      <c r="FR100" s="23">
        <f>EXP(-LN(2)/25)*FR99+(1-EXP(-LN(2)/25))/(LN(2)/25)*Calculateur!FM100*Calculateur!FO100*VLOOKUP('Données projet'!$B$16,Paramètres!$A$1:$I$89,3,0)*0.475*44/12</f>
        <v>0</v>
      </c>
      <c r="FS100" s="23">
        <f>EXP(-LN(2)/2)*FS99+(1-EXP(-LN(2)/2))/(LN(2)/2)*FM100*FP100*VLOOKUP('Données projet'!$B$16,Paramètres!$A$1:$I$89,3,0)*0.475*44/12</f>
        <v>0</v>
      </c>
      <c r="FT100" s="24">
        <f t="shared" si="78"/>
        <v>0</v>
      </c>
      <c r="FU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3.9743589743589838</v>
      </c>
      <c r="FZ100" s="13">
        <f>IF('Données projet'!$A$244&gt;35,FZ99+FY100-GH99,IF(A100&lt;'Données projet'!$A$244,$FW$205^A100,IF(A100='Données projet'!$A$244,'Données projet'!$B$244,FZ99+FY100-GH99)))</f>
        <v>343.20512820512829</v>
      </c>
      <c r="GA100" s="18">
        <f>FZ100*VLOOKUP('Données projet'!$B$17,Paramètres!$A$1:$I$89,3,0)*VLOOKUP('Données projet'!$B$17,Paramètres!$A$1:$I$89,5,0)</f>
        <v>230.22200000000004</v>
      </c>
      <c r="GB100" s="14">
        <f t="shared" si="103"/>
        <v>56.330680425949346</v>
      </c>
      <c r="GC100" s="22">
        <f t="shared" si="79"/>
        <v>499.07925174186192</v>
      </c>
      <c r="GD100" s="60">
        <f t="shared" si="80"/>
        <v>775.62467802124479</v>
      </c>
      <c r="GE100" s="60">
        <f ca="1">AVERAGE(OFFSET($GD$3,0,0,'Données projet'!$E$17+1,1))-AVERAGE(OFFSET($H$3,0,0,'Données projet'!$E$17+1,1))</f>
        <v>396.0878652679051</v>
      </c>
      <c r="GF100" s="60">
        <f t="shared" si="104"/>
        <v>327.26339199235406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>
        <f>EXP(-LN(2)/35)*GL99+(1-EXP(-LN(2)/35))/(LN(2)/35)*GH100*GI100*VLOOKUP('Données projet'!$B$17,Paramètres!$A$1:$I$89,3,0)*0.475*44/12</f>
        <v>0</v>
      </c>
      <c r="GM100" s="23">
        <f>EXP(-LN(2)/25)*GM99+(1-EXP(-LN(2)/25))/(LN(2)/25)*Calculateur!GH100*Calculateur!GJ100*VLOOKUP('Données projet'!$B$17,Paramètres!$A$1:$I$89,3,0)*0.475*44/12</f>
        <v>0</v>
      </c>
      <c r="GN100" s="23">
        <f>EXP(-LN(2)/2)*GN99+(1-EXP(-LN(2)/2))/(LN(2)/2)*GH100*GK100*VLOOKUP('Données projet'!$B$17,Paramètres!$A$1:$I$89,3,0)*0.475*44/12</f>
        <v>0</v>
      </c>
      <c r="GO100" s="23">
        <f t="shared" si="81"/>
        <v>0</v>
      </c>
      <c r="GP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-1.1368683772161603E-13</v>
      </c>
      <c r="GV100" s="18">
        <f>GU100*VLOOKUP('Données projet'!$B$18,Paramètres!$A$1:$I$89,3,0)*VLOOKUP('Données projet'!$B$18,Paramètres!$A$1:$I$89,5,0)</f>
        <v>-9.2222762759774927E-14</v>
      </c>
      <c r="GW100" s="14" t="e">
        <f t="shared" si="105"/>
        <v>#NUM!</v>
      </c>
      <c r="GX100" s="22" t="e">
        <f t="shared" si="82"/>
        <v>#NUM!</v>
      </c>
      <c r="GY100" s="60" t="e">
        <f t="shared" si="83"/>
        <v>#NUM!</v>
      </c>
      <c r="GZ100" s="60">
        <f ca="1">AVERAGE(OFFSET($GY$3,0,0,'Données projet'!$E$18+1,1))-AVERAGE(OFFSET($H$3,0,0,'Données projet'!$E$18+1,1))</f>
        <v>272.69564942740931</v>
      </c>
      <c r="HA100" s="60">
        <f t="shared" si="106"/>
        <v>316.57989180609252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>
        <f>EXP(-LN(2)/35)*HG99+(1-EXP(-LN(2)/35))/(LN(2)/35)*HC100*HD100*VLOOKUP('Données projet'!$B$18,Paramètres!$A$1:$I$89,3,0)*0.475*44/12</f>
        <v>0</v>
      </c>
      <c r="HH100" s="23">
        <f>EXP(-LN(2)/25)*HH99+(1-EXP(-LN(2)/25))/(LN(2)/25)*Calculateur!HC100*Calculateur!HE100*VLOOKUP('Données projet'!$B$18,Paramètres!$A$1:$I$89,3,0)*0.475*44/12</f>
        <v>0</v>
      </c>
      <c r="HI100" s="23">
        <f>EXP(-LN(2)/2)*HI99+(1-EXP(-LN(2)/2))/(LN(2)/2)*HC100*HF100*VLOOKUP('Données projet'!$B$18,Paramètres!$A$1:$I$89,3,0)*0.475*44/12</f>
        <v>0</v>
      </c>
      <c r="HJ100" s="24">
        <f t="shared" si="84"/>
        <v>0</v>
      </c>
    </row>
    <row r="101" spans="1:218" s="5" customFormat="1" x14ac:dyDescent="0.25">
      <c r="A101" s="11">
        <f t="shared" si="85"/>
        <v>98</v>
      </c>
      <c r="B101" s="75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8">
        <f t="shared" si="56"/>
        <v>183.33333333333334</v>
      </c>
      <c r="I101" s="7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5.9</v>
      </c>
      <c r="N101" s="14">
        <f>IF('Données projet'!$A$36&gt;35,N100+M101-V100,IF(A101&lt;'Données projet'!$A$36,$K$205^A101,IF(A101='Données projet'!$A$36,'Données projet'!$B$36,N100+M101-V100)))</f>
        <v>349.20000000000005</v>
      </c>
      <c r="O101" s="14">
        <f>N101*VLOOKUP('Données projet'!$B$9,Paramètres!$A$1:$I$89,3,0)*VLOOKUP('Données projet'!$B$9,Paramètres!$A$1:$I$89,5,0)</f>
        <v>315.95616000000001</v>
      </c>
      <c r="P101" s="14">
        <f t="shared" si="87"/>
        <v>74.511332350301046</v>
      </c>
      <c r="Q101" s="22">
        <f t="shared" si="107"/>
        <v>680.06421584344105</v>
      </c>
      <c r="R101" s="60">
        <f t="shared" si="55"/>
        <v>956.90087477807242</v>
      </c>
      <c r="S101" s="60">
        <f ca="1">AVERAGE(OFFSET($R$3,0,0,'Données projet'!$E$9+1,1))-AVERAGE(OFFSET($H$3,0,0,'Données projet'!$E$9+1,1))</f>
        <v>570.08763950759544</v>
      </c>
      <c r="T101" s="60">
        <f t="shared" si="88"/>
        <v>297.32483725004136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-5.6843418860808015E-14</v>
      </c>
      <c r="AJ101" s="14">
        <f>AI101*VLOOKUP('Données projet'!$B$10,Paramètres!$A$1:$I$89,3,0)*VLOOKUP('Données projet'!$B$10,Paramètres!$A$1:$I$89,5,0)</f>
        <v>-4.5224624045658861E-14</v>
      </c>
      <c r="AK101" s="14" t="e">
        <f t="shared" si="89"/>
        <v>#NUM!</v>
      </c>
      <c r="AL101" s="22" t="e">
        <f t="shared" si="58"/>
        <v>#NUM!</v>
      </c>
      <c r="AM101" s="60" t="e">
        <f t="shared" si="59"/>
        <v>#NUM!</v>
      </c>
      <c r="AN101" s="60">
        <f ca="1">AVERAGE(OFFSET($AM$3,0,0,'Données projet'!$E$10+1,1))-AVERAGE(OFFSET($H$3,0,0,'Données projet'!$E$10+1,1))</f>
        <v>394.49874384716014</v>
      </c>
      <c r="AO101" s="60">
        <f t="shared" si="90"/>
        <v>423.72519584013378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3.4106051316484809E-13</v>
      </c>
      <c r="BE101" s="14">
        <f>BD101*VLOOKUP('Données projet'!$B$11,Paramètres!$A$1:$I$89,3,0)*VLOOKUP('Données projet'!$B$11,Paramètres!$A$1:$I$89,5,0)</f>
        <v>2.9795046430081134E-13</v>
      </c>
      <c r="BF101" s="14">
        <f t="shared" si="91"/>
        <v>3.9419014464513778E-12</v>
      </c>
      <c r="BG101" s="22">
        <f t="shared" si="61"/>
        <v>7.384408744560063E-12</v>
      </c>
      <c r="BH101" s="60">
        <f t="shared" si="62"/>
        <v>276.83665893463876</v>
      </c>
      <c r="BI101" s="60">
        <f ca="1">AVERAGE(OFFSET($BH$3,0,0,'Données projet'!$E$11+1,1))-AVERAGE(OFFSET($H$3,0,0,'Données projet'!$E$11+1,1))</f>
        <v>363.28611056308665</v>
      </c>
      <c r="BJ101" s="60">
        <f t="shared" si="92"/>
        <v>389.43647559455974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3.5897435897435854</v>
      </c>
      <c r="BY101" s="13">
        <f>IF('Données projet'!$A$114&gt;35,BY100+BX101-CG100,IF(A101&lt;'Données projet'!$A$114,$BV$205^A101,IF(A101='Données projet'!$A$114,'Données projet'!$B$114,BY100+BX101-CG100)))</f>
        <v>251.15384615384616</v>
      </c>
      <c r="BZ101" s="14">
        <f>BY101*VLOOKUP('Données projet'!$B$12,Paramètres!$A$1:$I$89,3,0)*VLOOKUP('Données projet'!$B$12,Paramètres!$A$1:$I$89,5,0)</f>
        <v>238.99799999999999</v>
      </c>
      <c r="CA101" s="14">
        <f t="shared" si="93"/>
        <v>58.223892835547517</v>
      </c>
      <c r="CB101" s="22">
        <f t="shared" si="64"/>
        <v>517.66146335524525</v>
      </c>
      <c r="CC101" s="60">
        <f t="shared" si="65"/>
        <v>794.49812228987662</v>
      </c>
      <c r="CD101" s="60">
        <f ca="1">AVERAGE(OFFSET($CC$3,0,0,'Données projet'!$E$12+1,1))-AVERAGE(OFFSET($H$3,0,0,'Données projet'!$E$12+1,1))</f>
        <v>441.15969139782891</v>
      </c>
      <c r="CE101" s="60">
        <f t="shared" si="94"/>
        <v>315.06466790224783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-5.6843418860808015E-14</v>
      </c>
      <c r="CU101" s="18">
        <f>CT101*VLOOKUP('Données projet'!$B$13,Paramètres!$A$1:$I$89,3,0)*VLOOKUP('Données projet'!$B$13,Paramètres!$A$1:$I$89,5,0)</f>
        <v>-4.1677594708744434E-14</v>
      </c>
      <c r="CV101" s="14" t="e">
        <f t="shared" si="95"/>
        <v>#NUM!</v>
      </c>
      <c r="CW101" s="22" t="e">
        <f t="shared" si="67"/>
        <v>#NUM!</v>
      </c>
      <c r="CX101" s="60" t="e">
        <f t="shared" si="68"/>
        <v>#NUM!</v>
      </c>
      <c r="CY101" s="60">
        <f ca="1">AVERAGE(OFFSET($CX$3,0,0,'Données projet'!$E$13+1,1))-AVERAGE(OFFSET($H$3,0,0,'Données projet'!$E$13+1,1))</f>
        <v>368.35775920359396</v>
      </c>
      <c r="CZ101" s="60">
        <f t="shared" si="96"/>
        <v>395.5218438652638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1.1368683772161603E-13</v>
      </c>
      <c r="DP101" s="18">
        <f>DO101*VLOOKUP('Données projet'!$B$14,Paramètres!$A$1:$I$89,3,0)*VLOOKUP('Données projet'!$B$14,Paramètres!$A$1:$I$89,5,0)</f>
        <v>8.8675733422860506E-14</v>
      </c>
      <c r="DQ101" s="14">
        <f t="shared" si="97"/>
        <v>1.3509285393066301E-12</v>
      </c>
      <c r="DR101" s="22">
        <f t="shared" si="70"/>
        <v>2.5073107750038623E-12</v>
      </c>
      <c r="DS101" s="60">
        <f t="shared" si="71"/>
        <v>276.83665893463387</v>
      </c>
      <c r="DT101" s="60">
        <f ca="1">AVERAGE(OFFSET($DS$3,0,0,'Données projet'!$E$14+1,1))-AVERAGE(OFFSET($H$3,0,0,'Données projet'!$E$14+1,1))</f>
        <v>312.59632808777332</v>
      </c>
      <c r="DU101" s="60">
        <f t="shared" si="98"/>
        <v>302.59481222418219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0</v>
      </c>
      <c r="EE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11.333333333333334</v>
      </c>
      <c r="EJ101" s="13">
        <f>IF('Données projet'!$A$192&gt;35,EJ100+EI101-ER100,IF(A101&lt;'Données projet'!$A$192,$EG$205^A101,IF(A101='Données projet'!$A$192,'Données projet'!$B$192,EJ100+EI101-ER100)))</f>
        <v>579.66666666666652</v>
      </c>
      <c r="EK101" s="18">
        <f>EJ101*VLOOKUP('Données projet'!$B$15,Paramètres!$A$1:$I$89,3,0)*VLOOKUP('Données projet'!$B$15,Paramètres!$A$1:$I$89,5,0)</f>
        <v>497.35399999999993</v>
      </c>
      <c r="EL101" s="14">
        <f t="shared" si="99"/>
        <v>111.25660477134088</v>
      </c>
      <c r="EM101" s="22">
        <f t="shared" si="73"/>
        <v>1059.9968033100852</v>
      </c>
      <c r="EN101" s="60">
        <f t="shared" si="74"/>
        <v>1336.8334622447164</v>
      </c>
      <c r="EO101" s="60">
        <f ca="1">AVERAGE(OFFSET($EN$3,0,0,'Données projet'!$E$15+1,1))-AVERAGE(OFFSET($H$3,0,0,'Données projet'!$E$15+1,1))</f>
        <v>478.11504516179713</v>
      </c>
      <c r="EP101" s="60">
        <f t="shared" si="100"/>
        <v>249.93713224442419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0</v>
      </c>
      <c r="EW101" s="23">
        <f>EXP(-LN(2)/25)*EW100+(1-EXP(-LN(2)/25))/(LN(2)/25)*Calculateur!ER101*Calculateur!ET101*VLOOKUP('Données projet'!$B$15,Paramètres!$A$1:$I$89,3,0)*0.475*44/12</f>
        <v>0</v>
      </c>
      <c r="EX101" s="23">
        <f>EXP(-LN(2)/2)*EX100+(1-EXP(-LN(2)/2))/(LN(2)/2)*ER101*EU101*VLOOKUP('Données projet'!$B$15,Paramètres!$A$1:$I$89,3,0)*0.475*44/12</f>
        <v>0</v>
      </c>
      <c r="EY101" s="24">
        <f t="shared" si="75"/>
        <v>0</v>
      </c>
      <c r="EZ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5.9</v>
      </c>
      <c r="FE101" s="13">
        <f>IF('Données projet'!$A$218&gt;35,FE100+FD101-FM100,IF(A101&lt;'Données projet'!$A$218,$FB$205^A101,IF(A101='Données projet'!$A$218,'Données projet'!$B$218,FE100+FD101-FM100)))</f>
        <v>349.20000000000005</v>
      </c>
      <c r="FF101" s="18">
        <f>FE101*VLOOKUP('Données projet'!$B$16,Paramètres!$A$1:$I$89,3,0)*VLOOKUP('Données projet'!$B$16,Paramètres!$A$1:$I$89,5,0)</f>
        <v>337.74624000000006</v>
      </c>
      <c r="FG101" s="14">
        <f t="shared" si="101"/>
        <v>79.034125251774896</v>
      </c>
      <c r="FH101" s="22">
        <f t="shared" si="76"/>
        <v>725.89246948017455</v>
      </c>
      <c r="FI101" s="60">
        <f t="shared" si="77"/>
        <v>1002.7291284148059</v>
      </c>
      <c r="FJ101" s="60">
        <f ca="1">AVERAGE(OFFSET($FI$3,0,0,'Données projet'!$E$16+1,1))-AVERAGE(OFFSET($H$3,0,0,'Données projet'!$E$16+1,1))</f>
        <v>603.52431522262032</v>
      </c>
      <c r="FK101" s="60">
        <f t="shared" si="102"/>
        <v>313.56299786481338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>
        <f>EXP(-LN(2)/35)*FQ100+(1-EXP(-LN(2)/35))/(LN(2)/35)*FM101*FN101*VLOOKUP('Données projet'!$B$16,Paramètres!$A$1:$I$89,3,0)*0.475*44/12</f>
        <v>0</v>
      </c>
      <c r="FR101" s="23">
        <f>EXP(-LN(2)/25)*FR100+(1-EXP(-LN(2)/25))/(LN(2)/25)*Calculateur!FM101*Calculateur!FO101*VLOOKUP('Données projet'!$B$16,Paramètres!$A$1:$I$89,3,0)*0.475*44/12</f>
        <v>0</v>
      </c>
      <c r="FS101" s="23">
        <f>EXP(-LN(2)/2)*FS100+(1-EXP(-LN(2)/2))/(LN(2)/2)*FM101*FP101*VLOOKUP('Données projet'!$B$16,Paramètres!$A$1:$I$89,3,0)*0.475*44/12</f>
        <v>0</v>
      </c>
      <c r="FT101" s="24">
        <f t="shared" si="78"/>
        <v>0</v>
      </c>
      <c r="FU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3.9743589743589838</v>
      </c>
      <c r="FZ101" s="13">
        <f>IF('Données projet'!$A$244&gt;35,FZ100+FY101-GH100,IF(A101&lt;'Données projet'!$A$244,$FW$205^A101,IF(A101='Données projet'!$A$244,'Données projet'!$B$244,FZ100+FY101-GH100)))</f>
        <v>347.1794871794873</v>
      </c>
      <c r="GA101" s="18">
        <f>FZ101*VLOOKUP('Données projet'!$B$17,Paramètres!$A$1:$I$89,3,0)*VLOOKUP('Données projet'!$B$17,Paramètres!$A$1:$I$89,5,0)</f>
        <v>232.88800000000009</v>
      </c>
      <c r="GB101" s="14">
        <f t="shared" si="103"/>
        <v>56.906680427068601</v>
      </c>
      <c r="GC101" s="22">
        <f t="shared" si="79"/>
        <v>504.72573507714452</v>
      </c>
      <c r="GD101" s="60">
        <f t="shared" si="80"/>
        <v>781.56239401177595</v>
      </c>
      <c r="GE101" s="60">
        <f ca="1">AVERAGE(OFFSET($GD$3,0,0,'Données projet'!$E$17+1,1))-AVERAGE(OFFSET($H$3,0,0,'Données projet'!$E$17+1,1))</f>
        <v>396.0878652679051</v>
      </c>
      <c r="GF101" s="60">
        <f t="shared" si="104"/>
        <v>327.26339199235406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>
        <f>EXP(-LN(2)/35)*GL100+(1-EXP(-LN(2)/35))/(LN(2)/35)*GH101*GI101*VLOOKUP('Données projet'!$B$17,Paramètres!$A$1:$I$89,3,0)*0.475*44/12</f>
        <v>0</v>
      </c>
      <c r="GM101" s="23">
        <f>EXP(-LN(2)/25)*GM100+(1-EXP(-LN(2)/25))/(LN(2)/25)*Calculateur!GH101*Calculateur!GJ101*VLOOKUP('Données projet'!$B$17,Paramètres!$A$1:$I$89,3,0)*0.475*44/12</f>
        <v>0</v>
      </c>
      <c r="GN101" s="23">
        <f>EXP(-LN(2)/2)*GN100+(1-EXP(-LN(2)/2))/(LN(2)/2)*GH101*GK101*VLOOKUP('Données projet'!$B$17,Paramètres!$A$1:$I$89,3,0)*0.475*44/12</f>
        <v>0</v>
      </c>
      <c r="GO101" s="23">
        <f t="shared" si="81"/>
        <v>0</v>
      </c>
      <c r="GP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-1.1368683772161603E-13</v>
      </c>
      <c r="GV101" s="18">
        <f>GU101*VLOOKUP('Données projet'!$B$18,Paramètres!$A$1:$I$89,3,0)*VLOOKUP('Données projet'!$B$18,Paramètres!$A$1:$I$89,5,0)</f>
        <v>-9.2222762759774927E-14</v>
      </c>
      <c r="GW101" s="14" t="e">
        <f t="shared" si="105"/>
        <v>#NUM!</v>
      </c>
      <c r="GX101" s="22" t="e">
        <f t="shared" si="82"/>
        <v>#NUM!</v>
      </c>
      <c r="GY101" s="60" t="e">
        <f t="shared" si="83"/>
        <v>#NUM!</v>
      </c>
      <c r="GZ101" s="60">
        <f ca="1">AVERAGE(OFFSET($GY$3,0,0,'Données projet'!$E$18+1,1))-AVERAGE(OFFSET($H$3,0,0,'Données projet'!$E$18+1,1))</f>
        <v>272.69564942740931</v>
      </c>
      <c r="HA101" s="60">
        <f t="shared" si="106"/>
        <v>316.57989180609252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>
        <f>EXP(-LN(2)/35)*HG100+(1-EXP(-LN(2)/35))/(LN(2)/35)*HC101*HD101*VLOOKUP('Données projet'!$B$18,Paramètres!$A$1:$I$89,3,0)*0.475*44/12</f>
        <v>0</v>
      </c>
      <c r="HH101" s="23">
        <f>EXP(-LN(2)/25)*HH100+(1-EXP(-LN(2)/25))/(LN(2)/25)*Calculateur!HC101*Calculateur!HE101*VLOOKUP('Données projet'!$B$18,Paramètres!$A$1:$I$89,3,0)*0.475*44/12</f>
        <v>0</v>
      </c>
      <c r="HI101" s="23">
        <f>EXP(-LN(2)/2)*HI100+(1-EXP(-LN(2)/2))/(LN(2)/2)*HC101*HF101*VLOOKUP('Données projet'!$B$18,Paramètres!$A$1:$I$89,3,0)*0.475*44/12</f>
        <v>0</v>
      </c>
      <c r="HJ101" s="24">
        <f t="shared" si="84"/>
        <v>0</v>
      </c>
    </row>
    <row r="102" spans="1:218" s="5" customFormat="1" x14ac:dyDescent="0.25">
      <c r="A102" s="11">
        <f t="shared" si="85"/>
        <v>99</v>
      </c>
      <c r="B102" s="75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8">
        <f t="shared" si="56"/>
        <v>183.33333333333334</v>
      </c>
      <c r="I102" s="7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5.9</v>
      </c>
      <c r="N102" s="14">
        <f>IF('Données projet'!$A$36&gt;35,N101+M102-V101,IF(A102&lt;'Données projet'!$A$36,$K$205^A102,IF(A102='Données projet'!$A$36,'Données projet'!$B$36,N101+M102-V101)))</f>
        <v>355.1</v>
      </c>
      <c r="O102" s="14">
        <f>N102*VLOOKUP('Données projet'!$B$9,Paramètres!$A$1:$I$89,3,0)*VLOOKUP('Données projet'!$B$9,Paramètres!$A$1:$I$89,5,0)</f>
        <v>321.29448000000002</v>
      </c>
      <c r="P102" s="14">
        <f t="shared" si="87"/>
        <v>75.622632084792471</v>
      </c>
      <c r="Q102" s="22">
        <f t="shared" si="107"/>
        <v>691.29730354768026</v>
      </c>
      <c r="R102" s="60">
        <f t="shared" si="55"/>
        <v>968.42014290209045</v>
      </c>
      <c r="S102" s="60">
        <f ca="1">AVERAGE(OFFSET($R$3,0,0,'Données projet'!$E$9+1,1))-AVERAGE(OFFSET($H$3,0,0,'Données projet'!$E$9+1,1))</f>
        <v>570.08763950759544</v>
      </c>
      <c r="T102" s="60">
        <f t="shared" si="88"/>
        <v>297.32483725004136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-5.6843418860808015E-14</v>
      </c>
      <c r="AJ102" s="14">
        <f>AI102*VLOOKUP('Données projet'!$B$10,Paramètres!$A$1:$I$89,3,0)*VLOOKUP('Données projet'!$B$10,Paramètres!$A$1:$I$89,5,0)</f>
        <v>-4.5224624045658861E-14</v>
      </c>
      <c r="AK102" s="14" t="e">
        <f t="shared" si="89"/>
        <v>#NUM!</v>
      </c>
      <c r="AL102" s="22" t="e">
        <f t="shared" si="58"/>
        <v>#NUM!</v>
      </c>
      <c r="AM102" s="60" t="e">
        <f t="shared" si="59"/>
        <v>#NUM!</v>
      </c>
      <c r="AN102" s="60">
        <f ca="1">AVERAGE(OFFSET($AM$3,0,0,'Données projet'!$E$10+1,1))-AVERAGE(OFFSET($H$3,0,0,'Données projet'!$E$10+1,1))</f>
        <v>394.49874384716014</v>
      </c>
      <c r="AO102" s="60">
        <f t="shared" si="90"/>
        <v>423.72519584013378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3.4106051316484809E-13</v>
      </c>
      <c r="BE102" s="14">
        <f>BD102*VLOOKUP('Données projet'!$B$11,Paramètres!$A$1:$I$89,3,0)*VLOOKUP('Données projet'!$B$11,Paramètres!$A$1:$I$89,5,0)</f>
        <v>2.9795046430081134E-13</v>
      </c>
      <c r="BF102" s="14">
        <f t="shared" si="91"/>
        <v>3.9419014464513778E-12</v>
      </c>
      <c r="BG102" s="22">
        <f t="shared" si="61"/>
        <v>7.384408744560063E-12</v>
      </c>
      <c r="BH102" s="60">
        <f t="shared" si="62"/>
        <v>277.12283935441752</v>
      </c>
      <c r="BI102" s="60">
        <f ca="1">AVERAGE(OFFSET($BH$3,0,0,'Données projet'!$E$11+1,1))-AVERAGE(OFFSET($H$3,0,0,'Données projet'!$E$11+1,1))</f>
        <v>363.28611056308665</v>
      </c>
      <c r="BJ102" s="60">
        <f t="shared" si="92"/>
        <v>389.43647559455974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3.5897435897435854</v>
      </c>
      <c r="BY102" s="13">
        <f>IF('Données projet'!$A$114&gt;35,BY101+BX102-CG101,IF(A102&lt;'Données projet'!$A$114,$BV$205^A102,IF(A102='Données projet'!$A$114,'Données projet'!$B$114,BY101+BX102-CG101)))</f>
        <v>254.74358974358975</v>
      </c>
      <c r="BZ102" s="14">
        <f>BY102*VLOOKUP('Données projet'!$B$12,Paramètres!$A$1:$I$89,3,0)*VLOOKUP('Données projet'!$B$12,Paramètres!$A$1:$I$89,5,0)</f>
        <v>242.41400000000002</v>
      </c>
      <c r="CA102" s="14">
        <f t="shared" si="93"/>
        <v>58.958611429073422</v>
      </c>
      <c r="CB102" s="22">
        <f t="shared" si="64"/>
        <v>524.89063157230294</v>
      </c>
      <c r="CC102" s="60">
        <f t="shared" si="65"/>
        <v>802.01347092671313</v>
      </c>
      <c r="CD102" s="60">
        <f ca="1">AVERAGE(OFFSET($CC$3,0,0,'Données projet'!$E$12+1,1))-AVERAGE(OFFSET($H$3,0,0,'Données projet'!$E$12+1,1))</f>
        <v>441.15969139782891</v>
      </c>
      <c r="CE102" s="60">
        <f t="shared" si="94"/>
        <v>315.06466790224783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-5.6843418860808015E-14</v>
      </c>
      <c r="CU102" s="18">
        <f>CT102*VLOOKUP('Données projet'!$B$13,Paramètres!$A$1:$I$89,3,0)*VLOOKUP('Données projet'!$B$13,Paramètres!$A$1:$I$89,5,0)</f>
        <v>-4.1677594708744434E-14</v>
      </c>
      <c r="CV102" s="14" t="e">
        <f t="shared" si="95"/>
        <v>#NUM!</v>
      </c>
      <c r="CW102" s="22" t="e">
        <f t="shared" si="67"/>
        <v>#NUM!</v>
      </c>
      <c r="CX102" s="60" t="e">
        <f t="shared" si="68"/>
        <v>#NUM!</v>
      </c>
      <c r="CY102" s="60">
        <f ca="1">AVERAGE(OFFSET($CX$3,0,0,'Données projet'!$E$13+1,1))-AVERAGE(OFFSET($H$3,0,0,'Données projet'!$E$13+1,1))</f>
        <v>368.35775920359396</v>
      </c>
      <c r="CZ102" s="60">
        <f t="shared" si="96"/>
        <v>395.5218438652638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1.1368683772161603E-13</v>
      </c>
      <c r="DP102" s="18">
        <f>DO102*VLOOKUP('Données projet'!$B$14,Paramètres!$A$1:$I$89,3,0)*VLOOKUP('Données projet'!$B$14,Paramètres!$A$1:$I$89,5,0)</f>
        <v>8.8675733422860506E-14</v>
      </c>
      <c r="DQ102" s="14">
        <f t="shared" si="97"/>
        <v>1.3509285393066301E-12</v>
      </c>
      <c r="DR102" s="22">
        <f t="shared" si="70"/>
        <v>2.5073107750038623E-12</v>
      </c>
      <c r="DS102" s="60">
        <f t="shared" si="71"/>
        <v>277.12283935441263</v>
      </c>
      <c r="DT102" s="60">
        <f ca="1">AVERAGE(OFFSET($DS$3,0,0,'Données projet'!$E$14+1,1))-AVERAGE(OFFSET($H$3,0,0,'Données projet'!$E$14+1,1))</f>
        <v>312.59632808777332</v>
      </c>
      <c r="DU102" s="60">
        <f t="shared" si="98"/>
        <v>302.59481222418219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0</v>
      </c>
      <c r="EE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>
        <f>VLOOKUP(A102,'Données projet'!$A$191:$I$211,2,0)</f>
        <v>591</v>
      </c>
      <c r="EH102" s="13">
        <f>VLOOKUP(A102,'Données projet'!$A$191:$I$211,9,0)</f>
        <v>11.333333333333334</v>
      </c>
      <c r="EI102" s="13">
        <f t="array" ref="EI102">INDEX(EH:EH,MIN(IF(ISNUMBER(EH102:EH298),ROW(EH102:EH298),"")))</f>
        <v>11.333333333333334</v>
      </c>
      <c r="EJ102" s="13">
        <f>IF('Données projet'!$A$192&gt;35,EJ101+EI102-ER101,IF(A102&lt;'Données projet'!$A$192,$EG$205^A102,IF(A102='Données projet'!$A$192,'Données projet'!$B$192,EJ101+EI102-ER101)))</f>
        <v>590.99999999999989</v>
      </c>
      <c r="EK102" s="18">
        <f>EJ102*VLOOKUP('Données projet'!$B$15,Paramètres!$A$1:$I$89,3,0)*VLOOKUP('Données projet'!$B$15,Paramètres!$A$1:$I$89,5,0)</f>
        <v>507.07799999999997</v>
      </c>
      <c r="EL102" s="14">
        <f t="shared" si="99"/>
        <v>113.17646646969149</v>
      </c>
      <c r="EM102" s="22">
        <f t="shared" si="73"/>
        <v>1080.2765291013793</v>
      </c>
      <c r="EN102" s="60">
        <f t="shared" si="74"/>
        <v>1357.3993684557895</v>
      </c>
      <c r="EO102" s="60">
        <f ca="1">AVERAGE(OFFSET($EN$3,0,0,'Données projet'!$E$15+1,1))-AVERAGE(OFFSET($H$3,0,0,'Données projet'!$E$15+1,1))</f>
        <v>478.11504516179713</v>
      </c>
      <c r="EP102" s="60">
        <f t="shared" si="100"/>
        <v>249.93713224442419</v>
      </c>
      <c r="EQ102" s="16">
        <f>IF(ISNA(VLOOKUP(A102,'Données projet'!$A$191:$I$211,3,0)),0,VLOOKUP(A102,'Données projet'!$A$191:$I$211,3,0))</f>
        <v>10</v>
      </c>
      <c r="ER102" s="16">
        <f>IF(ISNA(VLOOKUP(A102,'Données projet'!$A$191:$I$211,4,0)),0,VLOOKUP(A102,'Données projet'!$A$191:$I$211,4,0))</f>
        <v>591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0</v>
      </c>
      <c r="EW102" s="23">
        <f>EXP(-LN(2)/25)*EW101+(1-EXP(-LN(2)/25))/(LN(2)/25)*Calculateur!ER102*Calculateur!ET102*VLOOKUP('Données projet'!$B$15,Paramètres!$A$1:$I$89,3,0)*0.475*44/12</f>
        <v>0</v>
      </c>
      <c r="EX102" s="23">
        <f>EXP(-LN(2)/2)*EX101+(1-EXP(-LN(2)/2))/(LN(2)/2)*ER102*EU102*VLOOKUP('Données projet'!$B$15,Paramètres!$A$1:$I$89,3,0)*0.475*44/12</f>
        <v>0</v>
      </c>
      <c r="EY102" s="24">
        <f t="shared" si="75"/>
        <v>0</v>
      </c>
      <c r="EZ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5.9</v>
      </c>
      <c r="FE102" s="13">
        <f>IF('Données projet'!$A$218&gt;35,FE101+FD102-FM101,IF(A102&lt;'Données projet'!$A$218,$FB$205^A102,IF(A102='Données projet'!$A$218,'Données projet'!$B$218,FE101+FD102-FM101)))</f>
        <v>355.1</v>
      </c>
      <c r="FF102" s="18">
        <f>FE102*VLOOKUP('Données projet'!$B$16,Paramètres!$A$1:$I$89,3,0)*VLOOKUP('Données projet'!$B$16,Paramètres!$A$1:$I$89,5,0)</f>
        <v>343.45272</v>
      </c>
      <c r="FG102" s="14">
        <f t="shared" si="101"/>
        <v>80.212880209411935</v>
      </c>
      <c r="FH102" s="22">
        <f t="shared" si="76"/>
        <v>737.88425369805907</v>
      </c>
      <c r="FI102" s="60">
        <f t="shared" si="77"/>
        <v>1015.0070930524691</v>
      </c>
      <c r="FJ102" s="60">
        <f ca="1">AVERAGE(OFFSET($FI$3,0,0,'Données projet'!$E$16+1,1))-AVERAGE(OFFSET($H$3,0,0,'Données projet'!$E$16+1,1))</f>
        <v>603.52431522262032</v>
      </c>
      <c r="FK102" s="60">
        <f t="shared" si="102"/>
        <v>313.56299786481338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>
        <f>EXP(-LN(2)/35)*FQ101+(1-EXP(-LN(2)/35))/(LN(2)/35)*FM102*FN102*VLOOKUP('Données projet'!$B$16,Paramètres!$A$1:$I$89,3,0)*0.475*44/12</f>
        <v>0</v>
      </c>
      <c r="FR102" s="23">
        <f>EXP(-LN(2)/25)*FR101+(1-EXP(-LN(2)/25))/(LN(2)/25)*Calculateur!FM102*Calculateur!FO102*VLOOKUP('Données projet'!$B$16,Paramètres!$A$1:$I$89,3,0)*0.475*44/12</f>
        <v>0</v>
      </c>
      <c r="FS102" s="23">
        <f>EXP(-LN(2)/2)*FS101+(1-EXP(-LN(2)/2))/(LN(2)/2)*FM102*FP102*VLOOKUP('Données projet'!$B$16,Paramètres!$A$1:$I$89,3,0)*0.475*44/12</f>
        <v>0</v>
      </c>
      <c r="FT102" s="24">
        <f t="shared" si="78"/>
        <v>0</v>
      </c>
      <c r="FU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3.9743589743589838</v>
      </c>
      <c r="FZ102" s="13">
        <f>IF('Données projet'!$A$244&gt;35,FZ101+FY102-GH101,IF(A102&lt;'Données projet'!$A$244,$FW$205^A102,IF(A102='Données projet'!$A$244,'Données projet'!$B$244,FZ101+FY102-GH101)))</f>
        <v>351.1538461538463</v>
      </c>
      <c r="GA102" s="18">
        <f>FZ102*VLOOKUP('Données projet'!$B$17,Paramètres!$A$1:$I$89,3,0)*VLOOKUP('Données projet'!$B$17,Paramètres!$A$1:$I$89,5,0)</f>
        <v>235.55400000000009</v>
      </c>
      <c r="GB102" s="14">
        <f t="shared" si="103"/>
        <v>57.481913403727333</v>
      </c>
      <c r="GC102" s="22">
        <f t="shared" si="79"/>
        <v>510.37088251149186</v>
      </c>
      <c r="GD102" s="60">
        <f t="shared" si="80"/>
        <v>787.49372186590199</v>
      </c>
      <c r="GE102" s="60">
        <f ca="1">AVERAGE(OFFSET($GD$3,0,0,'Données projet'!$E$17+1,1))-AVERAGE(OFFSET($H$3,0,0,'Données projet'!$E$17+1,1))</f>
        <v>396.0878652679051</v>
      </c>
      <c r="GF102" s="60">
        <f t="shared" si="104"/>
        <v>327.26339199235406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>
        <f>EXP(-LN(2)/35)*GL101+(1-EXP(-LN(2)/35))/(LN(2)/35)*GH102*GI102*VLOOKUP('Données projet'!$B$17,Paramètres!$A$1:$I$89,3,0)*0.475*44/12</f>
        <v>0</v>
      </c>
      <c r="GM102" s="23">
        <f>EXP(-LN(2)/25)*GM101+(1-EXP(-LN(2)/25))/(LN(2)/25)*Calculateur!GH102*Calculateur!GJ102*VLOOKUP('Données projet'!$B$17,Paramètres!$A$1:$I$89,3,0)*0.475*44/12</f>
        <v>0</v>
      </c>
      <c r="GN102" s="23">
        <f>EXP(-LN(2)/2)*GN101+(1-EXP(-LN(2)/2))/(LN(2)/2)*GH102*GK102*VLOOKUP('Données projet'!$B$17,Paramètres!$A$1:$I$89,3,0)*0.475*44/12</f>
        <v>0</v>
      </c>
      <c r="GO102" s="23">
        <f t="shared" si="81"/>
        <v>0</v>
      </c>
      <c r="GP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-1.1368683772161603E-13</v>
      </c>
      <c r="GV102" s="18">
        <f>GU102*VLOOKUP('Données projet'!$B$18,Paramètres!$A$1:$I$89,3,0)*VLOOKUP('Données projet'!$B$18,Paramètres!$A$1:$I$89,5,0)</f>
        <v>-9.2222762759774927E-14</v>
      </c>
      <c r="GW102" s="14" t="e">
        <f t="shared" si="105"/>
        <v>#NUM!</v>
      </c>
      <c r="GX102" s="22" t="e">
        <f t="shared" si="82"/>
        <v>#NUM!</v>
      </c>
      <c r="GY102" s="60" t="e">
        <f t="shared" si="83"/>
        <v>#NUM!</v>
      </c>
      <c r="GZ102" s="60">
        <f ca="1">AVERAGE(OFFSET($GY$3,0,0,'Données projet'!$E$18+1,1))-AVERAGE(OFFSET($H$3,0,0,'Données projet'!$E$18+1,1))</f>
        <v>272.69564942740931</v>
      </c>
      <c r="HA102" s="60">
        <f t="shared" si="106"/>
        <v>316.57989180609252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>
        <f>EXP(-LN(2)/35)*HG101+(1-EXP(-LN(2)/35))/(LN(2)/35)*HC102*HD102*VLOOKUP('Données projet'!$B$18,Paramètres!$A$1:$I$89,3,0)*0.475*44/12</f>
        <v>0</v>
      </c>
      <c r="HH102" s="23">
        <f>EXP(-LN(2)/25)*HH101+(1-EXP(-LN(2)/25))/(LN(2)/25)*Calculateur!HC102*Calculateur!HE102*VLOOKUP('Données projet'!$B$18,Paramètres!$A$1:$I$89,3,0)*0.475*44/12</f>
        <v>0</v>
      </c>
      <c r="HI102" s="23">
        <f>EXP(-LN(2)/2)*HI101+(1-EXP(-LN(2)/2))/(LN(2)/2)*HC102*HF102*VLOOKUP('Données projet'!$B$18,Paramètres!$A$1:$I$89,3,0)*0.475*44/12</f>
        <v>0</v>
      </c>
      <c r="HJ102" s="24">
        <f t="shared" si="84"/>
        <v>0</v>
      </c>
    </row>
    <row r="103" spans="1:218" s="5" customFormat="1" x14ac:dyDescent="0.25">
      <c r="A103" s="11">
        <f t="shared" si="85"/>
        <v>100</v>
      </c>
      <c r="B103" s="75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8">
        <f t="shared" si="56"/>
        <v>183.33333333333334</v>
      </c>
      <c r="I103" s="7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361</v>
      </c>
      <c r="L103" s="13">
        <f>VLOOKUP(A103,'Données projet'!$A$35:$I$55,9,0)</f>
        <v>5.9</v>
      </c>
      <c r="M103" s="13">
        <f t="array" ref="M103">INDEX(L:L,MIN(IF(ISNUMBER(L103:L299),ROW(L103:L299),"")))</f>
        <v>5.9</v>
      </c>
      <c r="N103" s="14">
        <f>IF('Données projet'!$A$36&gt;35,N102+M103-V102,IF(A103&lt;'Données projet'!$A$36,$K$205^A103,IF(A103='Données projet'!$A$36,'Données projet'!$B$36,N102+M103-V102)))</f>
        <v>361</v>
      </c>
      <c r="O103" s="14">
        <f>N103*VLOOKUP('Données projet'!$B$9,Paramètres!$A$1:$I$89,3,0)*VLOOKUP('Données projet'!$B$9,Paramètres!$A$1:$I$89,5,0)</f>
        <v>326.63280000000003</v>
      </c>
      <c r="P103" s="14">
        <f t="shared" si="87"/>
        <v>76.731784548754845</v>
      </c>
      <c r="Q103" s="22">
        <f t="shared" si="107"/>
        <v>702.52665142241483</v>
      </c>
      <c r="R103" s="60">
        <f t="shared" si="55"/>
        <v>979.93070660612398</v>
      </c>
      <c r="S103" s="60">
        <f ca="1">AVERAGE(OFFSET($R$3,0,0,'Données projet'!$E$9+1,1))-AVERAGE(OFFSET($H$3,0,0,'Données projet'!$E$9+1,1))</f>
        <v>570.08763950759544</v>
      </c>
      <c r="T103" s="60">
        <f t="shared" si="88"/>
        <v>297.32483725004136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-5.6843418860808015E-14</v>
      </c>
      <c r="AJ103" s="14">
        <f>AI103*VLOOKUP('Données projet'!$B$10,Paramètres!$A$1:$I$89,3,0)*VLOOKUP('Données projet'!$B$10,Paramètres!$A$1:$I$89,5,0)</f>
        <v>-4.5224624045658861E-14</v>
      </c>
      <c r="AK103" s="14" t="e">
        <f t="shared" si="89"/>
        <v>#NUM!</v>
      </c>
      <c r="AL103" s="22" t="e">
        <f t="shared" si="58"/>
        <v>#NUM!</v>
      </c>
      <c r="AM103" s="60" t="e">
        <f t="shared" si="59"/>
        <v>#NUM!</v>
      </c>
      <c r="AN103" s="60">
        <f ca="1">AVERAGE(OFFSET($AM$3,0,0,'Données projet'!$E$10+1,1))-AVERAGE(OFFSET($H$3,0,0,'Données projet'!$E$10+1,1))</f>
        <v>394.49874384716014</v>
      </c>
      <c r="AO103" s="60">
        <f t="shared" si="90"/>
        <v>423.72519584013378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3.4106051316484809E-13</v>
      </c>
      <c r="BE103" s="14">
        <f>BD103*VLOOKUP('Données projet'!$B$11,Paramètres!$A$1:$I$89,3,0)*VLOOKUP('Données projet'!$B$11,Paramètres!$A$1:$I$89,5,0)</f>
        <v>2.9795046430081134E-13</v>
      </c>
      <c r="BF103" s="14">
        <f t="shared" si="91"/>
        <v>3.9419014464513778E-12</v>
      </c>
      <c r="BG103" s="22">
        <f t="shared" si="61"/>
        <v>7.384408744560063E-12</v>
      </c>
      <c r="BH103" s="60">
        <f t="shared" si="62"/>
        <v>277.40405518371659</v>
      </c>
      <c r="BI103" s="60">
        <f ca="1">AVERAGE(OFFSET($BH$3,0,0,'Données projet'!$E$11+1,1))-AVERAGE(OFFSET($H$3,0,0,'Données projet'!$E$11+1,1))</f>
        <v>363.28611056308665</v>
      </c>
      <c r="BJ103" s="60">
        <f t="shared" si="92"/>
        <v>389.43647559455974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>
        <f>VLOOKUP(A103,'Données projet'!$A$113:$I$133,2,0)</f>
        <v>258.33333333333331</v>
      </c>
      <c r="BW103" s="13">
        <f>VLOOKUP(A103,'Données projet'!$A$113:$I$133,9,0)</f>
        <v>3.5897435897435854</v>
      </c>
      <c r="BX103" s="13">
        <f t="array" ref="BX103">INDEX(BW:BW,MIN(IF(ISNUMBER(BW103:BW299),ROW(BW103:BW299),"")))</f>
        <v>3.5897435897435854</v>
      </c>
      <c r="BY103" s="13">
        <f>IF('Données projet'!$A$114&gt;35,BY102+BX103-CG102,IF(A103&lt;'Données projet'!$A$114,$BV$205^A103,IF(A103='Données projet'!$A$114,'Données projet'!$B$114,BY102+BX103-CG102)))</f>
        <v>258.33333333333331</v>
      </c>
      <c r="BZ103" s="14">
        <f>BY103*VLOOKUP('Données projet'!$B$12,Paramètres!$A$1:$I$89,3,0)*VLOOKUP('Données projet'!$B$12,Paramètres!$A$1:$I$89,5,0)</f>
        <v>245.82999999999998</v>
      </c>
      <c r="CA103" s="14">
        <f t="shared" si="93"/>
        <v>59.692125837514034</v>
      </c>
      <c r="CB103" s="22">
        <f t="shared" si="64"/>
        <v>532.11770250033692</v>
      </c>
      <c r="CC103" s="60">
        <f t="shared" si="65"/>
        <v>809.52175768404618</v>
      </c>
      <c r="CD103" s="60">
        <f ca="1">AVERAGE(OFFSET($CC$3,0,0,'Données projet'!$E$12+1,1))-AVERAGE(OFFSET($H$3,0,0,'Données projet'!$E$12+1,1))</f>
        <v>441.15969139782891</v>
      </c>
      <c r="CE103" s="60">
        <f t="shared" si="94"/>
        <v>315.06466790224783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-5.6843418860808015E-14</v>
      </c>
      <c r="CU103" s="18">
        <f>CT103*VLOOKUP('Données projet'!$B$13,Paramètres!$A$1:$I$89,3,0)*VLOOKUP('Données projet'!$B$13,Paramètres!$A$1:$I$89,5,0)</f>
        <v>-4.1677594708744434E-14</v>
      </c>
      <c r="CV103" s="14" t="e">
        <f t="shared" si="95"/>
        <v>#NUM!</v>
      </c>
      <c r="CW103" s="22" t="e">
        <f t="shared" si="67"/>
        <v>#NUM!</v>
      </c>
      <c r="CX103" s="60" t="e">
        <f t="shared" si="68"/>
        <v>#NUM!</v>
      </c>
      <c r="CY103" s="60">
        <f ca="1">AVERAGE(OFFSET($CX$3,0,0,'Données projet'!$E$13+1,1))-AVERAGE(OFFSET($H$3,0,0,'Données projet'!$E$13+1,1))</f>
        <v>368.35775920359396</v>
      </c>
      <c r="CZ103" s="60">
        <f t="shared" si="96"/>
        <v>395.5218438652638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1.1368683772161603E-13</v>
      </c>
      <c r="DP103" s="18">
        <f>DO103*VLOOKUP('Données projet'!$B$14,Paramètres!$A$1:$I$89,3,0)*VLOOKUP('Données projet'!$B$14,Paramètres!$A$1:$I$89,5,0)</f>
        <v>8.8675733422860506E-14</v>
      </c>
      <c r="DQ103" s="14">
        <f t="shared" si="97"/>
        <v>1.3509285393066301E-12</v>
      </c>
      <c r="DR103" s="22">
        <f t="shared" si="70"/>
        <v>2.5073107750038623E-12</v>
      </c>
      <c r="DS103" s="60">
        <f t="shared" si="71"/>
        <v>277.40405518371171</v>
      </c>
      <c r="DT103" s="60">
        <f ca="1">AVERAGE(OFFSET($DS$3,0,0,'Données projet'!$E$14+1,1))-AVERAGE(OFFSET($H$3,0,0,'Données projet'!$E$14+1,1))</f>
        <v>312.59632808777332</v>
      </c>
      <c r="DU103" s="60">
        <f t="shared" si="98"/>
        <v>302.59481222418219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0</v>
      </c>
      <c r="EE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-1.1368683772161603E-13</v>
      </c>
      <c r="EK103" s="18">
        <f>EJ103*VLOOKUP('Données projet'!$B$15,Paramètres!$A$1:$I$89,3,0)*VLOOKUP('Données projet'!$B$15,Paramètres!$A$1:$I$89,5,0)</f>
        <v>-9.7543306765146564E-14</v>
      </c>
      <c r="EL103" s="14" t="e">
        <f t="shared" si="99"/>
        <v>#NUM!</v>
      </c>
      <c r="EM103" s="22" t="e">
        <f t="shared" si="73"/>
        <v>#NUM!</v>
      </c>
      <c r="EN103" s="60" t="e">
        <f t="shared" si="74"/>
        <v>#NUM!</v>
      </c>
      <c r="EO103" s="60">
        <f ca="1">AVERAGE(OFFSET($EN$3,0,0,'Données projet'!$E$15+1,1))-AVERAGE(OFFSET($H$3,0,0,'Données projet'!$E$15+1,1))</f>
        <v>478.11504516179713</v>
      </c>
      <c r="EP103" s="60">
        <f t="shared" si="100"/>
        <v>249.93713224442419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0</v>
      </c>
      <c r="EW103" s="23">
        <f>EXP(-LN(2)/25)*EW102+(1-EXP(-LN(2)/25))/(LN(2)/25)*Calculateur!ER103*Calculateur!ET103*VLOOKUP('Données projet'!$B$15,Paramètres!$A$1:$I$89,3,0)*0.475*44/12</f>
        <v>0</v>
      </c>
      <c r="EX103" s="23">
        <f>EXP(-LN(2)/2)*EX102+(1-EXP(-LN(2)/2))/(LN(2)/2)*ER103*EU103*VLOOKUP('Données projet'!$B$15,Paramètres!$A$1:$I$89,3,0)*0.475*44/12</f>
        <v>0</v>
      </c>
      <c r="EY103" s="24">
        <f t="shared" si="75"/>
        <v>0</v>
      </c>
      <c r="EZ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>
        <f>VLOOKUP(A103,'Données projet'!$A$217:$I$237,2,0)</f>
        <v>361</v>
      </c>
      <c r="FC103" s="13">
        <f>VLOOKUP(A103,'Données projet'!$A$217:$I$237,9,0)</f>
        <v>5.9</v>
      </c>
      <c r="FD103" s="13">
        <f t="array" ref="FD103">INDEX(FC:FC,MIN(IF(ISNUMBER(FC103:FC299),ROW(FC103:FC299),"")))</f>
        <v>5.9</v>
      </c>
      <c r="FE103" s="13">
        <f>IF('Données projet'!$A$218&gt;35,FE102+FD103-FM102,IF(A103&lt;'Données projet'!$A$218,$FB$205^A103,IF(A103='Données projet'!$A$218,'Données projet'!$B$218,FE102+FD103-FM102)))</f>
        <v>361</v>
      </c>
      <c r="FF103" s="18">
        <f>FE103*VLOOKUP('Données projet'!$B$16,Paramètres!$A$1:$I$89,3,0)*VLOOKUP('Données projet'!$B$16,Paramètres!$A$1:$I$89,5,0)</f>
        <v>349.1592</v>
      </c>
      <c r="FG103" s="14">
        <f t="shared" si="101"/>
        <v>81.389357558494837</v>
      </c>
      <c r="FH103" s="22">
        <f t="shared" si="76"/>
        <v>749.87207108104519</v>
      </c>
      <c r="FI103" s="60">
        <f t="shared" si="77"/>
        <v>1027.2761262647543</v>
      </c>
      <c r="FJ103" s="60">
        <f ca="1">AVERAGE(OFFSET($FI$3,0,0,'Données projet'!$E$16+1,1))-AVERAGE(OFFSET($H$3,0,0,'Données projet'!$E$16+1,1))</f>
        <v>603.52431522262032</v>
      </c>
      <c r="FK103" s="60">
        <f t="shared" si="102"/>
        <v>313.56299786481338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>
        <f>EXP(-LN(2)/35)*FQ102+(1-EXP(-LN(2)/35))/(LN(2)/35)*FM103*FN103*VLOOKUP('Données projet'!$B$16,Paramètres!$A$1:$I$89,3,0)*0.475*44/12</f>
        <v>0</v>
      </c>
      <c r="FR103" s="23">
        <f>EXP(-LN(2)/25)*FR102+(1-EXP(-LN(2)/25))/(LN(2)/25)*Calculateur!FM103*Calculateur!FO103*VLOOKUP('Données projet'!$B$16,Paramètres!$A$1:$I$89,3,0)*0.475*44/12</f>
        <v>0</v>
      </c>
      <c r="FS103" s="23">
        <f>EXP(-LN(2)/2)*FS102+(1-EXP(-LN(2)/2))/(LN(2)/2)*FM103*FP103*VLOOKUP('Données projet'!$B$16,Paramètres!$A$1:$I$89,3,0)*0.475*44/12</f>
        <v>0</v>
      </c>
      <c r="FT103" s="24">
        <f t="shared" si="78"/>
        <v>0</v>
      </c>
      <c r="FU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>
        <f>VLOOKUP(A103,'Données projet'!$A$243:$I$263,2,0)</f>
        <v>355.12820512820514</v>
      </c>
      <c r="FX103" s="13">
        <f>VLOOKUP(A103,'Données projet'!$A$243:$I$263,9,0)</f>
        <v>3.9743589743589838</v>
      </c>
      <c r="FY103" s="13">
        <f t="array" ref="FY103">INDEX(FX:FX,MIN(IF(ISNUMBER(FX103:FX299),ROW(FX103:FX299),"")))</f>
        <v>3.9743589743589838</v>
      </c>
      <c r="FZ103" s="13">
        <f>IF('Données projet'!$A$244&gt;35,FZ102+FY103-GH102,IF(A103&lt;'Données projet'!$A$244,$FW$205^A103,IF(A103='Données projet'!$A$244,'Données projet'!$B$244,FZ102+FY103-GH102)))</f>
        <v>355.12820512820531</v>
      </c>
      <c r="GA103" s="18">
        <f>FZ103*VLOOKUP('Données projet'!$B$17,Paramètres!$A$1:$I$89,3,0)*VLOOKUP('Données projet'!$B$17,Paramètres!$A$1:$I$89,5,0)</f>
        <v>238.22000000000014</v>
      </c>
      <c r="GB103" s="14">
        <f t="shared" si="103"/>
        <v>58.05638904163186</v>
      </c>
      <c r="GC103" s="22">
        <f t="shared" si="79"/>
        <v>516.01471091417579</v>
      </c>
      <c r="GD103" s="60">
        <f t="shared" si="80"/>
        <v>793.41876609788505</v>
      </c>
      <c r="GE103" s="60">
        <f ca="1">AVERAGE(OFFSET($GD$3,0,0,'Données projet'!$E$17+1,1))-AVERAGE(OFFSET($H$3,0,0,'Données projet'!$E$17+1,1))</f>
        <v>396.0878652679051</v>
      </c>
      <c r="GF103" s="60">
        <f t="shared" si="104"/>
        <v>327.26339199235406</v>
      </c>
      <c r="GG103" s="16">
        <f>IF(ISNA(VLOOKUP(A103,'Données projet'!$A$243:$I$263,3,0)),0,VLOOKUP(A103,'Données projet'!$A$243:$I$263,3,0))</f>
        <v>9</v>
      </c>
      <c r="GH103" s="16">
        <f>IF(ISNA(VLOOKUP(A103,'Données projet'!$A$243:$I$263,4,0)),0,VLOOKUP(A103,'Données projet'!$A$243:$I$263,4,0))</f>
        <v>25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>
        <f>EXP(-LN(2)/35)*GL102+(1-EXP(-LN(2)/35))/(LN(2)/35)*GH103*GI103*VLOOKUP('Données projet'!$B$17,Paramètres!$A$1:$I$89,3,0)*0.475*44/12</f>
        <v>0</v>
      </c>
      <c r="GM103" s="23">
        <f>EXP(-LN(2)/25)*GM102+(1-EXP(-LN(2)/25))/(LN(2)/25)*Calculateur!GH103*Calculateur!GJ103*VLOOKUP('Données projet'!$B$17,Paramètres!$A$1:$I$89,3,0)*0.475*44/12</f>
        <v>0</v>
      </c>
      <c r="GN103" s="23">
        <f>EXP(-LN(2)/2)*GN102+(1-EXP(-LN(2)/2))/(LN(2)/2)*GH103*GK103*VLOOKUP('Données projet'!$B$17,Paramètres!$A$1:$I$89,3,0)*0.475*44/12</f>
        <v>0</v>
      </c>
      <c r="GO103" s="23">
        <f t="shared" si="81"/>
        <v>0</v>
      </c>
      <c r="GP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-1.1368683772161603E-13</v>
      </c>
      <c r="GV103" s="18">
        <f>GU103*VLOOKUP('Données projet'!$B$18,Paramètres!$A$1:$I$89,3,0)*VLOOKUP('Données projet'!$B$18,Paramètres!$A$1:$I$89,5,0)</f>
        <v>-9.2222762759774927E-14</v>
      </c>
      <c r="GW103" s="14" t="e">
        <f t="shared" si="105"/>
        <v>#NUM!</v>
      </c>
      <c r="GX103" s="22" t="e">
        <f t="shared" si="82"/>
        <v>#NUM!</v>
      </c>
      <c r="GY103" s="60" t="e">
        <f t="shared" si="83"/>
        <v>#NUM!</v>
      </c>
      <c r="GZ103" s="60">
        <f ca="1">AVERAGE(OFFSET($GY$3,0,0,'Données projet'!$E$18+1,1))-AVERAGE(OFFSET($H$3,0,0,'Données projet'!$E$18+1,1))</f>
        <v>272.69564942740931</v>
      </c>
      <c r="HA103" s="60">
        <f t="shared" si="106"/>
        <v>316.57989180609252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>
        <f>EXP(-LN(2)/35)*HG102+(1-EXP(-LN(2)/35))/(LN(2)/35)*HC103*HD103*VLOOKUP('Données projet'!$B$18,Paramètres!$A$1:$I$89,3,0)*0.475*44/12</f>
        <v>0</v>
      </c>
      <c r="HH103" s="23">
        <f>EXP(-LN(2)/25)*HH102+(1-EXP(-LN(2)/25))/(LN(2)/25)*Calculateur!HC103*Calculateur!HE103*VLOOKUP('Données projet'!$B$18,Paramètres!$A$1:$I$89,3,0)*0.475*44/12</f>
        <v>0</v>
      </c>
      <c r="HI103" s="23">
        <f>EXP(-LN(2)/2)*HI102+(1-EXP(-LN(2)/2))/(LN(2)/2)*HC103*HF103*VLOOKUP('Données projet'!$B$18,Paramètres!$A$1:$I$89,3,0)*0.475*44/12</f>
        <v>0</v>
      </c>
      <c r="HJ103" s="24">
        <f t="shared" si="84"/>
        <v>0</v>
      </c>
    </row>
    <row r="104" spans="1:218" s="5" customFormat="1" x14ac:dyDescent="0.25">
      <c r="A104" s="11">
        <f t="shared" si="85"/>
        <v>101</v>
      </c>
      <c r="B104" s="75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8">
        <f t="shared" si="56"/>
        <v>183.33333333333334</v>
      </c>
      <c r="I104" s="7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5.2</v>
      </c>
      <c r="N104" s="14">
        <f>IF('Données projet'!$A$36&gt;35,N103+M104-V103,IF(A104&lt;'Données projet'!$A$36,$K$205^A104,IF(A104='Données projet'!$A$36,'Données projet'!$B$36,N103+M104-V103)))</f>
        <v>366.2</v>
      </c>
      <c r="O104" s="14">
        <f>N104*VLOOKUP('Données projet'!$B$9,Paramètres!$A$1:$I$89,3,0)*VLOOKUP('Données projet'!$B$9,Paramètres!$A$1:$I$89,5,0)</f>
        <v>331.33776</v>
      </c>
      <c r="P104" s="14">
        <f t="shared" si="87"/>
        <v>77.707593612890619</v>
      </c>
      <c r="Q104" s="22">
        <f t="shared" si="107"/>
        <v>712.42065754245107</v>
      </c>
      <c r="R104" s="60">
        <f t="shared" si="55"/>
        <v>990.10105008952542</v>
      </c>
      <c r="S104" s="60">
        <f ca="1">AVERAGE(OFFSET($R$3,0,0,'Données projet'!$E$9+1,1))-AVERAGE(OFFSET($H$3,0,0,'Données projet'!$E$9+1,1))</f>
        <v>570.08763950759544</v>
      </c>
      <c r="T104" s="60">
        <f t="shared" si="88"/>
        <v>297.32483725004136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-5.6843418860808015E-14</v>
      </c>
      <c r="AJ104" s="14">
        <f>AI104*VLOOKUP('Données projet'!$B$10,Paramètres!$A$1:$I$89,3,0)*VLOOKUP('Données projet'!$B$10,Paramètres!$A$1:$I$89,5,0)</f>
        <v>-4.5224624045658861E-14</v>
      </c>
      <c r="AK104" s="14" t="e">
        <f t="shared" si="89"/>
        <v>#NUM!</v>
      </c>
      <c r="AL104" s="22" t="e">
        <f t="shared" si="58"/>
        <v>#NUM!</v>
      </c>
      <c r="AM104" s="60" t="e">
        <f t="shared" si="59"/>
        <v>#NUM!</v>
      </c>
      <c r="AN104" s="60">
        <f ca="1">AVERAGE(OFFSET($AM$3,0,0,'Données projet'!$E$10+1,1))-AVERAGE(OFFSET($H$3,0,0,'Données projet'!$E$10+1,1))</f>
        <v>394.49874384716014</v>
      </c>
      <c r="AO104" s="60">
        <f t="shared" si="90"/>
        <v>423.72519584013378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3.4106051316484809E-13</v>
      </c>
      <c r="BE104" s="14">
        <f>BD104*VLOOKUP('Données projet'!$B$11,Paramètres!$A$1:$I$89,3,0)*VLOOKUP('Données projet'!$B$11,Paramètres!$A$1:$I$89,5,0)</f>
        <v>2.9795046430081134E-13</v>
      </c>
      <c r="BF104" s="14">
        <f t="shared" si="91"/>
        <v>3.9419014464513778E-12</v>
      </c>
      <c r="BG104" s="22">
        <f t="shared" si="61"/>
        <v>7.384408744560063E-12</v>
      </c>
      <c r="BH104" s="60">
        <f t="shared" si="62"/>
        <v>277.68039254708179</v>
      </c>
      <c r="BI104" s="60">
        <f ca="1">AVERAGE(OFFSET($BH$3,0,0,'Données projet'!$E$11+1,1))-AVERAGE(OFFSET($H$3,0,0,'Données projet'!$E$11+1,1))</f>
        <v>363.28611056308665</v>
      </c>
      <c r="BJ104" s="60">
        <f t="shared" si="92"/>
        <v>389.43647559455974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3.3974358974359005</v>
      </c>
      <c r="BY104" s="13">
        <f>IF('Données projet'!$A$114&gt;35,BY103+BX104-CG103,IF(A104&lt;'Données projet'!$A$114,$BV$205^A104,IF(A104='Données projet'!$A$114,'Données projet'!$B$114,BY103+BX104-CG103)))</f>
        <v>261.73076923076923</v>
      </c>
      <c r="BZ104" s="14">
        <f>BY104*VLOOKUP('Données projet'!$B$12,Paramètres!$A$1:$I$89,3,0)*VLOOKUP('Données projet'!$B$12,Paramètres!$A$1:$I$89,5,0)</f>
        <v>249.06300000000002</v>
      </c>
      <c r="CA104" s="14">
        <f t="shared" si="93"/>
        <v>60.385252576343511</v>
      </c>
      <c r="CB104" s="22">
        <f t="shared" si="64"/>
        <v>538.95570657046494</v>
      </c>
      <c r="CC104" s="60">
        <f t="shared" si="65"/>
        <v>816.63609911753929</v>
      </c>
      <c r="CD104" s="60">
        <f ca="1">AVERAGE(OFFSET($CC$3,0,0,'Données projet'!$E$12+1,1))-AVERAGE(OFFSET($H$3,0,0,'Données projet'!$E$12+1,1))</f>
        <v>441.15969139782891</v>
      </c>
      <c r="CE104" s="60">
        <f t="shared" si="94"/>
        <v>315.06466790224783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-5.6843418860808015E-14</v>
      </c>
      <c r="CU104" s="18">
        <f>CT104*VLOOKUP('Données projet'!$B$13,Paramètres!$A$1:$I$89,3,0)*VLOOKUP('Données projet'!$B$13,Paramètres!$A$1:$I$89,5,0)</f>
        <v>-4.1677594708744434E-14</v>
      </c>
      <c r="CV104" s="14" t="e">
        <f t="shared" si="95"/>
        <v>#NUM!</v>
      </c>
      <c r="CW104" s="22" t="e">
        <f t="shared" si="67"/>
        <v>#NUM!</v>
      </c>
      <c r="CX104" s="60" t="e">
        <f t="shared" si="68"/>
        <v>#NUM!</v>
      </c>
      <c r="CY104" s="60">
        <f ca="1">AVERAGE(OFFSET($CX$3,0,0,'Données projet'!$E$13+1,1))-AVERAGE(OFFSET($H$3,0,0,'Données projet'!$E$13+1,1))</f>
        <v>368.35775920359396</v>
      </c>
      <c r="CZ104" s="60">
        <f t="shared" si="96"/>
        <v>395.5218438652638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1.1368683772161603E-13</v>
      </c>
      <c r="DP104" s="18">
        <f>DO104*VLOOKUP('Données projet'!$B$14,Paramètres!$A$1:$I$89,3,0)*VLOOKUP('Données projet'!$B$14,Paramètres!$A$1:$I$89,5,0)</f>
        <v>8.8675733422860506E-14</v>
      </c>
      <c r="DQ104" s="14">
        <f t="shared" si="97"/>
        <v>1.3509285393066301E-12</v>
      </c>
      <c r="DR104" s="22">
        <f t="shared" si="70"/>
        <v>2.5073107750038623E-12</v>
      </c>
      <c r="DS104" s="60">
        <f t="shared" si="71"/>
        <v>277.68039254707691</v>
      </c>
      <c r="DT104" s="60">
        <f ca="1">AVERAGE(OFFSET($DS$3,0,0,'Données projet'!$E$14+1,1))-AVERAGE(OFFSET($H$3,0,0,'Données projet'!$E$14+1,1))</f>
        <v>312.59632808777332</v>
      </c>
      <c r="DU104" s="60">
        <f t="shared" si="98"/>
        <v>302.59481222418219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0</v>
      </c>
      <c r="EE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-1.1368683772161603E-13</v>
      </c>
      <c r="EK104" s="18">
        <f>EJ104*VLOOKUP('Données projet'!$B$15,Paramètres!$A$1:$I$89,3,0)*VLOOKUP('Données projet'!$B$15,Paramètres!$A$1:$I$89,5,0)</f>
        <v>-9.7543306765146564E-14</v>
      </c>
      <c r="EL104" s="14" t="e">
        <f t="shared" si="99"/>
        <v>#NUM!</v>
      </c>
      <c r="EM104" s="22" t="e">
        <f t="shared" si="73"/>
        <v>#NUM!</v>
      </c>
      <c r="EN104" s="60" t="e">
        <f t="shared" si="74"/>
        <v>#NUM!</v>
      </c>
      <c r="EO104" s="60">
        <f ca="1">AVERAGE(OFFSET($EN$3,0,0,'Données projet'!$E$15+1,1))-AVERAGE(OFFSET($H$3,0,0,'Données projet'!$E$15+1,1))</f>
        <v>478.11504516179713</v>
      </c>
      <c r="EP104" s="60">
        <f t="shared" si="100"/>
        <v>249.93713224442419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0</v>
      </c>
      <c r="EW104" s="23">
        <f>EXP(-LN(2)/25)*EW103+(1-EXP(-LN(2)/25))/(LN(2)/25)*Calculateur!ER104*Calculateur!ET104*VLOOKUP('Données projet'!$B$15,Paramètres!$A$1:$I$89,3,0)*0.475*44/12</f>
        <v>0</v>
      </c>
      <c r="EX104" s="23">
        <f>EXP(-LN(2)/2)*EX103+(1-EXP(-LN(2)/2))/(LN(2)/2)*ER104*EU104*VLOOKUP('Données projet'!$B$15,Paramètres!$A$1:$I$89,3,0)*0.475*44/12</f>
        <v>0</v>
      </c>
      <c r="EY104" s="24">
        <f t="shared" si="75"/>
        <v>0</v>
      </c>
      <c r="EZ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5.2</v>
      </c>
      <c r="FE104" s="13">
        <f>IF('Données projet'!$A$218&gt;35,FE103+FD104-FM103,IF(A104&lt;'Données projet'!$A$218,$FB$205^A104,IF(A104='Données projet'!$A$218,'Données projet'!$B$218,FE103+FD104-FM103)))</f>
        <v>366.2</v>
      </c>
      <c r="FF104" s="18">
        <f>FE104*VLOOKUP('Données projet'!$B$16,Paramètres!$A$1:$I$89,3,0)*VLOOKUP('Données projet'!$B$16,Paramètres!$A$1:$I$89,5,0)</f>
        <v>354.18863999999996</v>
      </c>
      <c r="FG104" s="14">
        <f t="shared" si="101"/>
        <v>82.424397643862633</v>
      </c>
      <c r="FH104" s="22">
        <f t="shared" si="76"/>
        <v>760.43437389639394</v>
      </c>
      <c r="FI104" s="60">
        <f t="shared" si="77"/>
        <v>1038.1147664434684</v>
      </c>
      <c r="FJ104" s="60">
        <f ca="1">AVERAGE(OFFSET($FI$3,0,0,'Données projet'!$E$16+1,1))-AVERAGE(OFFSET($H$3,0,0,'Données projet'!$E$16+1,1))</f>
        <v>603.52431522262032</v>
      </c>
      <c r="FK104" s="60">
        <f t="shared" si="102"/>
        <v>313.56299786481338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>
        <f>EXP(-LN(2)/35)*FQ103+(1-EXP(-LN(2)/35))/(LN(2)/35)*FM104*FN104*VLOOKUP('Données projet'!$B$16,Paramètres!$A$1:$I$89,3,0)*0.475*44/12</f>
        <v>0</v>
      </c>
      <c r="FR104" s="23">
        <f>EXP(-LN(2)/25)*FR103+(1-EXP(-LN(2)/25))/(LN(2)/25)*Calculateur!FM104*Calculateur!FO104*VLOOKUP('Données projet'!$B$16,Paramètres!$A$1:$I$89,3,0)*0.475*44/12</f>
        <v>0</v>
      </c>
      <c r="FS104" s="23">
        <f>EXP(-LN(2)/2)*FS103+(1-EXP(-LN(2)/2))/(LN(2)/2)*FM104*FP104*VLOOKUP('Données projet'!$B$16,Paramètres!$A$1:$I$89,3,0)*0.475*44/12</f>
        <v>0</v>
      </c>
      <c r="FT104" s="24">
        <f t="shared" si="78"/>
        <v>0</v>
      </c>
      <c r="FU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3.6538461538461489</v>
      </c>
      <c r="FZ104" s="13">
        <f>IF('Données projet'!$A$244&gt;35,FZ103+FY104-GH103,IF(A104&lt;'Données projet'!$A$244,$FW$205^A104,IF(A104='Données projet'!$A$244,'Données projet'!$B$244,FZ103+FY104-GH103)))</f>
        <v>333.78205128205144</v>
      </c>
      <c r="GA104" s="18">
        <f>FZ104*VLOOKUP('Données projet'!$B$17,Paramètres!$A$1:$I$89,3,0)*VLOOKUP('Données projet'!$B$17,Paramètres!$A$1:$I$89,5,0)</f>
        <v>223.90100000000012</v>
      </c>
      <c r="GB104" s="14">
        <f t="shared" si="103"/>
        <v>54.961879528873183</v>
      </c>
      <c r="GC104" s="22">
        <f t="shared" si="79"/>
        <v>485.68618184612097</v>
      </c>
      <c r="GD104" s="60">
        <f t="shared" si="80"/>
        <v>763.36657439319538</v>
      </c>
      <c r="GE104" s="60">
        <f ca="1">AVERAGE(OFFSET($GD$3,0,0,'Données projet'!$E$17+1,1))-AVERAGE(OFFSET($H$3,0,0,'Données projet'!$E$17+1,1))</f>
        <v>396.0878652679051</v>
      </c>
      <c r="GF104" s="60">
        <f t="shared" si="104"/>
        <v>327.26339199235406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>
        <f>EXP(-LN(2)/35)*GL103+(1-EXP(-LN(2)/35))/(LN(2)/35)*GH104*GI104*VLOOKUP('Données projet'!$B$17,Paramètres!$A$1:$I$89,3,0)*0.475*44/12</f>
        <v>0</v>
      </c>
      <c r="GM104" s="23">
        <f>EXP(-LN(2)/25)*GM103+(1-EXP(-LN(2)/25))/(LN(2)/25)*Calculateur!GH104*Calculateur!GJ104*VLOOKUP('Données projet'!$B$17,Paramètres!$A$1:$I$89,3,0)*0.475*44/12</f>
        <v>0</v>
      </c>
      <c r="GN104" s="23">
        <f>EXP(-LN(2)/2)*GN103+(1-EXP(-LN(2)/2))/(LN(2)/2)*GH104*GK104*VLOOKUP('Données projet'!$B$17,Paramètres!$A$1:$I$89,3,0)*0.475*44/12</f>
        <v>0</v>
      </c>
      <c r="GO104" s="23">
        <f t="shared" si="81"/>
        <v>0</v>
      </c>
      <c r="GP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-1.1368683772161603E-13</v>
      </c>
      <c r="GV104" s="18">
        <f>GU104*VLOOKUP('Données projet'!$B$18,Paramètres!$A$1:$I$89,3,0)*VLOOKUP('Données projet'!$B$18,Paramètres!$A$1:$I$89,5,0)</f>
        <v>-9.2222762759774927E-14</v>
      </c>
      <c r="GW104" s="14" t="e">
        <f t="shared" si="105"/>
        <v>#NUM!</v>
      </c>
      <c r="GX104" s="22" t="e">
        <f t="shared" si="82"/>
        <v>#NUM!</v>
      </c>
      <c r="GY104" s="60" t="e">
        <f t="shared" si="83"/>
        <v>#NUM!</v>
      </c>
      <c r="GZ104" s="60">
        <f ca="1">AVERAGE(OFFSET($GY$3,0,0,'Données projet'!$E$18+1,1))-AVERAGE(OFFSET($H$3,0,0,'Données projet'!$E$18+1,1))</f>
        <v>272.69564942740931</v>
      </c>
      <c r="HA104" s="60">
        <f t="shared" si="106"/>
        <v>316.57989180609252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>
        <f>EXP(-LN(2)/35)*HG103+(1-EXP(-LN(2)/35))/(LN(2)/35)*HC104*HD104*VLOOKUP('Données projet'!$B$18,Paramètres!$A$1:$I$89,3,0)*0.475*44/12</f>
        <v>0</v>
      </c>
      <c r="HH104" s="23">
        <f>EXP(-LN(2)/25)*HH103+(1-EXP(-LN(2)/25))/(LN(2)/25)*Calculateur!HC104*Calculateur!HE104*VLOOKUP('Données projet'!$B$18,Paramètres!$A$1:$I$89,3,0)*0.475*44/12</f>
        <v>0</v>
      </c>
      <c r="HI104" s="23">
        <f>EXP(-LN(2)/2)*HI103+(1-EXP(-LN(2)/2))/(LN(2)/2)*HC104*HF104*VLOOKUP('Données projet'!$B$18,Paramètres!$A$1:$I$89,3,0)*0.475*44/12</f>
        <v>0</v>
      </c>
      <c r="HJ104" s="24">
        <f t="shared" si="84"/>
        <v>0</v>
      </c>
    </row>
    <row r="105" spans="1:218" s="5" customFormat="1" x14ac:dyDescent="0.25">
      <c r="A105" s="11">
        <f t="shared" si="85"/>
        <v>102</v>
      </c>
      <c r="B105" s="75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8">
        <f t="shared" si="56"/>
        <v>183.33333333333334</v>
      </c>
      <c r="I105" s="7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5.2</v>
      </c>
      <c r="N105" s="14">
        <f>IF('Données projet'!$A$36&gt;35,N104+M105-V104,IF(A105&lt;'Données projet'!$A$36,$K$205^A105,IF(A105='Données projet'!$A$36,'Données projet'!$B$36,N104+M105-V104)))</f>
        <v>371.4</v>
      </c>
      <c r="O105" s="14">
        <f>N105*VLOOKUP('Données projet'!$B$9,Paramètres!$A$1:$I$89,3,0)*VLOOKUP('Données projet'!$B$9,Paramètres!$A$1:$I$89,5,0)</f>
        <v>336.04271999999997</v>
      </c>
      <c r="P105" s="14">
        <f t="shared" si="87"/>
        <v>78.681791069086316</v>
      </c>
      <c r="Q105" s="22">
        <f t="shared" si="107"/>
        <v>722.31185677865858</v>
      </c>
      <c r="R105" s="60">
        <f t="shared" si="55"/>
        <v>1000.2637928536415</v>
      </c>
      <c r="S105" s="60">
        <f ca="1">AVERAGE(OFFSET($R$3,0,0,'Données projet'!$E$9+1,1))-AVERAGE(OFFSET($H$3,0,0,'Données projet'!$E$9+1,1))</f>
        <v>570.08763950759544</v>
      </c>
      <c r="T105" s="60">
        <f t="shared" si="88"/>
        <v>297.32483725004136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-5.6843418860808015E-14</v>
      </c>
      <c r="AJ105" s="14">
        <f>AI105*VLOOKUP('Données projet'!$B$10,Paramètres!$A$1:$I$89,3,0)*VLOOKUP('Données projet'!$B$10,Paramètres!$A$1:$I$89,5,0)</f>
        <v>-4.5224624045658861E-14</v>
      </c>
      <c r="AK105" s="14" t="e">
        <f t="shared" si="89"/>
        <v>#NUM!</v>
      </c>
      <c r="AL105" s="22" t="e">
        <f t="shared" si="58"/>
        <v>#NUM!</v>
      </c>
      <c r="AM105" s="60" t="e">
        <f t="shared" si="59"/>
        <v>#NUM!</v>
      </c>
      <c r="AN105" s="60">
        <f ca="1">AVERAGE(OFFSET($AM$3,0,0,'Données projet'!$E$10+1,1))-AVERAGE(OFFSET($H$3,0,0,'Données projet'!$E$10+1,1))</f>
        <v>394.49874384716014</v>
      </c>
      <c r="AO105" s="60">
        <f t="shared" si="90"/>
        <v>423.72519584013378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3.4106051316484809E-13</v>
      </c>
      <c r="BE105" s="14">
        <f>BD105*VLOOKUP('Données projet'!$B$11,Paramètres!$A$1:$I$89,3,0)*VLOOKUP('Données projet'!$B$11,Paramètres!$A$1:$I$89,5,0)</f>
        <v>2.9795046430081134E-13</v>
      </c>
      <c r="BF105" s="14">
        <f t="shared" si="91"/>
        <v>3.9419014464513778E-12</v>
      </c>
      <c r="BG105" s="22">
        <f t="shared" si="61"/>
        <v>7.384408744560063E-12</v>
      </c>
      <c r="BH105" s="60">
        <f t="shared" si="62"/>
        <v>277.95193607499033</v>
      </c>
      <c r="BI105" s="60">
        <f ca="1">AVERAGE(OFFSET($BH$3,0,0,'Données projet'!$E$11+1,1))-AVERAGE(OFFSET($H$3,0,0,'Données projet'!$E$11+1,1))</f>
        <v>363.28611056308665</v>
      </c>
      <c r="BJ105" s="60">
        <f t="shared" si="92"/>
        <v>389.43647559455974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3.3974358974359005</v>
      </c>
      <c r="BY105" s="13">
        <f>IF('Données projet'!$A$114&gt;35,BY104+BX105-CG104,IF(A105&lt;'Données projet'!$A$114,$BV$205^A105,IF(A105='Données projet'!$A$114,'Données projet'!$B$114,BY104+BX105-CG104)))</f>
        <v>265.12820512820514</v>
      </c>
      <c r="BZ105" s="14">
        <f>BY105*VLOOKUP('Données projet'!$B$12,Paramètres!$A$1:$I$89,3,0)*VLOOKUP('Données projet'!$B$12,Paramètres!$A$1:$I$89,5,0)</f>
        <v>252.29600000000002</v>
      </c>
      <c r="CA105" s="14">
        <f t="shared" si="93"/>
        <v>61.077332796544965</v>
      </c>
      <c r="CB105" s="22">
        <f t="shared" si="64"/>
        <v>545.7918879539825</v>
      </c>
      <c r="CC105" s="60">
        <f t="shared" si="65"/>
        <v>823.74382402896549</v>
      </c>
      <c r="CD105" s="60">
        <f ca="1">AVERAGE(OFFSET($CC$3,0,0,'Données projet'!$E$12+1,1))-AVERAGE(OFFSET($H$3,0,0,'Données projet'!$E$12+1,1))</f>
        <v>441.15969139782891</v>
      </c>
      <c r="CE105" s="60">
        <f t="shared" si="94"/>
        <v>315.06466790224783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-5.6843418860808015E-14</v>
      </c>
      <c r="CU105" s="18">
        <f>CT105*VLOOKUP('Données projet'!$B$13,Paramètres!$A$1:$I$89,3,0)*VLOOKUP('Données projet'!$B$13,Paramètres!$A$1:$I$89,5,0)</f>
        <v>-4.1677594708744434E-14</v>
      </c>
      <c r="CV105" s="14" t="e">
        <f t="shared" si="95"/>
        <v>#NUM!</v>
      </c>
      <c r="CW105" s="22" t="e">
        <f t="shared" si="67"/>
        <v>#NUM!</v>
      </c>
      <c r="CX105" s="60" t="e">
        <f t="shared" si="68"/>
        <v>#NUM!</v>
      </c>
      <c r="CY105" s="60">
        <f ca="1">AVERAGE(OFFSET($CX$3,0,0,'Données projet'!$E$13+1,1))-AVERAGE(OFFSET($H$3,0,0,'Données projet'!$E$13+1,1))</f>
        <v>368.35775920359396</v>
      </c>
      <c r="CZ105" s="60">
        <f t="shared" si="96"/>
        <v>395.5218438652638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1.1368683772161603E-13</v>
      </c>
      <c r="DP105" s="18">
        <f>DO105*VLOOKUP('Données projet'!$B$14,Paramètres!$A$1:$I$89,3,0)*VLOOKUP('Données projet'!$B$14,Paramètres!$A$1:$I$89,5,0)</f>
        <v>8.8675733422860506E-14</v>
      </c>
      <c r="DQ105" s="14">
        <f t="shared" si="97"/>
        <v>1.3509285393066301E-12</v>
      </c>
      <c r="DR105" s="22">
        <f t="shared" si="70"/>
        <v>2.5073107750038623E-12</v>
      </c>
      <c r="DS105" s="60">
        <f t="shared" si="71"/>
        <v>277.95193607498544</v>
      </c>
      <c r="DT105" s="60">
        <f ca="1">AVERAGE(OFFSET($DS$3,0,0,'Données projet'!$E$14+1,1))-AVERAGE(OFFSET($H$3,0,0,'Données projet'!$E$14+1,1))</f>
        <v>312.59632808777332</v>
      </c>
      <c r="DU105" s="60">
        <f t="shared" si="98"/>
        <v>302.59481222418219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0</v>
      </c>
      <c r="EE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-1.1368683772161603E-13</v>
      </c>
      <c r="EK105" s="18">
        <f>EJ105*VLOOKUP('Données projet'!$B$15,Paramètres!$A$1:$I$89,3,0)*VLOOKUP('Données projet'!$B$15,Paramètres!$A$1:$I$89,5,0)</f>
        <v>-9.7543306765146564E-14</v>
      </c>
      <c r="EL105" s="14" t="e">
        <f t="shared" si="99"/>
        <v>#NUM!</v>
      </c>
      <c r="EM105" s="22" t="e">
        <f t="shared" si="73"/>
        <v>#NUM!</v>
      </c>
      <c r="EN105" s="60" t="e">
        <f t="shared" si="74"/>
        <v>#NUM!</v>
      </c>
      <c r="EO105" s="60">
        <f ca="1">AVERAGE(OFFSET($EN$3,0,0,'Données projet'!$E$15+1,1))-AVERAGE(OFFSET($H$3,0,0,'Données projet'!$E$15+1,1))</f>
        <v>478.11504516179713</v>
      </c>
      <c r="EP105" s="60">
        <f t="shared" si="100"/>
        <v>249.93713224442419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0</v>
      </c>
      <c r="EW105" s="23">
        <f>EXP(-LN(2)/25)*EW104+(1-EXP(-LN(2)/25))/(LN(2)/25)*Calculateur!ER105*Calculateur!ET105*VLOOKUP('Données projet'!$B$15,Paramètres!$A$1:$I$89,3,0)*0.475*44/12</f>
        <v>0</v>
      </c>
      <c r="EX105" s="23">
        <f>EXP(-LN(2)/2)*EX104+(1-EXP(-LN(2)/2))/(LN(2)/2)*ER105*EU105*VLOOKUP('Données projet'!$B$15,Paramètres!$A$1:$I$89,3,0)*0.475*44/12</f>
        <v>0</v>
      </c>
      <c r="EY105" s="24">
        <f t="shared" si="75"/>
        <v>0</v>
      </c>
      <c r="EZ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5.2</v>
      </c>
      <c r="FE105" s="13">
        <f>IF('Données projet'!$A$218&gt;35,FE104+FD105-FM104,IF(A105&lt;'Données projet'!$A$218,$FB$205^A105,IF(A105='Données projet'!$A$218,'Données projet'!$B$218,FE104+FD105-FM104)))</f>
        <v>371.4</v>
      </c>
      <c r="FF105" s="18">
        <f>FE105*VLOOKUP('Données projet'!$B$16,Paramètres!$A$1:$I$89,3,0)*VLOOKUP('Données projet'!$B$16,Paramètres!$A$1:$I$89,5,0)</f>
        <v>359.21807999999999</v>
      </c>
      <c r="FG105" s="14">
        <f t="shared" si="101"/>
        <v>83.457728297661106</v>
      </c>
      <c r="FH105" s="22">
        <f t="shared" si="76"/>
        <v>770.99369945175965</v>
      </c>
      <c r="FI105" s="60">
        <f t="shared" si="77"/>
        <v>1048.9456355267425</v>
      </c>
      <c r="FJ105" s="60">
        <f ca="1">AVERAGE(OFFSET($FI$3,0,0,'Données projet'!$E$16+1,1))-AVERAGE(OFFSET($H$3,0,0,'Données projet'!$E$16+1,1))</f>
        <v>603.52431522262032</v>
      </c>
      <c r="FK105" s="60">
        <f t="shared" si="102"/>
        <v>313.56299786481338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>
        <f>EXP(-LN(2)/35)*FQ104+(1-EXP(-LN(2)/35))/(LN(2)/35)*FM105*FN105*VLOOKUP('Données projet'!$B$16,Paramètres!$A$1:$I$89,3,0)*0.475*44/12</f>
        <v>0</v>
      </c>
      <c r="FR105" s="23">
        <f>EXP(-LN(2)/25)*FR104+(1-EXP(-LN(2)/25))/(LN(2)/25)*Calculateur!FM105*Calculateur!FO105*VLOOKUP('Données projet'!$B$16,Paramètres!$A$1:$I$89,3,0)*0.475*44/12</f>
        <v>0</v>
      </c>
      <c r="FS105" s="23">
        <f>EXP(-LN(2)/2)*FS104+(1-EXP(-LN(2)/2))/(LN(2)/2)*FM105*FP105*VLOOKUP('Données projet'!$B$16,Paramètres!$A$1:$I$89,3,0)*0.475*44/12</f>
        <v>0</v>
      </c>
      <c r="FT105" s="24">
        <f t="shared" si="78"/>
        <v>0</v>
      </c>
      <c r="FU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3.6538461538461489</v>
      </c>
      <c r="FZ105" s="13">
        <f>IF('Données projet'!$A$244&gt;35,FZ104+FY105-GH104,IF(A105&lt;'Données projet'!$A$244,$FW$205^A105,IF(A105='Données projet'!$A$244,'Données projet'!$B$244,FZ104+FY105-GH104)))</f>
        <v>337.43589743589757</v>
      </c>
      <c r="GA105" s="18">
        <f>FZ105*VLOOKUP('Données projet'!$B$17,Paramètres!$A$1:$I$89,3,0)*VLOOKUP('Données projet'!$B$17,Paramètres!$A$1:$I$89,5,0)</f>
        <v>226.35200000000009</v>
      </c>
      <c r="GB105" s="14">
        <f t="shared" si="103"/>
        <v>55.493166179246714</v>
      </c>
      <c r="GC105" s="22">
        <f t="shared" si="79"/>
        <v>490.88033109552151</v>
      </c>
      <c r="GD105" s="60">
        <f t="shared" si="80"/>
        <v>768.83226717050445</v>
      </c>
      <c r="GE105" s="60">
        <f ca="1">AVERAGE(OFFSET($GD$3,0,0,'Données projet'!$E$17+1,1))-AVERAGE(OFFSET($H$3,0,0,'Données projet'!$E$17+1,1))</f>
        <v>396.0878652679051</v>
      </c>
      <c r="GF105" s="60">
        <f t="shared" si="104"/>
        <v>327.26339199235406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>
        <f>EXP(-LN(2)/35)*GL104+(1-EXP(-LN(2)/35))/(LN(2)/35)*GH105*GI105*VLOOKUP('Données projet'!$B$17,Paramètres!$A$1:$I$89,3,0)*0.475*44/12</f>
        <v>0</v>
      </c>
      <c r="GM105" s="23">
        <f>EXP(-LN(2)/25)*GM104+(1-EXP(-LN(2)/25))/(LN(2)/25)*Calculateur!GH105*Calculateur!GJ105*VLOOKUP('Données projet'!$B$17,Paramètres!$A$1:$I$89,3,0)*0.475*44/12</f>
        <v>0</v>
      </c>
      <c r="GN105" s="23">
        <f>EXP(-LN(2)/2)*GN104+(1-EXP(-LN(2)/2))/(LN(2)/2)*GH105*GK105*VLOOKUP('Données projet'!$B$17,Paramètres!$A$1:$I$89,3,0)*0.475*44/12</f>
        <v>0</v>
      </c>
      <c r="GO105" s="23">
        <f t="shared" si="81"/>
        <v>0</v>
      </c>
      <c r="GP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-1.1368683772161603E-13</v>
      </c>
      <c r="GV105" s="18">
        <f>GU105*VLOOKUP('Données projet'!$B$18,Paramètres!$A$1:$I$89,3,0)*VLOOKUP('Données projet'!$B$18,Paramètres!$A$1:$I$89,5,0)</f>
        <v>-9.2222762759774927E-14</v>
      </c>
      <c r="GW105" s="14" t="e">
        <f t="shared" si="105"/>
        <v>#NUM!</v>
      </c>
      <c r="GX105" s="22" t="e">
        <f t="shared" si="82"/>
        <v>#NUM!</v>
      </c>
      <c r="GY105" s="60" t="e">
        <f t="shared" si="83"/>
        <v>#NUM!</v>
      </c>
      <c r="GZ105" s="60">
        <f ca="1">AVERAGE(OFFSET($GY$3,0,0,'Données projet'!$E$18+1,1))-AVERAGE(OFFSET($H$3,0,0,'Données projet'!$E$18+1,1))</f>
        <v>272.69564942740931</v>
      </c>
      <c r="HA105" s="60">
        <f t="shared" si="106"/>
        <v>316.57989180609252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>
        <f>EXP(-LN(2)/35)*HG104+(1-EXP(-LN(2)/35))/(LN(2)/35)*HC105*HD105*VLOOKUP('Données projet'!$B$18,Paramètres!$A$1:$I$89,3,0)*0.475*44/12</f>
        <v>0</v>
      </c>
      <c r="HH105" s="23">
        <f>EXP(-LN(2)/25)*HH104+(1-EXP(-LN(2)/25))/(LN(2)/25)*Calculateur!HC105*Calculateur!HE105*VLOOKUP('Données projet'!$B$18,Paramètres!$A$1:$I$89,3,0)*0.475*44/12</f>
        <v>0</v>
      </c>
      <c r="HI105" s="23">
        <f>EXP(-LN(2)/2)*HI104+(1-EXP(-LN(2)/2))/(LN(2)/2)*HC105*HF105*VLOOKUP('Données projet'!$B$18,Paramètres!$A$1:$I$89,3,0)*0.475*44/12</f>
        <v>0</v>
      </c>
      <c r="HJ105" s="24">
        <f t="shared" si="84"/>
        <v>0</v>
      </c>
    </row>
    <row r="106" spans="1:218" s="5" customFormat="1" x14ac:dyDescent="0.25">
      <c r="A106" s="11">
        <f t="shared" si="85"/>
        <v>103</v>
      </c>
      <c r="B106" s="75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8">
        <f t="shared" si="56"/>
        <v>183.33333333333334</v>
      </c>
      <c r="I106" s="7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5.2</v>
      </c>
      <c r="N106" s="14">
        <f>IF('Données projet'!$A$36&gt;35,N105+M106-V105,IF(A106&lt;'Données projet'!$A$36,$K$205^A106,IF(A106='Données projet'!$A$36,'Données projet'!$B$36,N105+M106-V105)))</f>
        <v>376.59999999999997</v>
      </c>
      <c r="O106" s="14">
        <f>N106*VLOOKUP('Données projet'!$B$9,Paramètres!$A$1:$I$89,3,0)*VLOOKUP('Données projet'!$B$9,Paramètres!$A$1:$I$89,5,0)</f>
        <v>340.74767999999995</v>
      </c>
      <c r="P106" s="14">
        <f t="shared" si="87"/>
        <v>79.654402089206556</v>
      </c>
      <c r="Q106" s="22">
        <f t="shared" si="107"/>
        <v>732.20029297203462</v>
      </c>
      <c r="R106" s="60">
        <f t="shared" si="55"/>
        <v>1010.4190619017972</v>
      </c>
      <c r="S106" s="60">
        <f ca="1">AVERAGE(OFFSET($R$3,0,0,'Données projet'!$E$9+1,1))-AVERAGE(OFFSET($H$3,0,0,'Données projet'!$E$9+1,1))</f>
        <v>570.08763950759544</v>
      </c>
      <c r="T106" s="60">
        <f t="shared" si="88"/>
        <v>297.32483725004136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-5.6843418860808015E-14</v>
      </c>
      <c r="AJ106" s="14">
        <f>AI106*VLOOKUP('Données projet'!$B$10,Paramètres!$A$1:$I$89,3,0)*VLOOKUP('Données projet'!$B$10,Paramètres!$A$1:$I$89,5,0)</f>
        <v>-4.5224624045658861E-14</v>
      </c>
      <c r="AK106" s="14" t="e">
        <f t="shared" si="89"/>
        <v>#NUM!</v>
      </c>
      <c r="AL106" s="22" t="e">
        <f t="shared" si="58"/>
        <v>#NUM!</v>
      </c>
      <c r="AM106" s="60" t="e">
        <f t="shared" si="59"/>
        <v>#NUM!</v>
      </c>
      <c r="AN106" s="60">
        <f ca="1">AVERAGE(OFFSET($AM$3,0,0,'Données projet'!$E$10+1,1))-AVERAGE(OFFSET($H$3,0,0,'Données projet'!$E$10+1,1))</f>
        <v>394.49874384716014</v>
      </c>
      <c r="AO106" s="60">
        <f t="shared" si="90"/>
        <v>423.72519584013378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3.4106051316484809E-13</v>
      </c>
      <c r="BE106" s="14">
        <f>BD106*VLOOKUP('Données projet'!$B$11,Paramètres!$A$1:$I$89,3,0)*VLOOKUP('Données projet'!$B$11,Paramètres!$A$1:$I$89,5,0)</f>
        <v>2.9795046430081134E-13</v>
      </c>
      <c r="BF106" s="14">
        <f t="shared" si="91"/>
        <v>3.9419014464513778E-12</v>
      </c>
      <c r="BG106" s="22">
        <f t="shared" si="61"/>
        <v>7.384408744560063E-12</v>
      </c>
      <c r="BH106" s="60">
        <f t="shared" si="62"/>
        <v>278.21876892977008</v>
      </c>
      <c r="BI106" s="60">
        <f ca="1">AVERAGE(OFFSET($BH$3,0,0,'Données projet'!$E$11+1,1))-AVERAGE(OFFSET($H$3,0,0,'Données projet'!$E$11+1,1))</f>
        <v>363.28611056308665</v>
      </c>
      <c r="BJ106" s="60">
        <f t="shared" si="92"/>
        <v>389.43647559455974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3.3974358974359005</v>
      </c>
      <c r="BY106" s="13">
        <f>IF('Données projet'!$A$114&gt;35,BY105+BX106-CG105,IF(A106&lt;'Données projet'!$A$114,$BV$205^A106,IF(A106='Données projet'!$A$114,'Données projet'!$B$114,BY105+BX106-CG105)))</f>
        <v>268.52564102564105</v>
      </c>
      <c r="BZ106" s="14">
        <f>BY106*VLOOKUP('Données projet'!$B$12,Paramètres!$A$1:$I$89,3,0)*VLOOKUP('Données projet'!$B$12,Paramètres!$A$1:$I$89,5,0)</f>
        <v>255.52900000000002</v>
      </c>
      <c r="CA106" s="14">
        <f t="shared" si="93"/>
        <v>61.768381459172247</v>
      </c>
      <c r="CB106" s="22">
        <f t="shared" si="64"/>
        <v>552.62627270805831</v>
      </c>
      <c r="CC106" s="60">
        <f t="shared" si="65"/>
        <v>830.84504163782094</v>
      </c>
      <c r="CD106" s="60">
        <f ca="1">AVERAGE(OFFSET($CC$3,0,0,'Données projet'!$E$12+1,1))-AVERAGE(OFFSET($H$3,0,0,'Données projet'!$E$12+1,1))</f>
        <v>441.15969139782891</v>
      </c>
      <c r="CE106" s="60">
        <f t="shared" si="94"/>
        <v>315.06466790224783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-5.6843418860808015E-14</v>
      </c>
      <c r="CU106" s="18">
        <f>CT106*VLOOKUP('Données projet'!$B$13,Paramètres!$A$1:$I$89,3,0)*VLOOKUP('Données projet'!$B$13,Paramètres!$A$1:$I$89,5,0)</f>
        <v>-4.1677594708744434E-14</v>
      </c>
      <c r="CV106" s="14" t="e">
        <f t="shared" si="95"/>
        <v>#NUM!</v>
      </c>
      <c r="CW106" s="22" t="e">
        <f t="shared" si="67"/>
        <v>#NUM!</v>
      </c>
      <c r="CX106" s="60" t="e">
        <f t="shared" si="68"/>
        <v>#NUM!</v>
      </c>
      <c r="CY106" s="60">
        <f ca="1">AVERAGE(OFFSET($CX$3,0,0,'Données projet'!$E$13+1,1))-AVERAGE(OFFSET($H$3,0,0,'Données projet'!$E$13+1,1))</f>
        <v>368.35775920359396</v>
      </c>
      <c r="CZ106" s="60">
        <f t="shared" si="96"/>
        <v>395.5218438652638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1.1368683772161603E-13</v>
      </c>
      <c r="DP106" s="18">
        <f>DO106*VLOOKUP('Données projet'!$B$14,Paramètres!$A$1:$I$89,3,0)*VLOOKUP('Données projet'!$B$14,Paramètres!$A$1:$I$89,5,0)</f>
        <v>8.8675733422860506E-14</v>
      </c>
      <c r="DQ106" s="14">
        <f t="shared" si="97"/>
        <v>1.3509285393066301E-12</v>
      </c>
      <c r="DR106" s="22">
        <f t="shared" si="70"/>
        <v>2.5073107750038623E-12</v>
      </c>
      <c r="DS106" s="60">
        <f t="shared" si="71"/>
        <v>278.21876892976519</v>
      </c>
      <c r="DT106" s="60">
        <f ca="1">AVERAGE(OFFSET($DS$3,0,0,'Données projet'!$E$14+1,1))-AVERAGE(OFFSET($H$3,0,0,'Données projet'!$E$14+1,1))</f>
        <v>312.59632808777332</v>
      </c>
      <c r="DU106" s="60">
        <f t="shared" si="98"/>
        <v>302.59481222418219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0</v>
      </c>
      <c r="EE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-1.1368683772161603E-13</v>
      </c>
      <c r="EK106" s="18">
        <f>EJ106*VLOOKUP('Données projet'!$B$15,Paramètres!$A$1:$I$89,3,0)*VLOOKUP('Données projet'!$B$15,Paramètres!$A$1:$I$89,5,0)</f>
        <v>-9.7543306765146564E-14</v>
      </c>
      <c r="EL106" s="14" t="e">
        <f t="shared" si="99"/>
        <v>#NUM!</v>
      </c>
      <c r="EM106" s="22" t="e">
        <f t="shared" si="73"/>
        <v>#NUM!</v>
      </c>
      <c r="EN106" s="60" t="e">
        <f t="shared" si="74"/>
        <v>#NUM!</v>
      </c>
      <c r="EO106" s="60">
        <f ca="1">AVERAGE(OFFSET($EN$3,0,0,'Données projet'!$E$15+1,1))-AVERAGE(OFFSET($H$3,0,0,'Données projet'!$E$15+1,1))</f>
        <v>478.11504516179713</v>
      </c>
      <c r="EP106" s="60">
        <f t="shared" si="100"/>
        <v>249.93713224442419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0</v>
      </c>
      <c r="EW106" s="23">
        <f>EXP(-LN(2)/25)*EW105+(1-EXP(-LN(2)/25))/(LN(2)/25)*Calculateur!ER106*Calculateur!ET106*VLOOKUP('Données projet'!$B$15,Paramètres!$A$1:$I$89,3,0)*0.475*44/12</f>
        <v>0</v>
      </c>
      <c r="EX106" s="23">
        <f>EXP(-LN(2)/2)*EX105+(1-EXP(-LN(2)/2))/(LN(2)/2)*ER106*EU106*VLOOKUP('Données projet'!$B$15,Paramètres!$A$1:$I$89,3,0)*0.475*44/12</f>
        <v>0</v>
      </c>
      <c r="EY106" s="24">
        <f t="shared" si="75"/>
        <v>0</v>
      </c>
      <c r="EZ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5.2</v>
      </c>
      <c r="FE106" s="13">
        <f>IF('Données projet'!$A$218&gt;35,FE105+FD106-FM105,IF(A106&lt;'Données projet'!$A$218,$FB$205^A106,IF(A106='Données projet'!$A$218,'Données projet'!$B$218,FE105+FD106-FM105)))</f>
        <v>376.59999999999997</v>
      </c>
      <c r="FF106" s="18">
        <f>FE106*VLOOKUP('Données projet'!$B$16,Paramètres!$A$1:$I$89,3,0)*VLOOKUP('Données projet'!$B$16,Paramètres!$A$1:$I$89,5,0)</f>
        <v>364.24752000000001</v>
      </c>
      <c r="FG106" s="14">
        <f t="shared" si="101"/>
        <v>84.489376219671925</v>
      </c>
      <c r="FH106" s="22">
        <f t="shared" si="76"/>
        <v>781.55009424926186</v>
      </c>
      <c r="FI106" s="60">
        <f t="shared" si="77"/>
        <v>1059.7688631790245</v>
      </c>
      <c r="FJ106" s="60">
        <f ca="1">AVERAGE(OFFSET($FI$3,0,0,'Données projet'!$E$16+1,1))-AVERAGE(OFFSET($H$3,0,0,'Données projet'!$E$16+1,1))</f>
        <v>603.52431522262032</v>
      </c>
      <c r="FK106" s="60">
        <f t="shared" si="102"/>
        <v>313.56299786481338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>
        <f>EXP(-LN(2)/35)*FQ105+(1-EXP(-LN(2)/35))/(LN(2)/35)*FM106*FN106*VLOOKUP('Données projet'!$B$16,Paramètres!$A$1:$I$89,3,0)*0.475*44/12</f>
        <v>0</v>
      </c>
      <c r="FR106" s="23">
        <f>EXP(-LN(2)/25)*FR105+(1-EXP(-LN(2)/25))/(LN(2)/25)*Calculateur!FM106*Calculateur!FO106*VLOOKUP('Données projet'!$B$16,Paramètres!$A$1:$I$89,3,0)*0.475*44/12</f>
        <v>0</v>
      </c>
      <c r="FS106" s="23">
        <f>EXP(-LN(2)/2)*FS105+(1-EXP(-LN(2)/2))/(LN(2)/2)*FM106*FP106*VLOOKUP('Données projet'!$B$16,Paramètres!$A$1:$I$89,3,0)*0.475*44/12</f>
        <v>0</v>
      </c>
      <c r="FT106" s="24">
        <f t="shared" si="78"/>
        <v>0</v>
      </c>
      <c r="FU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3.6538461538461489</v>
      </c>
      <c r="FZ106" s="13">
        <f>IF('Données projet'!$A$244&gt;35,FZ105+FY106-GH105,IF(A106&lt;'Données projet'!$A$244,$FW$205^A106,IF(A106='Données projet'!$A$244,'Données projet'!$B$244,FZ105+FY106-GH105)))</f>
        <v>341.0897435897437</v>
      </c>
      <c r="GA106" s="18">
        <f>FZ106*VLOOKUP('Données projet'!$B$17,Paramètres!$A$1:$I$89,3,0)*VLOOKUP('Données projet'!$B$17,Paramètres!$A$1:$I$89,5,0)</f>
        <v>228.80300000000008</v>
      </c>
      <c r="GB106" s="14">
        <f t="shared" si="103"/>
        <v>56.023783598437618</v>
      </c>
      <c r="GC106" s="22">
        <f t="shared" si="79"/>
        <v>496.07331476727899</v>
      </c>
      <c r="GD106" s="60">
        <f t="shared" si="80"/>
        <v>774.29208369704168</v>
      </c>
      <c r="GE106" s="60">
        <f ca="1">AVERAGE(OFFSET($GD$3,0,0,'Données projet'!$E$17+1,1))-AVERAGE(OFFSET($H$3,0,0,'Données projet'!$E$17+1,1))</f>
        <v>396.0878652679051</v>
      </c>
      <c r="GF106" s="60">
        <f t="shared" si="104"/>
        <v>327.26339199235406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>
        <f>EXP(-LN(2)/35)*GL105+(1-EXP(-LN(2)/35))/(LN(2)/35)*GH106*GI106*VLOOKUP('Données projet'!$B$17,Paramètres!$A$1:$I$89,3,0)*0.475*44/12</f>
        <v>0</v>
      </c>
      <c r="GM106" s="23">
        <f>EXP(-LN(2)/25)*GM105+(1-EXP(-LN(2)/25))/(LN(2)/25)*Calculateur!GH106*Calculateur!GJ106*VLOOKUP('Données projet'!$B$17,Paramètres!$A$1:$I$89,3,0)*0.475*44/12</f>
        <v>0</v>
      </c>
      <c r="GN106" s="23">
        <f>EXP(-LN(2)/2)*GN105+(1-EXP(-LN(2)/2))/(LN(2)/2)*GH106*GK106*VLOOKUP('Données projet'!$B$17,Paramètres!$A$1:$I$89,3,0)*0.475*44/12</f>
        <v>0</v>
      </c>
      <c r="GO106" s="23">
        <f t="shared" si="81"/>
        <v>0</v>
      </c>
      <c r="GP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-1.1368683772161603E-13</v>
      </c>
      <c r="GV106" s="18">
        <f>GU106*VLOOKUP('Données projet'!$B$18,Paramètres!$A$1:$I$89,3,0)*VLOOKUP('Données projet'!$B$18,Paramètres!$A$1:$I$89,5,0)</f>
        <v>-9.2222762759774927E-14</v>
      </c>
      <c r="GW106" s="14" t="e">
        <f t="shared" si="105"/>
        <v>#NUM!</v>
      </c>
      <c r="GX106" s="22" t="e">
        <f t="shared" si="82"/>
        <v>#NUM!</v>
      </c>
      <c r="GY106" s="60" t="e">
        <f t="shared" si="83"/>
        <v>#NUM!</v>
      </c>
      <c r="GZ106" s="60">
        <f ca="1">AVERAGE(OFFSET($GY$3,0,0,'Données projet'!$E$18+1,1))-AVERAGE(OFFSET($H$3,0,0,'Données projet'!$E$18+1,1))</f>
        <v>272.69564942740931</v>
      </c>
      <c r="HA106" s="60">
        <f t="shared" si="106"/>
        <v>316.57989180609252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>
        <f>EXP(-LN(2)/35)*HG105+(1-EXP(-LN(2)/35))/(LN(2)/35)*HC106*HD106*VLOOKUP('Données projet'!$B$18,Paramètres!$A$1:$I$89,3,0)*0.475*44/12</f>
        <v>0</v>
      </c>
      <c r="HH106" s="23">
        <f>EXP(-LN(2)/25)*HH105+(1-EXP(-LN(2)/25))/(LN(2)/25)*Calculateur!HC106*Calculateur!HE106*VLOOKUP('Données projet'!$B$18,Paramètres!$A$1:$I$89,3,0)*0.475*44/12</f>
        <v>0</v>
      </c>
      <c r="HI106" s="23">
        <f>EXP(-LN(2)/2)*HI105+(1-EXP(-LN(2)/2))/(LN(2)/2)*HC106*HF106*VLOOKUP('Données projet'!$B$18,Paramètres!$A$1:$I$89,3,0)*0.475*44/12</f>
        <v>0</v>
      </c>
      <c r="HJ106" s="24">
        <f t="shared" si="84"/>
        <v>0</v>
      </c>
    </row>
    <row r="107" spans="1:218" s="5" customFormat="1" x14ac:dyDescent="0.25">
      <c r="A107" s="11">
        <f t="shared" si="85"/>
        <v>104</v>
      </c>
      <c r="B107" s="75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8">
        <f t="shared" si="56"/>
        <v>183.33333333333334</v>
      </c>
      <c r="I107" s="7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5.2</v>
      </c>
      <c r="N107" s="14">
        <f>IF('Données projet'!$A$36&gt;35,N106+M107-V106,IF(A107&lt;'Données projet'!$A$36,$K$205^A107,IF(A107='Données projet'!$A$36,'Données projet'!$B$36,N106+M107-V106)))</f>
        <v>381.79999999999995</v>
      </c>
      <c r="O107" s="14">
        <f>N107*VLOOKUP('Données projet'!$B$9,Paramètres!$A$1:$I$89,3,0)*VLOOKUP('Données projet'!$B$9,Paramètres!$A$1:$I$89,5,0)</f>
        <v>345.45263999999997</v>
      </c>
      <c r="P107" s="14">
        <f t="shared" si="87"/>
        <v>80.625451110046569</v>
      </c>
      <c r="Q107" s="22">
        <f t="shared" si="107"/>
        <v>742.08600868333099</v>
      </c>
      <c r="R107" s="60">
        <f t="shared" si="55"/>
        <v>1020.566981514392</v>
      </c>
      <c r="S107" s="60">
        <f ca="1">AVERAGE(OFFSET($R$3,0,0,'Données projet'!$E$9+1,1))-AVERAGE(OFFSET($H$3,0,0,'Données projet'!$E$9+1,1))</f>
        <v>570.08763950759544</v>
      </c>
      <c r="T107" s="60">
        <f t="shared" si="88"/>
        <v>297.32483725004136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-5.6843418860808015E-14</v>
      </c>
      <c r="AJ107" s="14">
        <f>AI107*VLOOKUP('Données projet'!$B$10,Paramètres!$A$1:$I$89,3,0)*VLOOKUP('Données projet'!$B$10,Paramètres!$A$1:$I$89,5,0)</f>
        <v>-4.5224624045658861E-14</v>
      </c>
      <c r="AK107" s="14" t="e">
        <f t="shared" si="89"/>
        <v>#NUM!</v>
      </c>
      <c r="AL107" s="22" t="e">
        <f t="shared" si="58"/>
        <v>#NUM!</v>
      </c>
      <c r="AM107" s="60" t="e">
        <f t="shared" si="59"/>
        <v>#NUM!</v>
      </c>
      <c r="AN107" s="60">
        <f ca="1">AVERAGE(OFFSET($AM$3,0,0,'Données projet'!$E$10+1,1))-AVERAGE(OFFSET($H$3,0,0,'Données projet'!$E$10+1,1))</f>
        <v>394.49874384716014</v>
      </c>
      <c r="AO107" s="60">
        <f t="shared" si="90"/>
        <v>423.72519584013378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3.4106051316484809E-13</v>
      </c>
      <c r="BE107" s="14">
        <f>BD107*VLOOKUP('Données projet'!$B$11,Paramètres!$A$1:$I$89,3,0)*VLOOKUP('Données projet'!$B$11,Paramètres!$A$1:$I$89,5,0)</f>
        <v>2.9795046430081134E-13</v>
      </c>
      <c r="BF107" s="14">
        <f t="shared" si="91"/>
        <v>3.9419014464513778E-12</v>
      </c>
      <c r="BG107" s="22">
        <f t="shared" si="61"/>
        <v>7.384408744560063E-12</v>
      </c>
      <c r="BH107" s="60">
        <f t="shared" si="62"/>
        <v>278.4809728310683</v>
      </c>
      <c r="BI107" s="60">
        <f ca="1">AVERAGE(OFFSET($BH$3,0,0,'Données projet'!$E$11+1,1))-AVERAGE(OFFSET($H$3,0,0,'Données projet'!$E$11+1,1))</f>
        <v>363.28611056308665</v>
      </c>
      <c r="BJ107" s="60">
        <f t="shared" si="92"/>
        <v>389.43647559455974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3.3974358974359005</v>
      </c>
      <c r="BY107" s="13">
        <f>IF('Données projet'!$A$114&gt;35,BY106+BX107-CG106,IF(A107&lt;'Données projet'!$A$114,$BV$205^A107,IF(A107='Données projet'!$A$114,'Données projet'!$B$114,BY106+BX107-CG106)))</f>
        <v>271.92307692307696</v>
      </c>
      <c r="BZ107" s="14">
        <f>BY107*VLOOKUP('Données projet'!$B$12,Paramètres!$A$1:$I$89,3,0)*VLOOKUP('Données projet'!$B$12,Paramètres!$A$1:$I$89,5,0)</f>
        <v>258.76200000000006</v>
      </c>
      <c r="CA107" s="14">
        <f t="shared" si="93"/>
        <v>62.458413124928875</v>
      </c>
      <c r="CB107" s="22">
        <f t="shared" si="64"/>
        <v>559.4588861925846</v>
      </c>
      <c r="CC107" s="60">
        <f t="shared" si="65"/>
        <v>837.93985902364557</v>
      </c>
      <c r="CD107" s="60">
        <f ca="1">AVERAGE(OFFSET($CC$3,0,0,'Données projet'!$E$12+1,1))-AVERAGE(OFFSET($H$3,0,0,'Données projet'!$E$12+1,1))</f>
        <v>441.15969139782891</v>
      </c>
      <c r="CE107" s="60">
        <f t="shared" si="94"/>
        <v>315.06466790224783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-5.6843418860808015E-14</v>
      </c>
      <c r="CU107" s="18">
        <f>CT107*VLOOKUP('Données projet'!$B$13,Paramètres!$A$1:$I$89,3,0)*VLOOKUP('Données projet'!$B$13,Paramètres!$A$1:$I$89,5,0)</f>
        <v>-4.1677594708744434E-14</v>
      </c>
      <c r="CV107" s="14" t="e">
        <f t="shared" si="95"/>
        <v>#NUM!</v>
      </c>
      <c r="CW107" s="22" t="e">
        <f t="shared" si="67"/>
        <v>#NUM!</v>
      </c>
      <c r="CX107" s="60" t="e">
        <f t="shared" si="68"/>
        <v>#NUM!</v>
      </c>
      <c r="CY107" s="60">
        <f ca="1">AVERAGE(OFFSET($CX$3,0,0,'Données projet'!$E$13+1,1))-AVERAGE(OFFSET($H$3,0,0,'Données projet'!$E$13+1,1))</f>
        <v>368.35775920359396</v>
      </c>
      <c r="CZ107" s="60">
        <f t="shared" si="96"/>
        <v>395.5218438652638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1.1368683772161603E-13</v>
      </c>
      <c r="DP107" s="18">
        <f>DO107*VLOOKUP('Données projet'!$B$14,Paramètres!$A$1:$I$89,3,0)*VLOOKUP('Données projet'!$B$14,Paramètres!$A$1:$I$89,5,0)</f>
        <v>8.8675733422860506E-14</v>
      </c>
      <c r="DQ107" s="14">
        <f t="shared" si="97"/>
        <v>1.3509285393066301E-12</v>
      </c>
      <c r="DR107" s="22">
        <f t="shared" si="70"/>
        <v>2.5073107750038623E-12</v>
      </c>
      <c r="DS107" s="60">
        <f t="shared" si="71"/>
        <v>278.48097283106341</v>
      </c>
      <c r="DT107" s="60">
        <f ca="1">AVERAGE(OFFSET($DS$3,0,0,'Données projet'!$E$14+1,1))-AVERAGE(OFFSET($H$3,0,0,'Données projet'!$E$14+1,1))</f>
        <v>312.59632808777332</v>
      </c>
      <c r="DU107" s="60">
        <f t="shared" si="98"/>
        <v>302.59481222418219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0</v>
      </c>
      <c r="EE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-1.1368683772161603E-13</v>
      </c>
      <c r="EK107" s="18">
        <f>EJ107*VLOOKUP('Données projet'!$B$15,Paramètres!$A$1:$I$89,3,0)*VLOOKUP('Données projet'!$B$15,Paramètres!$A$1:$I$89,5,0)</f>
        <v>-9.7543306765146564E-14</v>
      </c>
      <c r="EL107" s="14" t="e">
        <f t="shared" si="99"/>
        <v>#NUM!</v>
      </c>
      <c r="EM107" s="22" t="e">
        <f t="shared" si="73"/>
        <v>#NUM!</v>
      </c>
      <c r="EN107" s="60" t="e">
        <f t="shared" si="74"/>
        <v>#NUM!</v>
      </c>
      <c r="EO107" s="60">
        <f ca="1">AVERAGE(OFFSET($EN$3,0,0,'Données projet'!$E$15+1,1))-AVERAGE(OFFSET($H$3,0,0,'Données projet'!$E$15+1,1))</f>
        <v>478.11504516179713</v>
      </c>
      <c r="EP107" s="60">
        <f t="shared" si="100"/>
        <v>249.93713224442419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0</v>
      </c>
      <c r="EW107" s="23">
        <f>EXP(-LN(2)/25)*EW106+(1-EXP(-LN(2)/25))/(LN(2)/25)*Calculateur!ER107*Calculateur!ET107*VLOOKUP('Données projet'!$B$15,Paramètres!$A$1:$I$89,3,0)*0.475*44/12</f>
        <v>0</v>
      </c>
      <c r="EX107" s="23">
        <f>EXP(-LN(2)/2)*EX106+(1-EXP(-LN(2)/2))/(LN(2)/2)*ER107*EU107*VLOOKUP('Données projet'!$B$15,Paramètres!$A$1:$I$89,3,0)*0.475*44/12</f>
        <v>0</v>
      </c>
      <c r="EY107" s="24">
        <f t="shared" si="75"/>
        <v>0</v>
      </c>
      <c r="EZ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5.2</v>
      </c>
      <c r="FE107" s="13">
        <f>IF('Données projet'!$A$218&gt;35,FE106+FD107-FM106,IF(A107&lt;'Données projet'!$A$218,$FB$205^A107,IF(A107='Données projet'!$A$218,'Données projet'!$B$218,FE106+FD107-FM106)))</f>
        <v>381.79999999999995</v>
      </c>
      <c r="FF107" s="18">
        <f>FE107*VLOOKUP('Données projet'!$B$16,Paramètres!$A$1:$I$89,3,0)*VLOOKUP('Données projet'!$B$16,Paramètres!$A$1:$I$89,5,0)</f>
        <v>369.27695999999997</v>
      </c>
      <c r="FG107" s="14">
        <f t="shared" si="101"/>
        <v>85.519367329988739</v>
      </c>
      <c r="FH107" s="22">
        <f t="shared" si="76"/>
        <v>792.10360343306365</v>
      </c>
      <c r="FI107" s="60">
        <f t="shared" si="77"/>
        <v>1070.5845762641245</v>
      </c>
      <c r="FJ107" s="60">
        <f ca="1">AVERAGE(OFFSET($FI$3,0,0,'Données projet'!$E$16+1,1))-AVERAGE(OFFSET($H$3,0,0,'Données projet'!$E$16+1,1))</f>
        <v>603.52431522262032</v>
      </c>
      <c r="FK107" s="60">
        <f t="shared" si="102"/>
        <v>313.56299786481338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>
        <f>EXP(-LN(2)/35)*FQ106+(1-EXP(-LN(2)/35))/(LN(2)/35)*FM107*FN107*VLOOKUP('Données projet'!$B$16,Paramètres!$A$1:$I$89,3,0)*0.475*44/12</f>
        <v>0</v>
      </c>
      <c r="FR107" s="23">
        <f>EXP(-LN(2)/25)*FR106+(1-EXP(-LN(2)/25))/(LN(2)/25)*Calculateur!FM107*Calculateur!FO107*VLOOKUP('Données projet'!$B$16,Paramètres!$A$1:$I$89,3,0)*0.475*44/12</f>
        <v>0</v>
      </c>
      <c r="FS107" s="23">
        <f>EXP(-LN(2)/2)*FS106+(1-EXP(-LN(2)/2))/(LN(2)/2)*FM107*FP107*VLOOKUP('Données projet'!$B$16,Paramètres!$A$1:$I$89,3,0)*0.475*44/12</f>
        <v>0</v>
      </c>
      <c r="FT107" s="24">
        <f t="shared" si="78"/>
        <v>0</v>
      </c>
      <c r="FU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3.6538461538461489</v>
      </c>
      <c r="FZ107" s="13">
        <f>IF('Données projet'!$A$244&gt;35,FZ106+FY107-GH106,IF(A107&lt;'Données projet'!$A$244,$FW$205^A107,IF(A107='Données projet'!$A$244,'Données projet'!$B$244,FZ106+FY107-GH106)))</f>
        <v>344.74358974358984</v>
      </c>
      <c r="GA107" s="18">
        <f>FZ107*VLOOKUP('Données projet'!$B$17,Paramètres!$A$1:$I$89,3,0)*VLOOKUP('Données projet'!$B$17,Paramètres!$A$1:$I$89,5,0)</f>
        <v>231.25400000000008</v>
      </c>
      <c r="GB107" s="14">
        <f t="shared" si="103"/>
        <v>56.553739785222149</v>
      </c>
      <c r="GC107" s="22">
        <f t="shared" si="79"/>
        <v>501.26514679259532</v>
      </c>
      <c r="GD107" s="60">
        <f t="shared" si="80"/>
        <v>779.74611962365623</v>
      </c>
      <c r="GE107" s="60">
        <f ca="1">AVERAGE(OFFSET($GD$3,0,0,'Données projet'!$E$17+1,1))-AVERAGE(OFFSET($H$3,0,0,'Données projet'!$E$17+1,1))</f>
        <v>396.0878652679051</v>
      </c>
      <c r="GF107" s="60">
        <f t="shared" si="104"/>
        <v>327.26339199235406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>
        <f>EXP(-LN(2)/35)*GL106+(1-EXP(-LN(2)/35))/(LN(2)/35)*GH107*GI107*VLOOKUP('Données projet'!$B$17,Paramètres!$A$1:$I$89,3,0)*0.475*44/12</f>
        <v>0</v>
      </c>
      <c r="GM107" s="23">
        <f>EXP(-LN(2)/25)*GM106+(1-EXP(-LN(2)/25))/(LN(2)/25)*Calculateur!GH107*Calculateur!GJ107*VLOOKUP('Données projet'!$B$17,Paramètres!$A$1:$I$89,3,0)*0.475*44/12</f>
        <v>0</v>
      </c>
      <c r="GN107" s="23">
        <f>EXP(-LN(2)/2)*GN106+(1-EXP(-LN(2)/2))/(LN(2)/2)*GH107*GK107*VLOOKUP('Données projet'!$B$17,Paramètres!$A$1:$I$89,3,0)*0.475*44/12</f>
        <v>0</v>
      </c>
      <c r="GO107" s="23">
        <f t="shared" si="81"/>
        <v>0</v>
      </c>
      <c r="GP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-1.1368683772161603E-13</v>
      </c>
      <c r="GV107" s="18">
        <f>GU107*VLOOKUP('Données projet'!$B$18,Paramètres!$A$1:$I$89,3,0)*VLOOKUP('Données projet'!$B$18,Paramètres!$A$1:$I$89,5,0)</f>
        <v>-9.2222762759774927E-14</v>
      </c>
      <c r="GW107" s="14" t="e">
        <f t="shared" si="105"/>
        <v>#NUM!</v>
      </c>
      <c r="GX107" s="22" t="e">
        <f t="shared" si="82"/>
        <v>#NUM!</v>
      </c>
      <c r="GY107" s="60" t="e">
        <f t="shared" si="83"/>
        <v>#NUM!</v>
      </c>
      <c r="GZ107" s="60">
        <f ca="1">AVERAGE(OFFSET($GY$3,0,0,'Données projet'!$E$18+1,1))-AVERAGE(OFFSET($H$3,0,0,'Données projet'!$E$18+1,1))</f>
        <v>272.69564942740931</v>
      </c>
      <c r="HA107" s="60">
        <f t="shared" si="106"/>
        <v>316.57989180609252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>
        <f>EXP(-LN(2)/35)*HG106+(1-EXP(-LN(2)/35))/(LN(2)/35)*HC107*HD107*VLOOKUP('Données projet'!$B$18,Paramètres!$A$1:$I$89,3,0)*0.475*44/12</f>
        <v>0</v>
      </c>
      <c r="HH107" s="23">
        <f>EXP(-LN(2)/25)*HH106+(1-EXP(-LN(2)/25))/(LN(2)/25)*Calculateur!HC107*Calculateur!HE107*VLOOKUP('Données projet'!$B$18,Paramètres!$A$1:$I$89,3,0)*0.475*44/12</f>
        <v>0</v>
      </c>
      <c r="HI107" s="23">
        <f>EXP(-LN(2)/2)*HI106+(1-EXP(-LN(2)/2))/(LN(2)/2)*HC107*HF107*VLOOKUP('Données projet'!$B$18,Paramètres!$A$1:$I$89,3,0)*0.475*44/12</f>
        <v>0</v>
      </c>
      <c r="HJ107" s="24">
        <f t="shared" si="84"/>
        <v>0</v>
      </c>
    </row>
    <row r="108" spans="1:218" s="5" customFormat="1" x14ac:dyDescent="0.25">
      <c r="A108" s="11">
        <f t="shared" si="85"/>
        <v>105</v>
      </c>
      <c r="B108" s="75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8">
        <f t="shared" si="56"/>
        <v>183.33333333333334</v>
      </c>
      <c r="I108" s="7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5.2</v>
      </c>
      <c r="N108" s="14">
        <f>IF('Données projet'!$A$36&gt;35,N107+M108-V107,IF(A108&lt;'Données projet'!$A$36,$K$205^A108,IF(A108='Données projet'!$A$36,'Données projet'!$B$36,N107+M108-V107)))</f>
        <v>386.99999999999994</v>
      </c>
      <c r="O108" s="14">
        <f>N108*VLOOKUP('Données projet'!$B$9,Paramètres!$A$1:$I$89,3,0)*VLOOKUP('Données projet'!$B$9,Paramètres!$A$1:$I$89,5,0)</f>
        <v>350.15759999999995</v>
      </c>
      <c r="P108" s="14">
        <f t="shared" si="87"/>
        <v>81.59496186451068</v>
      </c>
      <c r="Q108" s="22">
        <f t="shared" si="107"/>
        <v>751.96904524735601</v>
      </c>
      <c r="R108" s="60">
        <f t="shared" si="55"/>
        <v>1030.7076733282279</v>
      </c>
      <c r="S108" s="60">
        <f ca="1">AVERAGE(OFFSET($R$3,0,0,'Données projet'!$E$9+1,1))-AVERAGE(OFFSET($H$3,0,0,'Données projet'!$E$9+1,1))</f>
        <v>570.08763950759544</v>
      </c>
      <c r="T108" s="60">
        <f t="shared" si="88"/>
        <v>297.32483725004136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-5.6843418860808015E-14</v>
      </c>
      <c r="AJ108" s="14">
        <f>AI108*VLOOKUP('Données projet'!$B$10,Paramètres!$A$1:$I$89,3,0)*VLOOKUP('Données projet'!$B$10,Paramètres!$A$1:$I$89,5,0)</f>
        <v>-4.5224624045658861E-14</v>
      </c>
      <c r="AK108" s="14" t="e">
        <f t="shared" si="89"/>
        <v>#NUM!</v>
      </c>
      <c r="AL108" s="22" t="e">
        <f t="shared" si="58"/>
        <v>#NUM!</v>
      </c>
      <c r="AM108" s="60" t="e">
        <f t="shared" si="59"/>
        <v>#NUM!</v>
      </c>
      <c r="AN108" s="60">
        <f ca="1">AVERAGE(OFFSET($AM$3,0,0,'Données projet'!$E$10+1,1))-AVERAGE(OFFSET($H$3,0,0,'Données projet'!$E$10+1,1))</f>
        <v>394.49874384716014</v>
      </c>
      <c r="AO108" s="60">
        <f t="shared" si="90"/>
        <v>423.72519584013378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3.4106051316484809E-13</v>
      </c>
      <c r="BE108" s="14">
        <f>BD108*VLOOKUP('Données projet'!$B$11,Paramètres!$A$1:$I$89,3,0)*VLOOKUP('Données projet'!$B$11,Paramètres!$A$1:$I$89,5,0)</f>
        <v>2.9795046430081134E-13</v>
      </c>
      <c r="BF108" s="14">
        <f t="shared" si="91"/>
        <v>3.9419014464513778E-12</v>
      </c>
      <c r="BG108" s="22">
        <f t="shared" si="61"/>
        <v>7.384408744560063E-12</v>
      </c>
      <c r="BH108" s="60">
        <f t="shared" si="62"/>
        <v>278.73862808087915</v>
      </c>
      <c r="BI108" s="60">
        <f ca="1">AVERAGE(OFFSET($BH$3,0,0,'Données projet'!$E$11+1,1))-AVERAGE(OFFSET($H$3,0,0,'Données projet'!$E$11+1,1))</f>
        <v>363.28611056308665</v>
      </c>
      <c r="BJ108" s="60">
        <f t="shared" si="92"/>
        <v>389.43647559455974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3.3974358974359005</v>
      </c>
      <c r="BY108" s="13">
        <f>IF('Données projet'!$A$114&gt;35,BY107+BX108-CG107,IF(A108&lt;'Données projet'!$A$114,$BV$205^A108,IF(A108='Données projet'!$A$114,'Données projet'!$B$114,BY107+BX108-CG107)))</f>
        <v>275.32051282051287</v>
      </c>
      <c r="BZ108" s="14">
        <f>BY108*VLOOKUP('Données projet'!$B$12,Paramètres!$A$1:$I$89,3,0)*VLOOKUP('Données projet'!$B$12,Paramètres!$A$1:$I$89,5,0)</f>
        <v>261.99500000000006</v>
      </c>
      <c r="CA108" s="14">
        <f t="shared" si="93"/>
        <v>63.147441969746581</v>
      </c>
      <c r="CB108" s="22">
        <f t="shared" si="64"/>
        <v>566.28975309730868</v>
      </c>
      <c r="CC108" s="60">
        <f t="shared" si="65"/>
        <v>845.02838117818044</v>
      </c>
      <c r="CD108" s="60">
        <f ca="1">AVERAGE(OFFSET($CC$3,0,0,'Données projet'!$E$12+1,1))-AVERAGE(OFFSET($H$3,0,0,'Données projet'!$E$12+1,1))</f>
        <v>441.15969139782891</v>
      </c>
      <c r="CE108" s="60">
        <f t="shared" si="94"/>
        <v>315.06466790224783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-5.6843418860808015E-14</v>
      </c>
      <c r="CU108" s="18">
        <f>CT108*VLOOKUP('Données projet'!$B$13,Paramètres!$A$1:$I$89,3,0)*VLOOKUP('Données projet'!$B$13,Paramètres!$A$1:$I$89,5,0)</f>
        <v>-4.1677594708744434E-14</v>
      </c>
      <c r="CV108" s="14" t="e">
        <f t="shared" si="95"/>
        <v>#NUM!</v>
      </c>
      <c r="CW108" s="22" t="e">
        <f t="shared" si="67"/>
        <v>#NUM!</v>
      </c>
      <c r="CX108" s="60" t="e">
        <f t="shared" si="68"/>
        <v>#NUM!</v>
      </c>
      <c r="CY108" s="60">
        <f ca="1">AVERAGE(OFFSET($CX$3,0,0,'Données projet'!$E$13+1,1))-AVERAGE(OFFSET($H$3,0,0,'Données projet'!$E$13+1,1))</f>
        <v>368.35775920359396</v>
      </c>
      <c r="CZ108" s="60">
        <f t="shared" si="96"/>
        <v>395.5218438652638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1.1368683772161603E-13</v>
      </c>
      <c r="DP108" s="18">
        <f>DO108*VLOOKUP('Données projet'!$B$14,Paramètres!$A$1:$I$89,3,0)*VLOOKUP('Données projet'!$B$14,Paramètres!$A$1:$I$89,5,0)</f>
        <v>8.8675733422860506E-14</v>
      </c>
      <c r="DQ108" s="14">
        <f t="shared" si="97"/>
        <v>1.3509285393066301E-12</v>
      </c>
      <c r="DR108" s="22">
        <f t="shared" si="70"/>
        <v>2.5073107750038623E-12</v>
      </c>
      <c r="DS108" s="60">
        <f t="shared" si="71"/>
        <v>278.73862808087426</v>
      </c>
      <c r="DT108" s="60">
        <f ca="1">AVERAGE(OFFSET($DS$3,0,0,'Données projet'!$E$14+1,1))-AVERAGE(OFFSET($H$3,0,0,'Données projet'!$E$14+1,1))</f>
        <v>312.59632808777332</v>
      </c>
      <c r="DU108" s="60">
        <f t="shared" si="98"/>
        <v>302.59481222418219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0</v>
      </c>
      <c r="EE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-1.1368683772161603E-13</v>
      </c>
      <c r="EK108" s="18">
        <f>EJ108*VLOOKUP('Données projet'!$B$15,Paramètres!$A$1:$I$89,3,0)*VLOOKUP('Données projet'!$B$15,Paramètres!$A$1:$I$89,5,0)</f>
        <v>-9.7543306765146564E-14</v>
      </c>
      <c r="EL108" s="14" t="e">
        <f t="shared" si="99"/>
        <v>#NUM!</v>
      </c>
      <c r="EM108" s="22" t="e">
        <f t="shared" si="73"/>
        <v>#NUM!</v>
      </c>
      <c r="EN108" s="60" t="e">
        <f t="shared" si="74"/>
        <v>#NUM!</v>
      </c>
      <c r="EO108" s="60">
        <f ca="1">AVERAGE(OFFSET($EN$3,0,0,'Données projet'!$E$15+1,1))-AVERAGE(OFFSET($H$3,0,0,'Données projet'!$E$15+1,1))</f>
        <v>478.11504516179713</v>
      </c>
      <c r="EP108" s="60">
        <f t="shared" si="100"/>
        <v>249.93713224442419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0</v>
      </c>
      <c r="EW108" s="23">
        <f>EXP(-LN(2)/25)*EW107+(1-EXP(-LN(2)/25))/(LN(2)/25)*Calculateur!ER108*Calculateur!ET108*VLOOKUP('Données projet'!$B$15,Paramètres!$A$1:$I$89,3,0)*0.475*44/12</f>
        <v>0</v>
      </c>
      <c r="EX108" s="23">
        <f>EXP(-LN(2)/2)*EX107+(1-EXP(-LN(2)/2))/(LN(2)/2)*ER108*EU108*VLOOKUP('Données projet'!$B$15,Paramètres!$A$1:$I$89,3,0)*0.475*44/12</f>
        <v>0</v>
      </c>
      <c r="EY108" s="24">
        <f t="shared" si="75"/>
        <v>0</v>
      </c>
      <c r="EZ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5.2</v>
      </c>
      <c r="FE108" s="13">
        <f>IF('Données projet'!$A$218&gt;35,FE107+FD108-FM107,IF(A108&lt;'Données projet'!$A$218,$FB$205^A108,IF(A108='Données projet'!$A$218,'Données projet'!$B$218,FE107+FD108-FM107)))</f>
        <v>386.99999999999994</v>
      </c>
      <c r="FF108" s="18">
        <f>FE108*VLOOKUP('Données projet'!$B$16,Paramètres!$A$1:$I$89,3,0)*VLOOKUP('Données projet'!$B$16,Paramètres!$A$1:$I$89,5,0)</f>
        <v>374.30639999999994</v>
      </c>
      <c r="FG108" s="14">
        <f t="shared" si="101"/>
        <v>86.547726802089201</v>
      </c>
      <c r="FH108" s="22">
        <f t="shared" si="76"/>
        <v>802.65427084697183</v>
      </c>
      <c r="FI108" s="60">
        <f t="shared" si="77"/>
        <v>1081.3928989278436</v>
      </c>
      <c r="FJ108" s="60">
        <f ca="1">AVERAGE(OFFSET($FI$3,0,0,'Données projet'!$E$16+1,1))-AVERAGE(OFFSET($H$3,0,0,'Données projet'!$E$16+1,1))</f>
        <v>603.52431522262032</v>
      </c>
      <c r="FK108" s="60">
        <f t="shared" si="102"/>
        <v>313.56299786481338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>
        <f>EXP(-LN(2)/35)*FQ107+(1-EXP(-LN(2)/35))/(LN(2)/35)*FM108*FN108*VLOOKUP('Données projet'!$B$16,Paramètres!$A$1:$I$89,3,0)*0.475*44/12</f>
        <v>0</v>
      </c>
      <c r="FR108" s="23">
        <f>EXP(-LN(2)/25)*FR107+(1-EXP(-LN(2)/25))/(LN(2)/25)*Calculateur!FM108*Calculateur!FO108*VLOOKUP('Données projet'!$B$16,Paramètres!$A$1:$I$89,3,0)*0.475*44/12</f>
        <v>0</v>
      </c>
      <c r="FS108" s="23">
        <f>EXP(-LN(2)/2)*FS107+(1-EXP(-LN(2)/2))/(LN(2)/2)*FM108*FP108*VLOOKUP('Données projet'!$B$16,Paramètres!$A$1:$I$89,3,0)*0.475*44/12</f>
        <v>0</v>
      </c>
      <c r="FT108" s="24">
        <f t="shared" si="78"/>
        <v>0</v>
      </c>
      <c r="FU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3.6538461538461489</v>
      </c>
      <c r="FZ108" s="13">
        <f>IF('Données projet'!$A$244&gt;35,FZ107+FY108-GH107,IF(A108&lt;'Données projet'!$A$244,$FW$205^A108,IF(A108='Données projet'!$A$244,'Données projet'!$B$244,FZ107+FY108-GH107)))</f>
        <v>348.39743589743597</v>
      </c>
      <c r="GA108" s="18">
        <f>FZ108*VLOOKUP('Données projet'!$B$17,Paramètres!$A$1:$I$89,3,0)*VLOOKUP('Données projet'!$B$17,Paramètres!$A$1:$I$89,5,0)</f>
        <v>233.70500000000004</v>
      </c>
      <c r="GB108" s="14">
        <f t="shared" si="103"/>
        <v>57.0830425590554</v>
      </c>
      <c r="GC108" s="22">
        <f t="shared" si="79"/>
        <v>506.4558407903549</v>
      </c>
      <c r="GD108" s="60">
        <f t="shared" si="80"/>
        <v>785.19446887122672</v>
      </c>
      <c r="GE108" s="60">
        <f ca="1">AVERAGE(OFFSET($GD$3,0,0,'Données projet'!$E$17+1,1))-AVERAGE(OFFSET($H$3,0,0,'Données projet'!$E$17+1,1))</f>
        <v>396.0878652679051</v>
      </c>
      <c r="GF108" s="60">
        <f t="shared" si="104"/>
        <v>327.26339199235406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>
        <f>EXP(-LN(2)/35)*GL107+(1-EXP(-LN(2)/35))/(LN(2)/35)*GH108*GI108*VLOOKUP('Données projet'!$B$17,Paramètres!$A$1:$I$89,3,0)*0.475*44/12</f>
        <v>0</v>
      </c>
      <c r="GM108" s="23">
        <f>EXP(-LN(2)/25)*GM107+(1-EXP(-LN(2)/25))/(LN(2)/25)*Calculateur!GH108*Calculateur!GJ108*VLOOKUP('Données projet'!$B$17,Paramètres!$A$1:$I$89,3,0)*0.475*44/12</f>
        <v>0</v>
      </c>
      <c r="GN108" s="23">
        <f>EXP(-LN(2)/2)*GN107+(1-EXP(-LN(2)/2))/(LN(2)/2)*GH108*GK108*VLOOKUP('Données projet'!$B$17,Paramètres!$A$1:$I$89,3,0)*0.475*44/12</f>
        <v>0</v>
      </c>
      <c r="GO108" s="23">
        <f t="shared" si="81"/>
        <v>0</v>
      </c>
      <c r="GP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-1.1368683772161603E-13</v>
      </c>
      <c r="GV108" s="18">
        <f>GU108*VLOOKUP('Données projet'!$B$18,Paramètres!$A$1:$I$89,3,0)*VLOOKUP('Données projet'!$B$18,Paramètres!$A$1:$I$89,5,0)</f>
        <v>-9.2222762759774927E-14</v>
      </c>
      <c r="GW108" s="14" t="e">
        <f t="shared" si="105"/>
        <v>#NUM!</v>
      </c>
      <c r="GX108" s="22" t="e">
        <f t="shared" si="82"/>
        <v>#NUM!</v>
      </c>
      <c r="GY108" s="60" t="e">
        <f t="shared" si="83"/>
        <v>#NUM!</v>
      </c>
      <c r="GZ108" s="60">
        <f ca="1">AVERAGE(OFFSET($GY$3,0,0,'Données projet'!$E$18+1,1))-AVERAGE(OFFSET($H$3,0,0,'Données projet'!$E$18+1,1))</f>
        <v>272.69564942740931</v>
      </c>
      <c r="HA108" s="60">
        <f t="shared" si="106"/>
        <v>316.57989180609252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>
        <f>EXP(-LN(2)/35)*HG107+(1-EXP(-LN(2)/35))/(LN(2)/35)*HC108*HD108*VLOOKUP('Données projet'!$B$18,Paramètres!$A$1:$I$89,3,0)*0.475*44/12</f>
        <v>0</v>
      </c>
      <c r="HH108" s="23">
        <f>EXP(-LN(2)/25)*HH107+(1-EXP(-LN(2)/25))/(LN(2)/25)*Calculateur!HC108*Calculateur!HE108*VLOOKUP('Données projet'!$B$18,Paramètres!$A$1:$I$89,3,0)*0.475*44/12</f>
        <v>0</v>
      </c>
      <c r="HI108" s="23">
        <f>EXP(-LN(2)/2)*HI107+(1-EXP(-LN(2)/2))/(LN(2)/2)*HC108*HF108*VLOOKUP('Données projet'!$B$18,Paramètres!$A$1:$I$89,3,0)*0.475*44/12</f>
        <v>0</v>
      </c>
      <c r="HJ108" s="24">
        <f t="shared" si="84"/>
        <v>0</v>
      </c>
    </row>
    <row r="109" spans="1:218" s="5" customFormat="1" x14ac:dyDescent="0.25">
      <c r="A109" s="11">
        <f t="shared" si="85"/>
        <v>106</v>
      </c>
      <c r="B109" s="75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8">
        <f t="shared" si="56"/>
        <v>183.33333333333334</v>
      </c>
      <c r="I109" s="7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5.2</v>
      </c>
      <c r="N109" s="14">
        <f>IF('Données projet'!$A$36&gt;35,N108+M109-V108,IF(A109&lt;'Données projet'!$A$36,$K$205^A109,IF(A109='Données projet'!$A$36,'Données projet'!$B$36,N108+M109-V108)))</f>
        <v>392.19999999999993</v>
      </c>
      <c r="O109" s="14">
        <f>N109*VLOOKUP('Données projet'!$B$9,Paramètres!$A$1:$I$89,3,0)*VLOOKUP('Données projet'!$B$9,Paramètres!$A$1:$I$89,5,0)</f>
        <v>354.86255999999992</v>
      </c>
      <c r="P109" s="14">
        <f t="shared" si="87"/>
        <v>82.56295741106787</v>
      </c>
      <c r="Q109" s="22">
        <f t="shared" si="107"/>
        <v>761.84944282427648</v>
      </c>
      <c r="R109" s="60">
        <f t="shared" si="55"/>
        <v>1040.8412564124055</v>
      </c>
      <c r="S109" s="60">
        <f ca="1">AVERAGE(OFFSET($R$3,0,0,'Données projet'!$E$9+1,1))-AVERAGE(OFFSET($H$3,0,0,'Données projet'!$E$9+1,1))</f>
        <v>570.08763950759544</v>
      </c>
      <c r="T109" s="60">
        <f t="shared" si="88"/>
        <v>297.32483725004136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-5.6843418860808015E-14</v>
      </c>
      <c r="AJ109" s="14">
        <f>AI109*VLOOKUP('Données projet'!$B$10,Paramètres!$A$1:$I$89,3,0)*VLOOKUP('Données projet'!$B$10,Paramètres!$A$1:$I$89,5,0)</f>
        <v>-4.5224624045658861E-14</v>
      </c>
      <c r="AK109" s="14" t="e">
        <f t="shared" si="89"/>
        <v>#NUM!</v>
      </c>
      <c r="AL109" s="22" t="e">
        <f t="shared" si="58"/>
        <v>#NUM!</v>
      </c>
      <c r="AM109" s="60" t="e">
        <f t="shared" si="59"/>
        <v>#NUM!</v>
      </c>
      <c r="AN109" s="60">
        <f ca="1">AVERAGE(OFFSET($AM$3,0,0,'Données projet'!$E$10+1,1))-AVERAGE(OFFSET($H$3,0,0,'Données projet'!$E$10+1,1))</f>
        <v>394.49874384716014</v>
      </c>
      <c r="AO109" s="60">
        <f t="shared" si="90"/>
        <v>423.72519584013378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3.4106051316484809E-13</v>
      </c>
      <c r="BE109" s="14">
        <f>BD109*VLOOKUP('Données projet'!$B$11,Paramètres!$A$1:$I$89,3,0)*VLOOKUP('Données projet'!$B$11,Paramètres!$A$1:$I$89,5,0)</f>
        <v>2.9795046430081134E-13</v>
      </c>
      <c r="BF109" s="14">
        <f t="shared" si="91"/>
        <v>3.9419014464513778E-12</v>
      </c>
      <c r="BG109" s="22">
        <f t="shared" si="61"/>
        <v>7.384408744560063E-12</v>
      </c>
      <c r="BH109" s="60">
        <f t="shared" si="62"/>
        <v>278.99181358813649</v>
      </c>
      <c r="BI109" s="60">
        <f ca="1">AVERAGE(OFFSET($BH$3,0,0,'Données projet'!$E$11+1,1))-AVERAGE(OFFSET($H$3,0,0,'Données projet'!$E$11+1,1))</f>
        <v>363.28611056308665</v>
      </c>
      <c r="BJ109" s="60">
        <f t="shared" si="92"/>
        <v>389.43647559455974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3.3974358974359005</v>
      </c>
      <c r="BY109" s="13">
        <f>IF('Données projet'!$A$114&gt;35,BY108+BX109-CG108,IF(A109&lt;'Données projet'!$A$114,$BV$205^A109,IF(A109='Données projet'!$A$114,'Données projet'!$B$114,BY108+BX109-CG108)))</f>
        <v>278.71794871794879</v>
      </c>
      <c r="BZ109" s="14">
        <f>BY109*VLOOKUP('Données projet'!$B$12,Paramètres!$A$1:$I$89,3,0)*VLOOKUP('Données projet'!$B$12,Paramètres!$A$1:$I$89,5,0)</f>
        <v>265.22800000000007</v>
      </c>
      <c r="CA109" s="14">
        <f t="shared" si="93"/>
        <v>63.835481799573074</v>
      </c>
      <c r="CB109" s="22">
        <f t="shared" si="64"/>
        <v>573.11889746758982</v>
      </c>
      <c r="CC109" s="60">
        <f t="shared" si="65"/>
        <v>852.11071105571887</v>
      </c>
      <c r="CD109" s="60">
        <f ca="1">AVERAGE(OFFSET($CC$3,0,0,'Données projet'!$E$12+1,1))-AVERAGE(OFFSET($H$3,0,0,'Données projet'!$E$12+1,1))</f>
        <v>441.15969139782891</v>
      </c>
      <c r="CE109" s="60">
        <f t="shared" si="94"/>
        <v>315.06466790224783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-5.6843418860808015E-14</v>
      </c>
      <c r="CU109" s="18">
        <f>CT109*VLOOKUP('Données projet'!$B$13,Paramètres!$A$1:$I$89,3,0)*VLOOKUP('Données projet'!$B$13,Paramètres!$A$1:$I$89,5,0)</f>
        <v>-4.1677594708744434E-14</v>
      </c>
      <c r="CV109" s="14" t="e">
        <f t="shared" si="95"/>
        <v>#NUM!</v>
      </c>
      <c r="CW109" s="22" t="e">
        <f t="shared" si="67"/>
        <v>#NUM!</v>
      </c>
      <c r="CX109" s="60" t="e">
        <f t="shared" si="68"/>
        <v>#NUM!</v>
      </c>
      <c r="CY109" s="60">
        <f ca="1">AVERAGE(OFFSET($CX$3,0,0,'Données projet'!$E$13+1,1))-AVERAGE(OFFSET($H$3,0,0,'Données projet'!$E$13+1,1))</f>
        <v>368.35775920359396</v>
      </c>
      <c r="CZ109" s="60">
        <f t="shared" si="96"/>
        <v>395.5218438652638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1.1368683772161603E-13</v>
      </c>
      <c r="DP109" s="18">
        <f>DO109*VLOOKUP('Données projet'!$B$14,Paramètres!$A$1:$I$89,3,0)*VLOOKUP('Données projet'!$B$14,Paramètres!$A$1:$I$89,5,0)</f>
        <v>8.8675733422860506E-14</v>
      </c>
      <c r="DQ109" s="14">
        <f t="shared" si="97"/>
        <v>1.3509285393066301E-12</v>
      </c>
      <c r="DR109" s="22">
        <f t="shared" si="70"/>
        <v>2.5073107750038623E-12</v>
      </c>
      <c r="DS109" s="60">
        <f t="shared" si="71"/>
        <v>278.99181358813161</v>
      </c>
      <c r="DT109" s="60">
        <f ca="1">AVERAGE(OFFSET($DS$3,0,0,'Données projet'!$E$14+1,1))-AVERAGE(OFFSET($H$3,0,0,'Données projet'!$E$14+1,1))</f>
        <v>312.59632808777332</v>
      </c>
      <c r="DU109" s="60">
        <f t="shared" si="98"/>
        <v>302.59481222418219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0</v>
      </c>
      <c r="EE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-1.1368683772161603E-13</v>
      </c>
      <c r="EK109" s="18">
        <f>EJ109*VLOOKUP('Données projet'!$B$15,Paramètres!$A$1:$I$89,3,0)*VLOOKUP('Données projet'!$B$15,Paramètres!$A$1:$I$89,5,0)</f>
        <v>-9.7543306765146564E-14</v>
      </c>
      <c r="EL109" s="14" t="e">
        <f t="shared" si="99"/>
        <v>#NUM!</v>
      </c>
      <c r="EM109" s="22" t="e">
        <f t="shared" si="73"/>
        <v>#NUM!</v>
      </c>
      <c r="EN109" s="60" t="e">
        <f t="shared" si="74"/>
        <v>#NUM!</v>
      </c>
      <c r="EO109" s="60">
        <f ca="1">AVERAGE(OFFSET($EN$3,0,0,'Données projet'!$E$15+1,1))-AVERAGE(OFFSET($H$3,0,0,'Données projet'!$E$15+1,1))</f>
        <v>478.11504516179713</v>
      </c>
      <c r="EP109" s="60">
        <f t="shared" si="100"/>
        <v>249.93713224442419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0</v>
      </c>
      <c r="EW109" s="23">
        <f>EXP(-LN(2)/25)*EW108+(1-EXP(-LN(2)/25))/(LN(2)/25)*Calculateur!ER109*Calculateur!ET109*VLOOKUP('Données projet'!$B$15,Paramètres!$A$1:$I$89,3,0)*0.475*44/12</f>
        <v>0</v>
      </c>
      <c r="EX109" s="23">
        <f>EXP(-LN(2)/2)*EX108+(1-EXP(-LN(2)/2))/(LN(2)/2)*ER109*EU109*VLOOKUP('Données projet'!$B$15,Paramètres!$A$1:$I$89,3,0)*0.475*44/12</f>
        <v>0</v>
      </c>
      <c r="EY109" s="24">
        <f t="shared" si="75"/>
        <v>0</v>
      </c>
      <c r="EZ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5.2</v>
      </c>
      <c r="FE109" s="13">
        <f>IF('Données projet'!$A$218&gt;35,FE108+FD109-FM108,IF(A109&lt;'Données projet'!$A$218,$FB$205^A109,IF(A109='Données projet'!$A$218,'Données projet'!$B$218,FE108+FD109-FM108)))</f>
        <v>392.19999999999993</v>
      </c>
      <c r="FF109" s="18">
        <f>FE109*VLOOKUP('Données projet'!$B$16,Paramètres!$A$1:$I$89,3,0)*VLOOKUP('Données projet'!$B$16,Paramètres!$A$1:$I$89,5,0)</f>
        <v>379.33583999999996</v>
      </c>
      <c r="FG109" s="14">
        <f t="shared" si="101"/>
        <v>87.574479094077503</v>
      </c>
      <c r="FH109" s="22">
        <f t="shared" si="76"/>
        <v>813.2021390888516</v>
      </c>
      <c r="FI109" s="60">
        <f t="shared" si="77"/>
        <v>1092.1939526769806</v>
      </c>
      <c r="FJ109" s="60">
        <f ca="1">AVERAGE(OFFSET($FI$3,0,0,'Données projet'!$E$16+1,1))-AVERAGE(OFFSET($H$3,0,0,'Données projet'!$E$16+1,1))</f>
        <v>603.52431522262032</v>
      </c>
      <c r="FK109" s="60">
        <f t="shared" si="102"/>
        <v>313.56299786481338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>
        <f>EXP(-LN(2)/35)*FQ108+(1-EXP(-LN(2)/35))/(LN(2)/35)*FM109*FN109*VLOOKUP('Données projet'!$B$16,Paramètres!$A$1:$I$89,3,0)*0.475*44/12</f>
        <v>0</v>
      </c>
      <c r="FR109" s="23">
        <f>EXP(-LN(2)/25)*FR108+(1-EXP(-LN(2)/25))/(LN(2)/25)*Calculateur!FM109*Calculateur!FO109*VLOOKUP('Données projet'!$B$16,Paramètres!$A$1:$I$89,3,0)*0.475*44/12</f>
        <v>0</v>
      </c>
      <c r="FS109" s="23">
        <f>EXP(-LN(2)/2)*FS108+(1-EXP(-LN(2)/2))/(LN(2)/2)*FM109*FP109*VLOOKUP('Données projet'!$B$16,Paramètres!$A$1:$I$89,3,0)*0.475*44/12</f>
        <v>0</v>
      </c>
      <c r="FT109" s="24">
        <f t="shared" si="78"/>
        <v>0</v>
      </c>
      <c r="FU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3.6538461538461489</v>
      </c>
      <c r="FZ109" s="13">
        <f>IF('Données projet'!$A$244&gt;35,FZ108+FY109-GH108,IF(A109&lt;'Données projet'!$A$244,$FW$205^A109,IF(A109='Données projet'!$A$244,'Données projet'!$B$244,FZ108+FY109-GH108)))</f>
        <v>352.0512820512821</v>
      </c>
      <c r="GA109" s="18">
        <f>FZ109*VLOOKUP('Données projet'!$B$17,Paramètres!$A$1:$I$89,3,0)*VLOOKUP('Données projet'!$B$17,Paramètres!$A$1:$I$89,5,0)</f>
        <v>236.15600000000003</v>
      </c>
      <c r="GB109" s="14">
        <f t="shared" si="103"/>
        <v>57.611699565928937</v>
      </c>
      <c r="GC109" s="22">
        <f t="shared" si="79"/>
        <v>511.64541007732623</v>
      </c>
      <c r="GD109" s="60">
        <f t="shared" si="80"/>
        <v>790.63722366545539</v>
      </c>
      <c r="GE109" s="60">
        <f ca="1">AVERAGE(OFFSET($GD$3,0,0,'Données projet'!$E$17+1,1))-AVERAGE(OFFSET($H$3,0,0,'Données projet'!$E$17+1,1))</f>
        <v>396.0878652679051</v>
      </c>
      <c r="GF109" s="60">
        <f t="shared" si="104"/>
        <v>327.26339199235406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>
        <f>EXP(-LN(2)/35)*GL108+(1-EXP(-LN(2)/35))/(LN(2)/35)*GH109*GI109*VLOOKUP('Données projet'!$B$17,Paramètres!$A$1:$I$89,3,0)*0.475*44/12</f>
        <v>0</v>
      </c>
      <c r="GM109" s="23">
        <f>EXP(-LN(2)/25)*GM108+(1-EXP(-LN(2)/25))/(LN(2)/25)*Calculateur!GH109*Calculateur!GJ109*VLOOKUP('Données projet'!$B$17,Paramètres!$A$1:$I$89,3,0)*0.475*44/12</f>
        <v>0</v>
      </c>
      <c r="GN109" s="23">
        <f>EXP(-LN(2)/2)*GN108+(1-EXP(-LN(2)/2))/(LN(2)/2)*GH109*GK109*VLOOKUP('Données projet'!$B$17,Paramètres!$A$1:$I$89,3,0)*0.475*44/12</f>
        <v>0</v>
      </c>
      <c r="GO109" s="23">
        <f t="shared" si="81"/>
        <v>0</v>
      </c>
      <c r="GP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-1.1368683772161603E-13</v>
      </c>
      <c r="GV109" s="18">
        <f>GU109*VLOOKUP('Données projet'!$B$18,Paramètres!$A$1:$I$89,3,0)*VLOOKUP('Données projet'!$B$18,Paramètres!$A$1:$I$89,5,0)</f>
        <v>-9.2222762759774927E-14</v>
      </c>
      <c r="GW109" s="14" t="e">
        <f t="shared" si="105"/>
        <v>#NUM!</v>
      </c>
      <c r="GX109" s="22" t="e">
        <f t="shared" si="82"/>
        <v>#NUM!</v>
      </c>
      <c r="GY109" s="60" t="e">
        <f t="shared" si="83"/>
        <v>#NUM!</v>
      </c>
      <c r="GZ109" s="60">
        <f ca="1">AVERAGE(OFFSET($GY$3,0,0,'Données projet'!$E$18+1,1))-AVERAGE(OFFSET($H$3,0,0,'Données projet'!$E$18+1,1))</f>
        <v>272.69564942740931</v>
      </c>
      <c r="HA109" s="60">
        <f t="shared" si="106"/>
        <v>316.57989180609252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>
        <f>EXP(-LN(2)/35)*HG108+(1-EXP(-LN(2)/35))/(LN(2)/35)*HC109*HD109*VLOOKUP('Données projet'!$B$18,Paramètres!$A$1:$I$89,3,0)*0.475*44/12</f>
        <v>0</v>
      </c>
      <c r="HH109" s="23">
        <f>EXP(-LN(2)/25)*HH108+(1-EXP(-LN(2)/25))/(LN(2)/25)*Calculateur!HC109*Calculateur!HE109*VLOOKUP('Données projet'!$B$18,Paramètres!$A$1:$I$89,3,0)*0.475*44/12</f>
        <v>0</v>
      </c>
      <c r="HI109" s="23">
        <f>EXP(-LN(2)/2)*HI108+(1-EXP(-LN(2)/2))/(LN(2)/2)*HC109*HF109*VLOOKUP('Données projet'!$B$18,Paramètres!$A$1:$I$89,3,0)*0.475*44/12</f>
        <v>0</v>
      </c>
      <c r="HJ109" s="24">
        <f t="shared" si="84"/>
        <v>0</v>
      </c>
    </row>
    <row r="110" spans="1:218" s="5" customFormat="1" x14ac:dyDescent="0.25">
      <c r="A110" s="11">
        <f t="shared" si="85"/>
        <v>107</v>
      </c>
      <c r="B110" s="75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8">
        <f t="shared" si="56"/>
        <v>183.33333333333334</v>
      </c>
      <c r="I110" s="7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5.2</v>
      </c>
      <c r="N110" s="14">
        <f>IF('Données projet'!$A$36&gt;35,N109+M110-V109,IF(A110&lt;'Données projet'!$A$36,$K$205^A110,IF(A110='Données projet'!$A$36,'Données projet'!$B$36,N109+M110-V109)))</f>
        <v>397.39999999999992</v>
      </c>
      <c r="O110" s="14">
        <f>N110*VLOOKUP('Données projet'!$B$9,Paramètres!$A$1:$I$89,3,0)*VLOOKUP('Données projet'!$B$9,Paramètres!$A$1:$I$89,5,0)</f>
        <v>359.56751999999989</v>
      </c>
      <c r="P110" s="14">
        <f t="shared" si="87"/>
        <v>83.529460161600639</v>
      </c>
      <c r="Q110" s="22">
        <f t="shared" si="107"/>
        <v>771.72724044812094</v>
      </c>
      <c r="R110" s="60">
        <f t="shared" si="55"/>
        <v>1050.9678473409945</v>
      </c>
      <c r="S110" s="60">
        <f ca="1">AVERAGE(OFFSET($R$3,0,0,'Données projet'!$E$9+1,1))-AVERAGE(OFFSET($H$3,0,0,'Données projet'!$E$9+1,1))</f>
        <v>570.08763950759544</v>
      </c>
      <c r="T110" s="60">
        <f t="shared" si="88"/>
        <v>297.32483725004136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-5.6843418860808015E-14</v>
      </c>
      <c r="AJ110" s="14">
        <f>AI110*VLOOKUP('Données projet'!$B$10,Paramètres!$A$1:$I$89,3,0)*VLOOKUP('Données projet'!$B$10,Paramètres!$A$1:$I$89,5,0)</f>
        <v>-4.5224624045658861E-14</v>
      </c>
      <c r="AK110" s="14" t="e">
        <f t="shared" si="89"/>
        <v>#NUM!</v>
      </c>
      <c r="AL110" s="22" t="e">
        <f t="shared" si="58"/>
        <v>#NUM!</v>
      </c>
      <c r="AM110" s="60" t="e">
        <f t="shared" si="59"/>
        <v>#NUM!</v>
      </c>
      <c r="AN110" s="60">
        <f ca="1">AVERAGE(OFFSET($AM$3,0,0,'Données projet'!$E$10+1,1))-AVERAGE(OFFSET($H$3,0,0,'Données projet'!$E$10+1,1))</f>
        <v>394.49874384716014</v>
      </c>
      <c r="AO110" s="60">
        <f t="shared" si="90"/>
        <v>423.72519584013378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3.4106051316484809E-13</v>
      </c>
      <c r="BE110" s="14">
        <f>BD110*VLOOKUP('Données projet'!$B$11,Paramètres!$A$1:$I$89,3,0)*VLOOKUP('Données projet'!$B$11,Paramètres!$A$1:$I$89,5,0)</f>
        <v>2.9795046430081134E-13</v>
      </c>
      <c r="BF110" s="14">
        <f t="shared" si="91"/>
        <v>3.9419014464513778E-12</v>
      </c>
      <c r="BG110" s="22">
        <f t="shared" si="61"/>
        <v>7.384408744560063E-12</v>
      </c>
      <c r="BH110" s="60">
        <f t="shared" si="62"/>
        <v>279.24060689288103</v>
      </c>
      <c r="BI110" s="60">
        <f ca="1">AVERAGE(OFFSET($BH$3,0,0,'Données projet'!$E$11+1,1))-AVERAGE(OFFSET($H$3,0,0,'Données projet'!$E$11+1,1))</f>
        <v>363.28611056308665</v>
      </c>
      <c r="BJ110" s="60">
        <f t="shared" si="92"/>
        <v>389.43647559455974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3.3974358974359005</v>
      </c>
      <c r="BY110" s="13">
        <f>IF('Données projet'!$A$114&gt;35,BY109+BX110-CG109,IF(A110&lt;'Données projet'!$A$114,$BV$205^A110,IF(A110='Données projet'!$A$114,'Données projet'!$B$114,BY109+BX110-CG109)))</f>
        <v>282.1153846153847</v>
      </c>
      <c r="BZ110" s="14">
        <f>BY110*VLOOKUP('Données projet'!$B$12,Paramètres!$A$1:$I$89,3,0)*VLOOKUP('Données projet'!$B$12,Paramètres!$A$1:$I$89,5,0)</f>
        <v>268.46100000000007</v>
      </c>
      <c r="CA110" s="14">
        <f t="shared" si="93"/>
        <v>64.522546064418151</v>
      </c>
      <c r="CB110" s="22">
        <f t="shared" si="64"/>
        <v>579.94634272886162</v>
      </c>
      <c r="CC110" s="60">
        <f t="shared" si="65"/>
        <v>859.18694962173527</v>
      </c>
      <c r="CD110" s="60">
        <f ca="1">AVERAGE(OFFSET($CC$3,0,0,'Données projet'!$E$12+1,1))-AVERAGE(OFFSET($H$3,0,0,'Données projet'!$E$12+1,1))</f>
        <v>441.15969139782891</v>
      </c>
      <c r="CE110" s="60">
        <f t="shared" si="94"/>
        <v>315.06466790224783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-5.6843418860808015E-14</v>
      </c>
      <c r="CU110" s="18">
        <f>CT110*VLOOKUP('Données projet'!$B$13,Paramètres!$A$1:$I$89,3,0)*VLOOKUP('Données projet'!$B$13,Paramètres!$A$1:$I$89,5,0)</f>
        <v>-4.1677594708744434E-14</v>
      </c>
      <c r="CV110" s="14" t="e">
        <f t="shared" si="95"/>
        <v>#NUM!</v>
      </c>
      <c r="CW110" s="22" t="e">
        <f t="shared" si="67"/>
        <v>#NUM!</v>
      </c>
      <c r="CX110" s="60" t="e">
        <f t="shared" si="68"/>
        <v>#NUM!</v>
      </c>
      <c r="CY110" s="60">
        <f ca="1">AVERAGE(OFFSET($CX$3,0,0,'Données projet'!$E$13+1,1))-AVERAGE(OFFSET($H$3,0,0,'Données projet'!$E$13+1,1))</f>
        <v>368.35775920359396</v>
      </c>
      <c r="CZ110" s="60">
        <f t="shared" si="96"/>
        <v>395.5218438652638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1.1368683772161603E-13</v>
      </c>
      <c r="DP110" s="18">
        <f>DO110*VLOOKUP('Données projet'!$B$14,Paramètres!$A$1:$I$89,3,0)*VLOOKUP('Données projet'!$B$14,Paramètres!$A$1:$I$89,5,0)</f>
        <v>8.8675733422860506E-14</v>
      </c>
      <c r="DQ110" s="14">
        <f t="shared" si="97"/>
        <v>1.3509285393066301E-12</v>
      </c>
      <c r="DR110" s="22">
        <f t="shared" si="70"/>
        <v>2.5073107750038623E-12</v>
      </c>
      <c r="DS110" s="60">
        <f t="shared" si="71"/>
        <v>279.24060689287614</v>
      </c>
      <c r="DT110" s="60">
        <f ca="1">AVERAGE(OFFSET($DS$3,0,0,'Données projet'!$E$14+1,1))-AVERAGE(OFFSET($H$3,0,0,'Données projet'!$E$14+1,1))</f>
        <v>312.59632808777332</v>
      </c>
      <c r="DU110" s="60">
        <f t="shared" si="98"/>
        <v>302.59481222418219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0</v>
      </c>
      <c r="EE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-1.1368683772161603E-13</v>
      </c>
      <c r="EK110" s="18">
        <f>EJ110*VLOOKUP('Données projet'!$B$15,Paramètres!$A$1:$I$89,3,0)*VLOOKUP('Données projet'!$B$15,Paramètres!$A$1:$I$89,5,0)</f>
        <v>-9.7543306765146564E-14</v>
      </c>
      <c r="EL110" s="14" t="e">
        <f t="shared" si="99"/>
        <v>#NUM!</v>
      </c>
      <c r="EM110" s="22" t="e">
        <f t="shared" si="73"/>
        <v>#NUM!</v>
      </c>
      <c r="EN110" s="60" t="e">
        <f t="shared" si="74"/>
        <v>#NUM!</v>
      </c>
      <c r="EO110" s="60">
        <f ca="1">AVERAGE(OFFSET($EN$3,0,0,'Données projet'!$E$15+1,1))-AVERAGE(OFFSET($H$3,0,0,'Données projet'!$E$15+1,1))</f>
        <v>478.11504516179713</v>
      </c>
      <c r="EP110" s="60">
        <f t="shared" si="100"/>
        <v>249.93713224442419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0</v>
      </c>
      <c r="EW110" s="23">
        <f>EXP(-LN(2)/25)*EW109+(1-EXP(-LN(2)/25))/(LN(2)/25)*Calculateur!ER110*Calculateur!ET110*VLOOKUP('Données projet'!$B$15,Paramètres!$A$1:$I$89,3,0)*0.475*44/12</f>
        <v>0</v>
      </c>
      <c r="EX110" s="23">
        <f>EXP(-LN(2)/2)*EX109+(1-EXP(-LN(2)/2))/(LN(2)/2)*ER110*EU110*VLOOKUP('Données projet'!$B$15,Paramètres!$A$1:$I$89,3,0)*0.475*44/12</f>
        <v>0</v>
      </c>
      <c r="EY110" s="24">
        <f t="shared" si="75"/>
        <v>0</v>
      </c>
      <c r="EZ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5.2</v>
      </c>
      <c r="FE110" s="13">
        <f>IF('Données projet'!$A$218&gt;35,FE109+FD110-FM109,IF(A110&lt;'Données projet'!$A$218,$FB$205^A110,IF(A110='Données projet'!$A$218,'Données projet'!$B$218,FE109+FD110-FM109)))</f>
        <v>397.39999999999992</v>
      </c>
      <c r="FF110" s="18">
        <f>FE110*VLOOKUP('Données projet'!$B$16,Paramètres!$A$1:$I$89,3,0)*VLOOKUP('Données projet'!$B$16,Paramètres!$A$1:$I$89,5,0)</f>
        <v>384.36527999999993</v>
      </c>
      <c r="FG110" s="14">
        <f t="shared" si="101"/>
        <v>88.599647978223373</v>
      </c>
      <c r="FH110" s="22">
        <f t="shared" si="76"/>
        <v>823.74724956207217</v>
      </c>
      <c r="FI110" s="60">
        <f t="shared" si="77"/>
        <v>1102.9878564549458</v>
      </c>
      <c r="FJ110" s="60">
        <f ca="1">AVERAGE(OFFSET($FI$3,0,0,'Données projet'!$E$16+1,1))-AVERAGE(OFFSET($H$3,0,0,'Données projet'!$E$16+1,1))</f>
        <v>603.52431522262032</v>
      </c>
      <c r="FK110" s="60">
        <f t="shared" si="102"/>
        <v>313.56299786481338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>
        <f>EXP(-LN(2)/35)*FQ109+(1-EXP(-LN(2)/35))/(LN(2)/35)*FM110*FN110*VLOOKUP('Données projet'!$B$16,Paramètres!$A$1:$I$89,3,0)*0.475*44/12</f>
        <v>0</v>
      </c>
      <c r="FR110" s="23">
        <f>EXP(-LN(2)/25)*FR109+(1-EXP(-LN(2)/25))/(LN(2)/25)*Calculateur!FM110*Calculateur!FO110*VLOOKUP('Données projet'!$B$16,Paramètres!$A$1:$I$89,3,0)*0.475*44/12</f>
        <v>0</v>
      </c>
      <c r="FS110" s="23">
        <f>EXP(-LN(2)/2)*FS109+(1-EXP(-LN(2)/2))/(LN(2)/2)*FM110*FP110*VLOOKUP('Données projet'!$B$16,Paramètres!$A$1:$I$89,3,0)*0.475*44/12</f>
        <v>0</v>
      </c>
      <c r="FT110" s="24">
        <f t="shared" si="78"/>
        <v>0</v>
      </c>
      <c r="FU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3.6538461538461489</v>
      </c>
      <c r="FZ110" s="13">
        <f>IF('Données projet'!$A$244&gt;35,FZ109+FY110-GH109,IF(A110&lt;'Données projet'!$A$244,$FW$205^A110,IF(A110='Données projet'!$A$244,'Données projet'!$B$244,FZ109+FY110-GH109)))</f>
        <v>355.70512820512823</v>
      </c>
      <c r="GA110" s="18">
        <f>FZ110*VLOOKUP('Données projet'!$B$17,Paramètres!$A$1:$I$89,3,0)*VLOOKUP('Données projet'!$B$17,Paramètres!$A$1:$I$89,5,0)</f>
        <v>238.607</v>
      </c>
      <c r="GB110" s="14">
        <f t="shared" si="103"/>
        <v>58.139718283978347</v>
      </c>
      <c r="GC110" s="22">
        <f t="shared" si="79"/>
        <v>516.83386767792888</v>
      </c>
      <c r="GD110" s="60">
        <f t="shared" si="80"/>
        <v>796.07447457080252</v>
      </c>
      <c r="GE110" s="60">
        <f ca="1">AVERAGE(OFFSET($GD$3,0,0,'Données projet'!$E$17+1,1))-AVERAGE(OFFSET($H$3,0,0,'Données projet'!$E$17+1,1))</f>
        <v>396.0878652679051</v>
      </c>
      <c r="GF110" s="60">
        <f t="shared" si="104"/>
        <v>327.26339199235406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>
        <f>EXP(-LN(2)/35)*GL109+(1-EXP(-LN(2)/35))/(LN(2)/35)*GH110*GI110*VLOOKUP('Données projet'!$B$17,Paramètres!$A$1:$I$89,3,0)*0.475*44/12</f>
        <v>0</v>
      </c>
      <c r="GM110" s="23">
        <f>EXP(-LN(2)/25)*GM109+(1-EXP(-LN(2)/25))/(LN(2)/25)*Calculateur!GH110*Calculateur!GJ110*VLOOKUP('Données projet'!$B$17,Paramètres!$A$1:$I$89,3,0)*0.475*44/12</f>
        <v>0</v>
      </c>
      <c r="GN110" s="23">
        <f>EXP(-LN(2)/2)*GN109+(1-EXP(-LN(2)/2))/(LN(2)/2)*GH110*GK110*VLOOKUP('Données projet'!$B$17,Paramètres!$A$1:$I$89,3,0)*0.475*44/12</f>
        <v>0</v>
      </c>
      <c r="GO110" s="23">
        <f t="shared" si="81"/>
        <v>0</v>
      </c>
      <c r="GP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-1.1368683772161603E-13</v>
      </c>
      <c r="GV110" s="18">
        <f>GU110*VLOOKUP('Données projet'!$B$18,Paramètres!$A$1:$I$89,3,0)*VLOOKUP('Données projet'!$B$18,Paramètres!$A$1:$I$89,5,0)</f>
        <v>-9.2222762759774927E-14</v>
      </c>
      <c r="GW110" s="14" t="e">
        <f t="shared" si="105"/>
        <v>#NUM!</v>
      </c>
      <c r="GX110" s="22" t="e">
        <f t="shared" si="82"/>
        <v>#NUM!</v>
      </c>
      <c r="GY110" s="60" t="e">
        <f t="shared" si="83"/>
        <v>#NUM!</v>
      </c>
      <c r="GZ110" s="60">
        <f ca="1">AVERAGE(OFFSET($GY$3,0,0,'Données projet'!$E$18+1,1))-AVERAGE(OFFSET($H$3,0,0,'Données projet'!$E$18+1,1))</f>
        <v>272.69564942740931</v>
      </c>
      <c r="HA110" s="60">
        <f t="shared" si="106"/>
        <v>316.57989180609252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>
        <f>EXP(-LN(2)/35)*HG109+(1-EXP(-LN(2)/35))/(LN(2)/35)*HC110*HD110*VLOOKUP('Données projet'!$B$18,Paramètres!$A$1:$I$89,3,0)*0.475*44/12</f>
        <v>0</v>
      </c>
      <c r="HH110" s="23">
        <f>EXP(-LN(2)/25)*HH109+(1-EXP(-LN(2)/25))/(LN(2)/25)*Calculateur!HC110*Calculateur!HE110*VLOOKUP('Données projet'!$B$18,Paramètres!$A$1:$I$89,3,0)*0.475*44/12</f>
        <v>0</v>
      </c>
      <c r="HI110" s="23">
        <f>EXP(-LN(2)/2)*HI109+(1-EXP(-LN(2)/2))/(LN(2)/2)*HC110*HF110*VLOOKUP('Données projet'!$B$18,Paramètres!$A$1:$I$89,3,0)*0.475*44/12</f>
        <v>0</v>
      </c>
      <c r="HJ110" s="24">
        <f t="shared" si="84"/>
        <v>0</v>
      </c>
    </row>
    <row r="111" spans="1:218" s="5" customFormat="1" x14ac:dyDescent="0.25">
      <c r="A111" s="11">
        <f t="shared" si="85"/>
        <v>108</v>
      </c>
      <c r="B111" s="75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8">
        <f t="shared" si="56"/>
        <v>183.33333333333334</v>
      </c>
      <c r="I111" s="7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5.2</v>
      </c>
      <c r="N111" s="14">
        <f>IF('Données projet'!$A$36&gt;35,N110+M111-V110,IF(A111&lt;'Données projet'!$A$36,$K$205^A111,IF(A111='Données projet'!$A$36,'Données projet'!$B$36,N110+M111-V110)))</f>
        <v>402.59999999999991</v>
      </c>
      <c r="O111" s="14">
        <f>N111*VLOOKUP('Données projet'!$B$9,Paramètres!$A$1:$I$89,3,0)*VLOOKUP('Données projet'!$B$9,Paramètres!$A$1:$I$89,5,0)</f>
        <v>364.27247999999992</v>
      </c>
      <c r="P111" s="14">
        <f t="shared" si="87"/>
        <v>84.494491907753741</v>
      </c>
      <c r="Q111" s="22">
        <f t="shared" si="107"/>
        <v>781.60247607267092</v>
      </c>
      <c r="R111" s="60">
        <f t="shared" si="55"/>
        <v>1061.0875602626702</v>
      </c>
      <c r="S111" s="60">
        <f ca="1">AVERAGE(OFFSET($R$3,0,0,'Données projet'!$E$9+1,1))-AVERAGE(OFFSET($H$3,0,0,'Données projet'!$E$9+1,1))</f>
        <v>570.08763950759544</v>
      </c>
      <c r="T111" s="60">
        <f t="shared" si="88"/>
        <v>297.32483725004136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-5.6843418860808015E-14</v>
      </c>
      <c r="AJ111" s="14">
        <f>AI111*VLOOKUP('Données projet'!$B$10,Paramètres!$A$1:$I$89,3,0)*VLOOKUP('Données projet'!$B$10,Paramètres!$A$1:$I$89,5,0)</f>
        <v>-4.5224624045658861E-14</v>
      </c>
      <c r="AK111" s="14" t="e">
        <f t="shared" si="89"/>
        <v>#NUM!</v>
      </c>
      <c r="AL111" s="22" t="e">
        <f t="shared" si="58"/>
        <v>#NUM!</v>
      </c>
      <c r="AM111" s="60" t="e">
        <f t="shared" si="59"/>
        <v>#NUM!</v>
      </c>
      <c r="AN111" s="60">
        <f ca="1">AVERAGE(OFFSET($AM$3,0,0,'Données projet'!$E$10+1,1))-AVERAGE(OFFSET($H$3,0,0,'Données projet'!$E$10+1,1))</f>
        <v>394.49874384716014</v>
      </c>
      <c r="AO111" s="60">
        <f t="shared" si="90"/>
        <v>423.72519584013378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3.4106051316484809E-13</v>
      </c>
      <c r="BE111" s="14">
        <f>BD111*VLOOKUP('Données projet'!$B$11,Paramètres!$A$1:$I$89,3,0)*VLOOKUP('Données projet'!$B$11,Paramètres!$A$1:$I$89,5,0)</f>
        <v>2.9795046430081134E-13</v>
      </c>
      <c r="BF111" s="14">
        <f t="shared" si="91"/>
        <v>3.9419014464513778E-12</v>
      </c>
      <c r="BG111" s="22">
        <f t="shared" si="61"/>
        <v>7.384408744560063E-12</v>
      </c>
      <c r="BH111" s="60">
        <f t="shared" si="62"/>
        <v>279.48508419000672</v>
      </c>
      <c r="BI111" s="60">
        <f ca="1">AVERAGE(OFFSET($BH$3,0,0,'Données projet'!$E$11+1,1))-AVERAGE(OFFSET($H$3,0,0,'Données projet'!$E$11+1,1))</f>
        <v>363.28611056308665</v>
      </c>
      <c r="BJ111" s="60">
        <f t="shared" si="92"/>
        <v>389.43647559455974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3.3974358974359005</v>
      </c>
      <c r="BY111" s="13">
        <f>IF('Données projet'!$A$114&gt;35,BY110+BX111-CG110,IF(A111&lt;'Données projet'!$A$114,$BV$205^A111,IF(A111='Données projet'!$A$114,'Données projet'!$B$114,BY110+BX111-CG110)))</f>
        <v>285.51282051282061</v>
      </c>
      <c r="BZ111" s="14">
        <f>BY111*VLOOKUP('Données projet'!$B$12,Paramètres!$A$1:$I$89,3,0)*VLOOKUP('Données projet'!$B$12,Paramètres!$A$1:$I$89,5,0)</f>
        <v>271.69400000000007</v>
      </c>
      <c r="CA111" s="14">
        <f t="shared" si="93"/>
        <v>65.208647871703889</v>
      </c>
      <c r="CB111" s="22">
        <f t="shared" si="64"/>
        <v>586.77211170988437</v>
      </c>
      <c r="CC111" s="60">
        <f t="shared" si="65"/>
        <v>866.25719589988375</v>
      </c>
      <c r="CD111" s="60">
        <f ca="1">AVERAGE(OFFSET($CC$3,0,0,'Données projet'!$E$12+1,1))-AVERAGE(OFFSET($H$3,0,0,'Données projet'!$E$12+1,1))</f>
        <v>441.15969139782891</v>
      </c>
      <c r="CE111" s="60">
        <f t="shared" si="94"/>
        <v>315.06466790224783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-5.6843418860808015E-14</v>
      </c>
      <c r="CU111" s="18">
        <f>CT111*VLOOKUP('Données projet'!$B$13,Paramètres!$A$1:$I$89,3,0)*VLOOKUP('Données projet'!$B$13,Paramètres!$A$1:$I$89,5,0)</f>
        <v>-4.1677594708744434E-14</v>
      </c>
      <c r="CV111" s="14" t="e">
        <f t="shared" si="95"/>
        <v>#NUM!</v>
      </c>
      <c r="CW111" s="22" t="e">
        <f t="shared" si="67"/>
        <v>#NUM!</v>
      </c>
      <c r="CX111" s="60" t="e">
        <f t="shared" si="68"/>
        <v>#NUM!</v>
      </c>
      <c r="CY111" s="60">
        <f ca="1">AVERAGE(OFFSET($CX$3,0,0,'Données projet'!$E$13+1,1))-AVERAGE(OFFSET($H$3,0,0,'Données projet'!$E$13+1,1))</f>
        <v>368.35775920359396</v>
      </c>
      <c r="CZ111" s="60">
        <f t="shared" si="96"/>
        <v>395.5218438652638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1.1368683772161603E-13</v>
      </c>
      <c r="DP111" s="18">
        <f>DO111*VLOOKUP('Données projet'!$B$14,Paramètres!$A$1:$I$89,3,0)*VLOOKUP('Données projet'!$B$14,Paramètres!$A$1:$I$89,5,0)</f>
        <v>8.8675733422860506E-14</v>
      </c>
      <c r="DQ111" s="14">
        <f t="shared" si="97"/>
        <v>1.3509285393066301E-12</v>
      </c>
      <c r="DR111" s="22">
        <f t="shared" si="70"/>
        <v>2.5073107750038623E-12</v>
      </c>
      <c r="DS111" s="60">
        <f t="shared" si="71"/>
        <v>279.48508419000183</v>
      </c>
      <c r="DT111" s="60">
        <f ca="1">AVERAGE(OFFSET($DS$3,0,0,'Données projet'!$E$14+1,1))-AVERAGE(OFFSET($H$3,0,0,'Données projet'!$E$14+1,1))</f>
        <v>312.59632808777332</v>
      </c>
      <c r="DU111" s="60">
        <f t="shared" si="98"/>
        <v>302.59481222418219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0</v>
      </c>
      <c r="EE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-1.1368683772161603E-13</v>
      </c>
      <c r="EK111" s="18">
        <f>EJ111*VLOOKUP('Données projet'!$B$15,Paramètres!$A$1:$I$89,3,0)*VLOOKUP('Données projet'!$B$15,Paramètres!$A$1:$I$89,5,0)</f>
        <v>-9.7543306765146564E-14</v>
      </c>
      <c r="EL111" s="14" t="e">
        <f t="shared" si="99"/>
        <v>#NUM!</v>
      </c>
      <c r="EM111" s="22" t="e">
        <f t="shared" si="73"/>
        <v>#NUM!</v>
      </c>
      <c r="EN111" s="60" t="e">
        <f t="shared" si="74"/>
        <v>#NUM!</v>
      </c>
      <c r="EO111" s="60">
        <f ca="1">AVERAGE(OFFSET($EN$3,0,0,'Données projet'!$E$15+1,1))-AVERAGE(OFFSET($H$3,0,0,'Données projet'!$E$15+1,1))</f>
        <v>478.11504516179713</v>
      </c>
      <c r="EP111" s="60">
        <f t="shared" si="100"/>
        <v>249.93713224442419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0</v>
      </c>
      <c r="EW111" s="23">
        <f>EXP(-LN(2)/25)*EW110+(1-EXP(-LN(2)/25))/(LN(2)/25)*Calculateur!ER111*Calculateur!ET111*VLOOKUP('Données projet'!$B$15,Paramètres!$A$1:$I$89,3,0)*0.475*44/12</f>
        <v>0</v>
      </c>
      <c r="EX111" s="23">
        <f>EXP(-LN(2)/2)*EX110+(1-EXP(-LN(2)/2))/(LN(2)/2)*ER111*EU111*VLOOKUP('Données projet'!$B$15,Paramètres!$A$1:$I$89,3,0)*0.475*44/12</f>
        <v>0</v>
      </c>
      <c r="EY111" s="24">
        <f t="shared" si="75"/>
        <v>0</v>
      </c>
      <c r="EZ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5.2</v>
      </c>
      <c r="FE111" s="13">
        <f>IF('Données projet'!$A$218&gt;35,FE110+FD111-FM110,IF(A111&lt;'Données projet'!$A$218,$FB$205^A111,IF(A111='Données projet'!$A$218,'Données projet'!$B$218,FE110+FD111-FM110)))</f>
        <v>402.59999999999991</v>
      </c>
      <c r="FF111" s="18">
        <f>FE111*VLOOKUP('Données projet'!$B$16,Paramètres!$A$1:$I$89,3,0)*VLOOKUP('Données projet'!$B$16,Paramètres!$A$1:$I$89,5,0)</f>
        <v>389.39471999999989</v>
      </c>
      <c r="FG111" s="14">
        <f t="shared" si="101"/>
        <v>89.623256568911799</v>
      </c>
      <c r="FH111" s="22">
        <f t="shared" si="76"/>
        <v>834.28964252418791</v>
      </c>
      <c r="FI111" s="60">
        <f t="shared" si="77"/>
        <v>1113.7747267141872</v>
      </c>
      <c r="FJ111" s="60">
        <f ca="1">AVERAGE(OFFSET($FI$3,0,0,'Données projet'!$E$16+1,1))-AVERAGE(OFFSET($H$3,0,0,'Données projet'!$E$16+1,1))</f>
        <v>603.52431522262032</v>
      </c>
      <c r="FK111" s="60">
        <f t="shared" si="102"/>
        <v>313.56299786481338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>
        <f>EXP(-LN(2)/35)*FQ110+(1-EXP(-LN(2)/35))/(LN(2)/35)*FM111*FN111*VLOOKUP('Données projet'!$B$16,Paramètres!$A$1:$I$89,3,0)*0.475*44/12</f>
        <v>0</v>
      </c>
      <c r="FR111" s="23">
        <f>EXP(-LN(2)/25)*FR110+(1-EXP(-LN(2)/25))/(LN(2)/25)*Calculateur!FM111*Calculateur!FO111*VLOOKUP('Données projet'!$B$16,Paramètres!$A$1:$I$89,3,0)*0.475*44/12</f>
        <v>0</v>
      </c>
      <c r="FS111" s="23">
        <f>EXP(-LN(2)/2)*FS110+(1-EXP(-LN(2)/2))/(LN(2)/2)*FM111*FP111*VLOOKUP('Données projet'!$B$16,Paramètres!$A$1:$I$89,3,0)*0.475*44/12</f>
        <v>0</v>
      </c>
      <c r="FT111" s="24">
        <f t="shared" si="78"/>
        <v>0</v>
      </c>
      <c r="FU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3.6538461538461489</v>
      </c>
      <c r="FZ111" s="13">
        <f>IF('Données projet'!$A$244&gt;35,FZ110+FY111-GH110,IF(A111&lt;'Données projet'!$A$244,$FW$205^A111,IF(A111='Données projet'!$A$244,'Données projet'!$B$244,FZ110+FY111-GH110)))</f>
        <v>359.35897435897436</v>
      </c>
      <c r="GA111" s="18">
        <f>FZ111*VLOOKUP('Données projet'!$B$17,Paramètres!$A$1:$I$89,3,0)*VLOOKUP('Données projet'!$B$17,Paramètres!$A$1:$I$89,5,0)</f>
        <v>241.05799999999999</v>
      </c>
      <c r="GB111" s="14">
        <f t="shared" si="103"/>
        <v>58.667106028853908</v>
      </c>
      <c r="GC111" s="22">
        <f t="shared" si="79"/>
        <v>522.02122633358715</v>
      </c>
      <c r="GD111" s="60">
        <f t="shared" si="80"/>
        <v>801.50631052358654</v>
      </c>
      <c r="GE111" s="60">
        <f ca="1">AVERAGE(OFFSET($GD$3,0,0,'Données projet'!$E$17+1,1))-AVERAGE(OFFSET($H$3,0,0,'Données projet'!$E$17+1,1))</f>
        <v>396.0878652679051</v>
      </c>
      <c r="GF111" s="60">
        <f t="shared" si="104"/>
        <v>327.26339199235406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>
        <f>EXP(-LN(2)/35)*GL110+(1-EXP(-LN(2)/35))/(LN(2)/35)*GH111*GI111*VLOOKUP('Données projet'!$B$17,Paramètres!$A$1:$I$89,3,0)*0.475*44/12</f>
        <v>0</v>
      </c>
      <c r="GM111" s="23">
        <f>EXP(-LN(2)/25)*GM110+(1-EXP(-LN(2)/25))/(LN(2)/25)*Calculateur!GH111*Calculateur!GJ111*VLOOKUP('Données projet'!$B$17,Paramètres!$A$1:$I$89,3,0)*0.475*44/12</f>
        <v>0</v>
      </c>
      <c r="GN111" s="23">
        <f>EXP(-LN(2)/2)*GN110+(1-EXP(-LN(2)/2))/(LN(2)/2)*GH111*GK111*VLOOKUP('Données projet'!$B$17,Paramètres!$A$1:$I$89,3,0)*0.475*44/12</f>
        <v>0</v>
      </c>
      <c r="GO111" s="23">
        <f t="shared" si="81"/>
        <v>0</v>
      </c>
      <c r="GP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-1.1368683772161603E-13</v>
      </c>
      <c r="GV111" s="18">
        <f>GU111*VLOOKUP('Données projet'!$B$18,Paramètres!$A$1:$I$89,3,0)*VLOOKUP('Données projet'!$B$18,Paramètres!$A$1:$I$89,5,0)</f>
        <v>-9.2222762759774927E-14</v>
      </c>
      <c r="GW111" s="14" t="e">
        <f t="shared" si="105"/>
        <v>#NUM!</v>
      </c>
      <c r="GX111" s="22" t="e">
        <f t="shared" si="82"/>
        <v>#NUM!</v>
      </c>
      <c r="GY111" s="60" t="e">
        <f t="shared" si="83"/>
        <v>#NUM!</v>
      </c>
      <c r="GZ111" s="60">
        <f ca="1">AVERAGE(OFFSET($GY$3,0,0,'Données projet'!$E$18+1,1))-AVERAGE(OFFSET($H$3,0,0,'Données projet'!$E$18+1,1))</f>
        <v>272.69564942740931</v>
      </c>
      <c r="HA111" s="60">
        <f t="shared" si="106"/>
        <v>316.57989180609252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>
        <f>EXP(-LN(2)/35)*HG110+(1-EXP(-LN(2)/35))/(LN(2)/35)*HC111*HD111*VLOOKUP('Données projet'!$B$18,Paramètres!$A$1:$I$89,3,0)*0.475*44/12</f>
        <v>0</v>
      </c>
      <c r="HH111" s="23">
        <f>EXP(-LN(2)/25)*HH110+(1-EXP(-LN(2)/25))/(LN(2)/25)*Calculateur!HC111*Calculateur!HE111*VLOOKUP('Données projet'!$B$18,Paramètres!$A$1:$I$89,3,0)*0.475*44/12</f>
        <v>0</v>
      </c>
      <c r="HI111" s="23">
        <f>EXP(-LN(2)/2)*HI110+(1-EXP(-LN(2)/2))/(LN(2)/2)*HC111*HF111*VLOOKUP('Données projet'!$B$18,Paramètres!$A$1:$I$89,3,0)*0.475*44/12</f>
        <v>0</v>
      </c>
      <c r="HJ111" s="24">
        <f t="shared" si="84"/>
        <v>0</v>
      </c>
    </row>
    <row r="112" spans="1:218" s="5" customFormat="1" x14ac:dyDescent="0.25">
      <c r="A112" s="11">
        <f t="shared" si="85"/>
        <v>109</v>
      </c>
      <c r="B112" s="75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8">
        <f t="shared" si="56"/>
        <v>183.33333333333334</v>
      </c>
      <c r="I112" s="7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5.2</v>
      </c>
      <c r="N112" s="14">
        <f>IF('Données projet'!$A$36&gt;35,N111+M112-V111,IF(A112&lt;'Données projet'!$A$36,$K$205^A112,IF(A112='Données projet'!$A$36,'Données projet'!$B$36,N111+M112-V111)))</f>
        <v>407.7999999999999</v>
      </c>
      <c r="O112" s="14">
        <f>N112*VLOOKUP('Données projet'!$B$9,Paramètres!$A$1:$I$89,3,0)*VLOOKUP('Données projet'!$B$9,Paramètres!$A$1:$I$89,5,0)</f>
        <v>368.97743999999989</v>
      </c>
      <c r="P112" s="14">
        <f t="shared" si="87"/>
        <v>85.458073845884769</v>
      </c>
      <c r="Q112" s="22">
        <f t="shared" si="107"/>
        <v>791.47518661491574</v>
      </c>
      <c r="R112" s="60">
        <f t="shared" si="55"/>
        <v>1071.2005069675051</v>
      </c>
      <c r="S112" s="60">
        <f ca="1">AVERAGE(OFFSET($R$3,0,0,'Données projet'!$E$9+1,1))-AVERAGE(OFFSET($H$3,0,0,'Données projet'!$E$9+1,1))</f>
        <v>570.08763950759544</v>
      </c>
      <c r="T112" s="60">
        <f t="shared" si="88"/>
        <v>297.32483725004136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-5.6843418860808015E-14</v>
      </c>
      <c r="AJ112" s="14">
        <f>AI112*VLOOKUP('Données projet'!$B$10,Paramètres!$A$1:$I$89,3,0)*VLOOKUP('Données projet'!$B$10,Paramètres!$A$1:$I$89,5,0)</f>
        <v>-4.5224624045658861E-14</v>
      </c>
      <c r="AK112" s="14" t="e">
        <f t="shared" si="89"/>
        <v>#NUM!</v>
      </c>
      <c r="AL112" s="22" t="e">
        <f t="shared" si="58"/>
        <v>#NUM!</v>
      </c>
      <c r="AM112" s="60" t="e">
        <f t="shared" si="59"/>
        <v>#NUM!</v>
      </c>
      <c r="AN112" s="60">
        <f ca="1">AVERAGE(OFFSET($AM$3,0,0,'Données projet'!$E$10+1,1))-AVERAGE(OFFSET($H$3,0,0,'Données projet'!$E$10+1,1))</f>
        <v>394.49874384716014</v>
      </c>
      <c r="AO112" s="60">
        <f t="shared" si="90"/>
        <v>423.72519584013378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3.4106051316484809E-13</v>
      </c>
      <c r="BE112" s="14">
        <f>BD112*VLOOKUP('Données projet'!$B$11,Paramètres!$A$1:$I$89,3,0)*VLOOKUP('Données projet'!$B$11,Paramètres!$A$1:$I$89,5,0)</f>
        <v>2.9795046430081134E-13</v>
      </c>
      <c r="BF112" s="14">
        <f t="shared" si="91"/>
        <v>3.9419014464513778E-12</v>
      </c>
      <c r="BG112" s="22">
        <f t="shared" si="61"/>
        <v>7.384408744560063E-12</v>
      </c>
      <c r="BH112" s="60">
        <f t="shared" si="62"/>
        <v>279.72532035259667</v>
      </c>
      <c r="BI112" s="60">
        <f ca="1">AVERAGE(OFFSET($BH$3,0,0,'Données projet'!$E$11+1,1))-AVERAGE(OFFSET($H$3,0,0,'Données projet'!$E$11+1,1))</f>
        <v>363.28611056308665</v>
      </c>
      <c r="BJ112" s="60">
        <f t="shared" si="92"/>
        <v>389.43647559455974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3.3974358974359005</v>
      </c>
      <c r="BY112" s="13">
        <f>IF('Données projet'!$A$114&gt;35,BY111+BX112-CG111,IF(A112&lt;'Données projet'!$A$114,$BV$205^A112,IF(A112='Données projet'!$A$114,'Données projet'!$B$114,BY111+BX112-CG111)))</f>
        <v>288.91025641025652</v>
      </c>
      <c r="BZ112" s="14">
        <f>BY112*VLOOKUP('Données projet'!$B$12,Paramètres!$A$1:$I$89,3,0)*VLOOKUP('Données projet'!$B$12,Paramètres!$A$1:$I$89,5,0)</f>
        <v>274.92700000000013</v>
      </c>
      <c r="CA112" s="14">
        <f t="shared" si="93"/>
        <v>65.893799998961399</v>
      </c>
      <c r="CB112" s="22">
        <f t="shared" si="64"/>
        <v>593.59622666485791</v>
      </c>
      <c r="CC112" s="60">
        <f t="shared" si="65"/>
        <v>873.32154701744719</v>
      </c>
      <c r="CD112" s="60">
        <f ca="1">AVERAGE(OFFSET($CC$3,0,0,'Données projet'!$E$12+1,1))-AVERAGE(OFFSET($H$3,0,0,'Données projet'!$E$12+1,1))</f>
        <v>441.15969139782891</v>
      </c>
      <c r="CE112" s="60">
        <f t="shared" si="94"/>
        <v>315.06466790224783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-5.6843418860808015E-14</v>
      </c>
      <c r="CU112" s="18">
        <f>CT112*VLOOKUP('Données projet'!$B$13,Paramètres!$A$1:$I$89,3,0)*VLOOKUP('Données projet'!$B$13,Paramètres!$A$1:$I$89,5,0)</f>
        <v>-4.1677594708744434E-14</v>
      </c>
      <c r="CV112" s="14" t="e">
        <f t="shared" si="95"/>
        <v>#NUM!</v>
      </c>
      <c r="CW112" s="22" t="e">
        <f t="shared" si="67"/>
        <v>#NUM!</v>
      </c>
      <c r="CX112" s="60" t="e">
        <f t="shared" si="68"/>
        <v>#NUM!</v>
      </c>
      <c r="CY112" s="60">
        <f ca="1">AVERAGE(OFFSET($CX$3,0,0,'Données projet'!$E$13+1,1))-AVERAGE(OFFSET($H$3,0,0,'Données projet'!$E$13+1,1))</f>
        <v>368.35775920359396</v>
      </c>
      <c r="CZ112" s="60">
        <f t="shared" si="96"/>
        <v>395.5218438652638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1.1368683772161603E-13</v>
      </c>
      <c r="DP112" s="18">
        <f>DO112*VLOOKUP('Données projet'!$B$14,Paramètres!$A$1:$I$89,3,0)*VLOOKUP('Données projet'!$B$14,Paramètres!$A$1:$I$89,5,0)</f>
        <v>8.8675733422860506E-14</v>
      </c>
      <c r="DQ112" s="14">
        <f t="shared" si="97"/>
        <v>1.3509285393066301E-12</v>
      </c>
      <c r="DR112" s="22">
        <f t="shared" si="70"/>
        <v>2.5073107750038623E-12</v>
      </c>
      <c r="DS112" s="60">
        <f t="shared" si="71"/>
        <v>279.72532035259178</v>
      </c>
      <c r="DT112" s="60">
        <f ca="1">AVERAGE(OFFSET($DS$3,0,0,'Données projet'!$E$14+1,1))-AVERAGE(OFFSET($H$3,0,0,'Données projet'!$E$14+1,1))</f>
        <v>312.59632808777332</v>
      </c>
      <c r="DU112" s="60">
        <f t="shared" si="98"/>
        <v>302.59481222418219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0</v>
      </c>
      <c r="EE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-1.1368683772161603E-13</v>
      </c>
      <c r="EK112" s="18">
        <f>EJ112*VLOOKUP('Données projet'!$B$15,Paramètres!$A$1:$I$89,3,0)*VLOOKUP('Données projet'!$B$15,Paramètres!$A$1:$I$89,5,0)</f>
        <v>-9.7543306765146564E-14</v>
      </c>
      <c r="EL112" s="14" t="e">
        <f t="shared" si="99"/>
        <v>#NUM!</v>
      </c>
      <c r="EM112" s="22" t="e">
        <f t="shared" si="73"/>
        <v>#NUM!</v>
      </c>
      <c r="EN112" s="60" t="e">
        <f t="shared" si="74"/>
        <v>#NUM!</v>
      </c>
      <c r="EO112" s="60">
        <f ca="1">AVERAGE(OFFSET($EN$3,0,0,'Données projet'!$E$15+1,1))-AVERAGE(OFFSET($H$3,0,0,'Données projet'!$E$15+1,1))</f>
        <v>478.11504516179713</v>
      </c>
      <c r="EP112" s="60">
        <f t="shared" si="100"/>
        <v>249.93713224442419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0</v>
      </c>
      <c r="EW112" s="23">
        <f>EXP(-LN(2)/25)*EW111+(1-EXP(-LN(2)/25))/(LN(2)/25)*Calculateur!ER112*Calculateur!ET112*VLOOKUP('Données projet'!$B$15,Paramètres!$A$1:$I$89,3,0)*0.475*44/12</f>
        <v>0</v>
      </c>
      <c r="EX112" s="23">
        <f>EXP(-LN(2)/2)*EX111+(1-EXP(-LN(2)/2))/(LN(2)/2)*ER112*EU112*VLOOKUP('Données projet'!$B$15,Paramètres!$A$1:$I$89,3,0)*0.475*44/12</f>
        <v>0</v>
      </c>
      <c r="EY112" s="24">
        <f t="shared" si="75"/>
        <v>0</v>
      </c>
      <c r="EZ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5.2</v>
      </c>
      <c r="FE112" s="13">
        <f>IF('Données projet'!$A$218&gt;35,FE111+FD112-FM111,IF(A112&lt;'Données projet'!$A$218,$FB$205^A112,IF(A112='Données projet'!$A$218,'Données projet'!$B$218,FE111+FD112-FM111)))</f>
        <v>407.7999999999999</v>
      </c>
      <c r="FF112" s="18">
        <f>FE112*VLOOKUP('Données projet'!$B$16,Paramètres!$A$1:$I$89,3,0)*VLOOKUP('Données projet'!$B$16,Paramètres!$A$1:$I$89,5,0)</f>
        <v>394.42415999999992</v>
      </c>
      <c r="FG112" s="14">
        <f t="shared" si="101"/>
        <v>90.645327349106196</v>
      </c>
      <c r="FH112" s="22">
        <f t="shared" si="76"/>
        <v>844.82935713302641</v>
      </c>
      <c r="FI112" s="60">
        <f t="shared" si="77"/>
        <v>1124.5546774856157</v>
      </c>
      <c r="FJ112" s="60">
        <f ca="1">AVERAGE(OFFSET($FI$3,0,0,'Données projet'!$E$16+1,1))-AVERAGE(OFFSET($H$3,0,0,'Données projet'!$E$16+1,1))</f>
        <v>603.52431522262032</v>
      </c>
      <c r="FK112" s="60">
        <f t="shared" si="102"/>
        <v>313.56299786481338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>
        <f>EXP(-LN(2)/35)*FQ111+(1-EXP(-LN(2)/35))/(LN(2)/35)*FM112*FN112*VLOOKUP('Données projet'!$B$16,Paramètres!$A$1:$I$89,3,0)*0.475*44/12</f>
        <v>0</v>
      </c>
      <c r="FR112" s="23">
        <f>EXP(-LN(2)/25)*FR111+(1-EXP(-LN(2)/25))/(LN(2)/25)*Calculateur!FM112*Calculateur!FO112*VLOOKUP('Données projet'!$B$16,Paramètres!$A$1:$I$89,3,0)*0.475*44/12</f>
        <v>0</v>
      </c>
      <c r="FS112" s="23">
        <f>EXP(-LN(2)/2)*FS111+(1-EXP(-LN(2)/2))/(LN(2)/2)*FM112*FP112*VLOOKUP('Données projet'!$B$16,Paramètres!$A$1:$I$89,3,0)*0.475*44/12</f>
        <v>0</v>
      </c>
      <c r="FT112" s="24">
        <f t="shared" si="78"/>
        <v>0</v>
      </c>
      <c r="FU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3.6538461538461489</v>
      </c>
      <c r="FZ112" s="13">
        <f>IF('Données projet'!$A$244&gt;35,FZ111+FY112-GH111,IF(A112&lt;'Données projet'!$A$244,$FW$205^A112,IF(A112='Données projet'!$A$244,'Données projet'!$B$244,FZ111+FY112-GH111)))</f>
        <v>363.0128205128205</v>
      </c>
      <c r="GA112" s="18">
        <f>FZ112*VLOOKUP('Données projet'!$B$17,Paramètres!$A$1:$I$89,3,0)*VLOOKUP('Données projet'!$B$17,Paramètres!$A$1:$I$89,5,0)</f>
        <v>243.50900000000001</v>
      </c>
      <c r="GB112" s="14">
        <f t="shared" si="103"/>
        <v>59.193869958866358</v>
      </c>
      <c r="GC112" s="22">
        <f t="shared" si="79"/>
        <v>527.20749851169228</v>
      </c>
      <c r="GD112" s="60">
        <f t="shared" si="80"/>
        <v>806.93281886428156</v>
      </c>
      <c r="GE112" s="60">
        <f ca="1">AVERAGE(OFFSET($GD$3,0,0,'Données projet'!$E$17+1,1))-AVERAGE(OFFSET($H$3,0,0,'Données projet'!$E$17+1,1))</f>
        <v>396.0878652679051</v>
      </c>
      <c r="GF112" s="60">
        <f t="shared" si="104"/>
        <v>327.26339199235406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>
        <f>EXP(-LN(2)/35)*GL111+(1-EXP(-LN(2)/35))/(LN(2)/35)*GH112*GI112*VLOOKUP('Données projet'!$B$17,Paramètres!$A$1:$I$89,3,0)*0.475*44/12</f>
        <v>0</v>
      </c>
      <c r="GM112" s="23">
        <f>EXP(-LN(2)/25)*GM111+(1-EXP(-LN(2)/25))/(LN(2)/25)*Calculateur!GH112*Calculateur!GJ112*VLOOKUP('Données projet'!$B$17,Paramètres!$A$1:$I$89,3,0)*0.475*44/12</f>
        <v>0</v>
      </c>
      <c r="GN112" s="23">
        <f>EXP(-LN(2)/2)*GN111+(1-EXP(-LN(2)/2))/(LN(2)/2)*GH112*GK112*VLOOKUP('Données projet'!$B$17,Paramètres!$A$1:$I$89,3,0)*0.475*44/12</f>
        <v>0</v>
      </c>
      <c r="GO112" s="23">
        <f t="shared" si="81"/>
        <v>0</v>
      </c>
      <c r="GP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-1.1368683772161603E-13</v>
      </c>
      <c r="GV112" s="18">
        <f>GU112*VLOOKUP('Données projet'!$B$18,Paramètres!$A$1:$I$89,3,0)*VLOOKUP('Données projet'!$B$18,Paramètres!$A$1:$I$89,5,0)</f>
        <v>-9.2222762759774927E-14</v>
      </c>
      <c r="GW112" s="14" t="e">
        <f t="shared" si="105"/>
        <v>#NUM!</v>
      </c>
      <c r="GX112" s="22" t="e">
        <f t="shared" si="82"/>
        <v>#NUM!</v>
      </c>
      <c r="GY112" s="60" t="e">
        <f t="shared" si="83"/>
        <v>#NUM!</v>
      </c>
      <c r="GZ112" s="60">
        <f ca="1">AVERAGE(OFFSET($GY$3,0,0,'Données projet'!$E$18+1,1))-AVERAGE(OFFSET($H$3,0,0,'Données projet'!$E$18+1,1))</f>
        <v>272.69564942740931</v>
      </c>
      <c r="HA112" s="60">
        <f t="shared" si="106"/>
        <v>316.57989180609252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>
        <f>EXP(-LN(2)/35)*HG111+(1-EXP(-LN(2)/35))/(LN(2)/35)*HC112*HD112*VLOOKUP('Données projet'!$B$18,Paramètres!$A$1:$I$89,3,0)*0.475*44/12</f>
        <v>0</v>
      </c>
      <c r="HH112" s="23">
        <f>EXP(-LN(2)/25)*HH111+(1-EXP(-LN(2)/25))/(LN(2)/25)*Calculateur!HC112*Calculateur!HE112*VLOOKUP('Données projet'!$B$18,Paramètres!$A$1:$I$89,3,0)*0.475*44/12</f>
        <v>0</v>
      </c>
      <c r="HI112" s="23">
        <f>EXP(-LN(2)/2)*HI111+(1-EXP(-LN(2)/2))/(LN(2)/2)*HC112*HF112*VLOOKUP('Données projet'!$B$18,Paramètres!$A$1:$I$89,3,0)*0.475*44/12</f>
        <v>0</v>
      </c>
      <c r="HJ112" s="24">
        <f t="shared" si="84"/>
        <v>0</v>
      </c>
    </row>
    <row r="113" spans="1:218" s="5" customFormat="1" x14ac:dyDescent="0.25">
      <c r="A113" s="11">
        <f t="shared" si="85"/>
        <v>110</v>
      </c>
      <c r="B113" s="75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8">
        <f t="shared" si="56"/>
        <v>183.33333333333334</v>
      </c>
      <c r="I113" s="7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413</v>
      </c>
      <c r="L113" s="13">
        <f>VLOOKUP(A113,'Données projet'!$A$35:$I$55,9,0)</f>
        <v>5.2</v>
      </c>
      <c r="M113" s="13">
        <f t="array" ref="M113">INDEX(L:L,MIN(IF(ISNUMBER(L113:L309),ROW(L113:L309),"")))</f>
        <v>5.2</v>
      </c>
      <c r="N113" s="14">
        <f>IF('Données projet'!$A$36&gt;35,N112+M113-V112,IF(A113&lt;'Données projet'!$A$36,$K$205^A113,IF(A113='Données projet'!$A$36,'Données projet'!$B$36,N112+M113-V112)))</f>
        <v>412.99999999999989</v>
      </c>
      <c r="O113" s="14">
        <f>N113*VLOOKUP('Données projet'!$B$9,Paramètres!$A$1:$I$89,3,0)*VLOOKUP('Données projet'!$B$9,Paramètres!$A$1:$I$89,5,0)</f>
        <v>373.68239999999986</v>
      </c>
      <c r="P113" s="14">
        <f t="shared" si="87"/>
        <v>86.420226600704183</v>
      </c>
      <c r="Q113" s="22">
        <f t="shared" si="107"/>
        <v>801.34540799622619</v>
      </c>
      <c r="R113" s="60">
        <f t="shared" si="55"/>
        <v>1081.3067969510721</v>
      </c>
      <c r="S113" s="60">
        <f ca="1">AVERAGE(OFFSET($R$3,0,0,'Données projet'!$E$9+1,1))-AVERAGE(OFFSET($H$3,0,0,'Données projet'!$E$9+1,1))</f>
        <v>570.08763950759544</v>
      </c>
      <c r="T113" s="60">
        <f t="shared" si="88"/>
        <v>297.32483725004136</v>
      </c>
      <c r="U113" s="16">
        <f>IF(ISNA(VLOOKUP(A113,'Données projet'!$A$35:$I$55,3,0)),0,VLOOKUP(A113,'Données projet'!$A$35:$I$55,3,0))</f>
        <v>8</v>
      </c>
      <c r="V113" s="16">
        <f>IF(ISNA(VLOOKUP(A113,'Données projet'!$A$35:$I$55,4,0)),0,VLOOKUP(A113,'Données projet'!$A$35:$I$55,4,0))</f>
        <v>106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-5.6843418860808015E-14</v>
      </c>
      <c r="AJ113" s="14">
        <f>AI113*VLOOKUP('Données projet'!$B$10,Paramètres!$A$1:$I$89,3,0)*VLOOKUP('Données projet'!$B$10,Paramètres!$A$1:$I$89,5,0)</f>
        <v>-4.5224624045658861E-14</v>
      </c>
      <c r="AK113" s="14" t="e">
        <f t="shared" si="89"/>
        <v>#NUM!</v>
      </c>
      <c r="AL113" s="22" t="e">
        <f t="shared" si="58"/>
        <v>#NUM!</v>
      </c>
      <c r="AM113" s="60" t="e">
        <f t="shared" si="59"/>
        <v>#NUM!</v>
      </c>
      <c r="AN113" s="60">
        <f ca="1">AVERAGE(OFFSET($AM$3,0,0,'Données projet'!$E$10+1,1))-AVERAGE(OFFSET($H$3,0,0,'Données projet'!$E$10+1,1))</f>
        <v>394.49874384716014</v>
      </c>
      <c r="AO113" s="60">
        <f t="shared" si="90"/>
        <v>423.72519584013378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3.4106051316484809E-13</v>
      </c>
      <c r="BE113" s="14">
        <f>BD113*VLOOKUP('Données projet'!$B$11,Paramètres!$A$1:$I$89,3,0)*VLOOKUP('Données projet'!$B$11,Paramètres!$A$1:$I$89,5,0)</f>
        <v>2.9795046430081134E-13</v>
      </c>
      <c r="BF113" s="14">
        <f t="shared" si="91"/>
        <v>3.9419014464513778E-12</v>
      </c>
      <c r="BG113" s="22">
        <f t="shared" si="61"/>
        <v>7.384408744560063E-12</v>
      </c>
      <c r="BH113" s="60">
        <f t="shared" si="62"/>
        <v>279.96138895485325</v>
      </c>
      <c r="BI113" s="60">
        <f ca="1">AVERAGE(OFFSET($BH$3,0,0,'Données projet'!$E$11+1,1))-AVERAGE(OFFSET($H$3,0,0,'Données projet'!$E$11+1,1))</f>
        <v>363.28611056308665</v>
      </c>
      <c r="BJ113" s="60">
        <f t="shared" si="92"/>
        <v>389.43647559455974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>
        <f>VLOOKUP(A113,'Données projet'!$A$113:$I$133,2,0)</f>
        <v>292.30769230769232</v>
      </c>
      <c r="BW113" s="13">
        <f>VLOOKUP(A113,'Données projet'!$A$113:$I$133,9,0)</f>
        <v>3.3974358974359005</v>
      </c>
      <c r="BX113" s="13">
        <f t="array" ref="BX113">INDEX(BW:BW,MIN(IF(ISNUMBER(BW113:BW309),ROW(BW113:BW309),"")))</f>
        <v>3.3974358974359005</v>
      </c>
      <c r="BY113" s="13">
        <f>IF('Données projet'!$A$114&gt;35,BY112+BX113-CG112,IF(A113&lt;'Données projet'!$A$114,$BV$205^A113,IF(A113='Données projet'!$A$114,'Données projet'!$B$114,BY112+BX113-CG112)))</f>
        <v>292.30769230769243</v>
      </c>
      <c r="BZ113" s="14">
        <f>BY113*VLOOKUP('Données projet'!$B$12,Paramètres!$A$1:$I$89,3,0)*VLOOKUP('Données projet'!$B$12,Paramètres!$A$1:$I$89,5,0)</f>
        <v>278.16000000000014</v>
      </c>
      <c r="CA113" s="14">
        <f t="shared" si="93"/>
        <v>66.578014905913179</v>
      </c>
      <c r="CB113" s="22">
        <f t="shared" si="64"/>
        <v>600.41870929446566</v>
      </c>
      <c r="CC113" s="60">
        <f t="shared" si="65"/>
        <v>880.38009824931146</v>
      </c>
      <c r="CD113" s="60">
        <f ca="1">AVERAGE(OFFSET($CC$3,0,0,'Données projet'!$E$12+1,1))-AVERAGE(OFFSET($H$3,0,0,'Données projet'!$E$12+1,1))</f>
        <v>441.15969139782891</v>
      </c>
      <c r="CE113" s="60">
        <f t="shared" si="94"/>
        <v>315.06466790224783</v>
      </c>
      <c r="CF113" s="16">
        <f>IF(ISNA(VLOOKUP(A113,'Données projet'!$A$113:$I$133,3,0)),0,VLOOKUP(A113,'Données projet'!$A$113:$I$133,3,0))</f>
        <v>9</v>
      </c>
      <c r="CG113" s="16">
        <f>IF(ISNA(VLOOKUP(A113,'Données projet'!$A$113:$I$133,4,0)),0,VLOOKUP(A113,'Données projet'!$A$113:$I$133,4,0))</f>
        <v>37.820512820512818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-5.6843418860808015E-14</v>
      </c>
      <c r="CU113" s="18">
        <f>CT113*VLOOKUP('Données projet'!$B$13,Paramètres!$A$1:$I$89,3,0)*VLOOKUP('Données projet'!$B$13,Paramètres!$A$1:$I$89,5,0)</f>
        <v>-4.1677594708744434E-14</v>
      </c>
      <c r="CV113" s="14" t="e">
        <f t="shared" si="95"/>
        <v>#NUM!</v>
      </c>
      <c r="CW113" s="22" t="e">
        <f t="shared" si="67"/>
        <v>#NUM!</v>
      </c>
      <c r="CX113" s="60" t="e">
        <f t="shared" si="68"/>
        <v>#NUM!</v>
      </c>
      <c r="CY113" s="60">
        <f ca="1">AVERAGE(OFFSET($CX$3,0,0,'Données projet'!$E$13+1,1))-AVERAGE(OFFSET($H$3,0,0,'Données projet'!$E$13+1,1))</f>
        <v>368.35775920359396</v>
      </c>
      <c r="CZ113" s="60">
        <f t="shared" si="96"/>
        <v>395.5218438652638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1.1368683772161603E-13</v>
      </c>
      <c r="DP113" s="18">
        <f>DO113*VLOOKUP('Données projet'!$B$14,Paramètres!$A$1:$I$89,3,0)*VLOOKUP('Données projet'!$B$14,Paramètres!$A$1:$I$89,5,0)</f>
        <v>8.8675733422860506E-14</v>
      </c>
      <c r="DQ113" s="14">
        <f t="shared" si="97"/>
        <v>1.3509285393066301E-12</v>
      </c>
      <c r="DR113" s="22">
        <f t="shared" si="70"/>
        <v>2.5073107750038623E-12</v>
      </c>
      <c r="DS113" s="60">
        <f t="shared" si="71"/>
        <v>279.96138895484836</v>
      </c>
      <c r="DT113" s="60">
        <f ca="1">AVERAGE(OFFSET($DS$3,0,0,'Données projet'!$E$14+1,1))-AVERAGE(OFFSET($H$3,0,0,'Données projet'!$E$14+1,1))</f>
        <v>312.59632808777332</v>
      </c>
      <c r="DU113" s="60">
        <f t="shared" si="98"/>
        <v>302.59481222418219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0</v>
      </c>
      <c r="EE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-1.1368683772161603E-13</v>
      </c>
      <c r="EK113" s="18">
        <f>EJ113*VLOOKUP('Données projet'!$B$15,Paramètres!$A$1:$I$89,3,0)*VLOOKUP('Données projet'!$B$15,Paramètres!$A$1:$I$89,5,0)</f>
        <v>-9.7543306765146564E-14</v>
      </c>
      <c r="EL113" s="14" t="e">
        <f t="shared" si="99"/>
        <v>#NUM!</v>
      </c>
      <c r="EM113" s="22" t="e">
        <f t="shared" si="73"/>
        <v>#NUM!</v>
      </c>
      <c r="EN113" s="60" t="e">
        <f t="shared" si="74"/>
        <v>#NUM!</v>
      </c>
      <c r="EO113" s="60">
        <f ca="1">AVERAGE(OFFSET($EN$3,0,0,'Données projet'!$E$15+1,1))-AVERAGE(OFFSET($H$3,0,0,'Données projet'!$E$15+1,1))</f>
        <v>478.11504516179713</v>
      </c>
      <c r="EP113" s="60">
        <f t="shared" si="100"/>
        <v>249.93713224442419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0</v>
      </c>
      <c r="EW113" s="23">
        <f>EXP(-LN(2)/25)*EW112+(1-EXP(-LN(2)/25))/(LN(2)/25)*Calculateur!ER113*Calculateur!ET113*VLOOKUP('Données projet'!$B$15,Paramètres!$A$1:$I$89,3,0)*0.475*44/12</f>
        <v>0</v>
      </c>
      <c r="EX113" s="23">
        <f>EXP(-LN(2)/2)*EX112+(1-EXP(-LN(2)/2))/(LN(2)/2)*ER113*EU113*VLOOKUP('Données projet'!$B$15,Paramètres!$A$1:$I$89,3,0)*0.475*44/12</f>
        <v>0</v>
      </c>
      <c r="EY113" s="24">
        <f t="shared" si="75"/>
        <v>0</v>
      </c>
      <c r="EZ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>
        <f>VLOOKUP(A113,'Données projet'!$A$217:$I$237,2,0)</f>
        <v>413</v>
      </c>
      <c r="FC113" s="13">
        <f>VLOOKUP(A113,'Données projet'!$A$217:$I$237,9,0)</f>
        <v>5.2</v>
      </c>
      <c r="FD113" s="13">
        <f t="array" ref="FD113">INDEX(FC:FC,MIN(IF(ISNUMBER(FC113:FC309),ROW(FC113:FC309),"")))</f>
        <v>5.2</v>
      </c>
      <c r="FE113" s="13">
        <f>IF('Données projet'!$A$218&gt;35,FE112+FD113-FM112,IF(A113&lt;'Données projet'!$A$218,$FB$205^A113,IF(A113='Données projet'!$A$218,'Données projet'!$B$218,FE112+FD113-FM112)))</f>
        <v>412.99999999999989</v>
      </c>
      <c r="FF113" s="18">
        <f>FE113*VLOOKUP('Données projet'!$B$16,Paramètres!$A$1:$I$89,3,0)*VLOOKUP('Données projet'!$B$16,Paramètres!$A$1:$I$89,5,0)</f>
        <v>399.45359999999994</v>
      </c>
      <c r="FG113" s="14">
        <f t="shared" si="101"/>
        <v>91.665882195424544</v>
      </c>
      <c r="FH113" s="22">
        <f t="shared" si="76"/>
        <v>855.36643149036433</v>
      </c>
      <c r="FI113" s="60">
        <f t="shared" si="77"/>
        <v>1135.3278204452101</v>
      </c>
      <c r="FJ113" s="60">
        <f ca="1">AVERAGE(OFFSET($FI$3,0,0,'Données projet'!$E$16+1,1))-AVERAGE(OFFSET($H$3,0,0,'Données projet'!$E$16+1,1))</f>
        <v>603.52431522262032</v>
      </c>
      <c r="FK113" s="60">
        <f t="shared" si="102"/>
        <v>313.56299786481338</v>
      </c>
      <c r="FL113" s="16">
        <f>IF(ISNA(VLOOKUP(A113,'Données projet'!$A$217:$I$237,3,0)),0,VLOOKUP(A113,'Données projet'!$A$217:$I$237,3,0))</f>
        <v>8</v>
      </c>
      <c r="FM113" s="16">
        <f>IF(ISNA(VLOOKUP(A113,'Données projet'!$A$217:$I$237,4,0)),0,VLOOKUP(A113,'Données projet'!$A$217:$I$237,4,0))</f>
        <v>106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>
        <f>EXP(-LN(2)/35)*FQ112+(1-EXP(-LN(2)/35))/(LN(2)/35)*FM113*FN113*VLOOKUP('Données projet'!$B$16,Paramètres!$A$1:$I$89,3,0)*0.475*44/12</f>
        <v>0</v>
      </c>
      <c r="FR113" s="23">
        <f>EXP(-LN(2)/25)*FR112+(1-EXP(-LN(2)/25))/(LN(2)/25)*Calculateur!FM113*Calculateur!FO113*VLOOKUP('Données projet'!$B$16,Paramètres!$A$1:$I$89,3,0)*0.475*44/12</f>
        <v>0</v>
      </c>
      <c r="FS113" s="23">
        <f>EXP(-LN(2)/2)*FS112+(1-EXP(-LN(2)/2))/(LN(2)/2)*FM113*FP113*VLOOKUP('Données projet'!$B$16,Paramètres!$A$1:$I$89,3,0)*0.475*44/12</f>
        <v>0</v>
      </c>
      <c r="FT113" s="24">
        <f t="shared" si="78"/>
        <v>0</v>
      </c>
      <c r="FU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>
        <f>VLOOKUP(A113,'Données projet'!$A$243:$I$263,2,0)</f>
        <v>366.66666666666663</v>
      </c>
      <c r="FX113" s="13">
        <f>VLOOKUP(A113,'Données projet'!$A$243:$I$263,9,0)</f>
        <v>3.6538461538461489</v>
      </c>
      <c r="FY113" s="13">
        <f t="array" ref="FY113">INDEX(FX:FX,MIN(IF(ISNUMBER(FX113:FX309),ROW(FX113:FX309),"")))</f>
        <v>3.6538461538461489</v>
      </c>
      <c r="FZ113" s="13">
        <f>IF('Données projet'!$A$244&gt;35,FZ112+FY113-GH112,IF(A113&lt;'Données projet'!$A$244,$FW$205^A113,IF(A113='Données projet'!$A$244,'Données projet'!$B$244,FZ112+FY113-GH112)))</f>
        <v>366.66666666666663</v>
      </c>
      <c r="GA113" s="18">
        <f>FZ113*VLOOKUP('Données projet'!$B$17,Paramètres!$A$1:$I$89,3,0)*VLOOKUP('Données projet'!$B$17,Paramètres!$A$1:$I$89,5,0)</f>
        <v>245.95999999999998</v>
      </c>
      <c r="GB113" s="14">
        <f t="shared" si="103"/>
        <v>59.7200170799197</v>
      </c>
      <c r="GC113" s="22">
        <f t="shared" si="79"/>
        <v>532.39269641419344</v>
      </c>
      <c r="GD113" s="60">
        <f t="shared" si="80"/>
        <v>812.35408536903924</v>
      </c>
      <c r="GE113" s="60">
        <f ca="1">AVERAGE(OFFSET($GD$3,0,0,'Données projet'!$E$17+1,1))-AVERAGE(OFFSET($H$3,0,0,'Données projet'!$E$17+1,1))</f>
        <v>396.0878652679051</v>
      </c>
      <c r="GF113" s="60">
        <f t="shared" si="104"/>
        <v>327.26339199235406</v>
      </c>
      <c r="GG113" s="16">
        <f>IF(ISNA(VLOOKUP(A113,'Données projet'!$A$243:$I$263,3,0)),0,VLOOKUP(A113,'Données projet'!$A$243:$I$263,3,0))</f>
        <v>10</v>
      </c>
      <c r="GH113" s="16">
        <f>IF(ISNA(VLOOKUP(A113,'Données projet'!$A$243:$I$263,4,0)),0,VLOOKUP(A113,'Données projet'!$A$243:$I$263,4,0))</f>
        <v>366.66666666666663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>
        <f>EXP(-LN(2)/35)*GL112+(1-EXP(-LN(2)/35))/(LN(2)/35)*GH113*GI113*VLOOKUP('Données projet'!$B$17,Paramètres!$A$1:$I$89,3,0)*0.475*44/12</f>
        <v>0</v>
      </c>
      <c r="GM113" s="23">
        <f>EXP(-LN(2)/25)*GM112+(1-EXP(-LN(2)/25))/(LN(2)/25)*Calculateur!GH113*Calculateur!GJ113*VLOOKUP('Données projet'!$B$17,Paramètres!$A$1:$I$89,3,0)*0.475*44/12</f>
        <v>0</v>
      </c>
      <c r="GN113" s="23">
        <f>EXP(-LN(2)/2)*GN112+(1-EXP(-LN(2)/2))/(LN(2)/2)*GH113*GK113*VLOOKUP('Données projet'!$B$17,Paramètres!$A$1:$I$89,3,0)*0.475*44/12</f>
        <v>0</v>
      </c>
      <c r="GO113" s="23">
        <f t="shared" si="81"/>
        <v>0</v>
      </c>
      <c r="GP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-1.1368683772161603E-13</v>
      </c>
      <c r="GV113" s="18">
        <f>GU113*VLOOKUP('Données projet'!$B$18,Paramètres!$A$1:$I$89,3,0)*VLOOKUP('Données projet'!$B$18,Paramètres!$A$1:$I$89,5,0)</f>
        <v>-9.2222762759774927E-14</v>
      </c>
      <c r="GW113" s="14" t="e">
        <f t="shared" si="105"/>
        <v>#NUM!</v>
      </c>
      <c r="GX113" s="22" t="e">
        <f t="shared" si="82"/>
        <v>#NUM!</v>
      </c>
      <c r="GY113" s="60" t="e">
        <f t="shared" si="83"/>
        <v>#NUM!</v>
      </c>
      <c r="GZ113" s="60">
        <f ca="1">AVERAGE(OFFSET($GY$3,0,0,'Données projet'!$E$18+1,1))-AVERAGE(OFFSET($H$3,0,0,'Données projet'!$E$18+1,1))</f>
        <v>272.69564942740931</v>
      </c>
      <c r="HA113" s="60">
        <f t="shared" si="106"/>
        <v>316.57989180609252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>
        <f>EXP(-LN(2)/35)*HG112+(1-EXP(-LN(2)/35))/(LN(2)/35)*HC113*HD113*VLOOKUP('Données projet'!$B$18,Paramètres!$A$1:$I$89,3,0)*0.475*44/12</f>
        <v>0</v>
      </c>
      <c r="HH113" s="23">
        <f>EXP(-LN(2)/25)*HH112+(1-EXP(-LN(2)/25))/(LN(2)/25)*Calculateur!HC113*Calculateur!HE113*VLOOKUP('Données projet'!$B$18,Paramètres!$A$1:$I$89,3,0)*0.475*44/12</f>
        <v>0</v>
      </c>
      <c r="HI113" s="23">
        <f>EXP(-LN(2)/2)*HI112+(1-EXP(-LN(2)/2))/(LN(2)/2)*HC113*HF113*VLOOKUP('Données projet'!$B$18,Paramètres!$A$1:$I$89,3,0)*0.475*44/12</f>
        <v>0</v>
      </c>
      <c r="HJ113" s="24">
        <f t="shared" si="84"/>
        <v>0</v>
      </c>
    </row>
    <row r="114" spans="1:218" s="5" customFormat="1" x14ac:dyDescent="0.25">
      <c r="A114" s="11">
        <f t="shared" si="85"/>
        <v>111</v>
      </c>
      <c r="B114" s="75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8">
        <f t="shared" si="56"/>
        <v>183.33333333333334</v>
      </c>
      <c r="I114" s="7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4.5</v>
      </c>
      <c r="N114" s="14">
        <f>IF('Données projet'!$A$36&gt;35,N113+M114-V113,IF(A114&lt;'Données projet'!$A$36,$K$205^A114,IF(A114='Données projet'!$A$36,'Données projet'!$B$36,N113+M114-V113)))</f>
        <v>311.49999999999989</v>
      </c>
      <c r="O114" s="14">
        <f>N114*VLOOKUP('Données projet'!$B$9,Paramètres!$A$1:$I$89,3,0)*VLOOKUP('Données projet'!$B$9,Paramètres!$A$1:$I$89,5,0)</f>
        <v>281.84519999999992</v>
      </c>
      <c r="P114" s="14">
        <f t="shared" si="87"/>
        <v>67.356803491560484</v>
      </c>
      <c r="Q114" s="22">
        <f t="shared" si="107"/>
        <v>608.19348941446765</v>
      </c>
      <c r="R114" s="60">
        <f t="shared" si="55"/>
        <v>888.38685170909116</v>
      </c>
      <c r="S114" s="60">
        <f ca="1">AVERAGE(OFFSET($R$3,0,0,'Données projet'!$E$9+1,1))-AVERAGE(OFFSET($H$3,0,0,'Données projet'!$E$9+1,1))</f>
        <v>570.08763950759544</v>
      </c>
      <c r="T114" s="60">
        <f t="shared" si="88"/>
        <v>297.32483725004136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-5.6843418860808015E-14</v>
      </c>
      <c r="AJ114" s="14">
        <f>AI114*VLOOKUP('Données projet'!$B$10,Paramètres!$A$1:$I$89,3,0)*VLOOKUP('Données projet'!$B$10,Paramètres!$A$1:$I$89,5,0)</f>
        <v>-4.5224624045658861E-14</v>
      </c>
      <c r="AK114" s="14" t="e">
        <f t="shared" si="89"/>
        <v>#NUM!</v>
      </c>
      <c r="AL114" s="22" t="e">
        <f t="shared" si="58"/>
        <v>#NUM!</v>
      </c>
      <c r="AM114" s="60" t="e">
        <f t="shared" si="59"/>
        <v>#NUM!</v>
      </c>
      <c r="AN114" s="60">
        <f ca="1">AVERAGE(OFFSET($AM$3,0,0,'Données projet'!$E$10+1,1))-AVERAGE(OFFSET($H$3,0,0,'Données projet'!$E$10+1,1))</f>
        <v>394.49874384716014</v>
      </c>
      <c r="AO114" s="60">
        <f t="shared" si="90"/>
        <v>423.72519584013378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3.4106051316484809E-13</v>
      </c>
      <c r="BE114" s="14">
        <f>BD114*VLOOKUP('Données projet'!$B$11,Paramètres!$A$1:$I$89,3,0)*VLOOKUP('Données projet'!$B$11,Paramètres!$A$1:$I$89,5,0)</f>
        <v>2.9795046430081134E-13</v>
      </c>
      <c r="BF114" s="14">
        <f t="shared" si="91"/>
        <v>3.9419014464513778E-12</v>
      </c>
      <c r="BG114" s="22">
        <f t="shared" si="61"/>
        <v>7.384408744560063E-12</v>
      </c>
      <c r="BH114" s="60">
        <f t="shared" si="62"/>
        <v>280.19336229463096</v>
      </c>
      <c r="BI114" s="60">
        <f ca="1">AVERAGE(OFFSET($BH$3,0,0,'Données projet'!$E$11+1,1))-AVERAGE(OFFSET($H$3,0,0,'Données projet'!$E$11+1,1))</f>
        <v>363.28611056308665</v>
      </c>
      <c r="BJ114" s="60">
        <f t="shared" si="92"/>
        <v>389.43647559455974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3.141025641025641</v>
      </c>
      <c r="BY114" s="13">
        <f>IF('Données projet'!$A$114&gt;35,BY113+BX114-CG113,IF(A114&lt;'Données projet'!$A$114,$BV$205^A114,IF(A114='Données projet'!$A$114,'Données projet'!$B$114,BY113+BX114-CG113)))</f>
        <v>257.62820512820525</v>
      </c>
      <c r="BZ114" s="14">
        <f>BY114*VLOOKUP('Données projet'!$B$12,Paramètres!$A$1:$I$89,3,0)*VLOOKUP('Données projet'!$B$12,Paramètres!$A$1:$I$89,5,0)</f>
        <v>245.15900000000013</v>
      </c>
      <c r="CA114" s="14">
        <f t="shared" si="93"/>
        <v>59.548136793550292</v>
      </c>
      <c r="CB114" s="22">
        <f t="shared" si="64"/>
        <v>530.69826324876692</v>
      </c>
      <c r="CC114" s="60">
        <f t="shared" si="65"/>
        <v>810.89162554339055</v>
      </c>
      <c r="CD114" s="60">
        <f ca="1">AVERAGE(OFFSET($CC$3,0,0,'Données projet'!$E$12+1,1))-AVERAGE(OFFSET($H$3,0,0,'Données projet'!$E$12+1,1))</f>
        <v>441.15969139782891</v>
      </c>
      <c r="CE114" s="60">
        <f t="shared" si="94"/>
        <v>315.06466790224783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-5.6843418860808015E-14</v>
      </c>
      <c r="CU114" s="18">
        <f>CT114*VLOOKUP('Données projet'!$B$13,Paramètres!$A$1:$I$89,3,0)*VLOOKUP('Données projet'!$B$13,Paramètres!$A$1:$I$89,5,0)</f>
        <v>-4.1677594708744434E-14</v>
      </c>
      <c r="CV114" s="14" t="e">
        <f t="shared" si="95"/>
        <v>#NUM!</v>
      </c>
      <c r="CW114" s="22" t="e">
        <f t="shared" si="67"/>
        <v>#NUM!</v>
      </c>
      <c r="CX114" s="60" t="e">
        <f t="shared" si="68"/>
        <v>#NUM!</v>
      </c>
      <c r="CY114" s="60">
        <f ca="1">AVERAGE(OFFSET($CX$3,0,0,'Données projet'!$E$13+1,1))-AVERAGE(OFFSET($H$3,0,0,'Données projet'!$E$13+1,1))</f>
        <v>368.35775920359396</v>
      </c>
      <c r="CZ114" s="60">
        <f t="shared" si="96"/>
        <v>395.5218438652638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1.1368683772161603E-13</v>
      </c>
      <c r="DP114" s="18">
        <f>DO114*VLOOKUP('Données projet'!$B$14,Paramètres!$A$1:$I$89,3,0)*VLOOKUP('Données projet'!$B$14,Paramètres!$A$1:$I$89,5,0)</f>
        <v>8.8675733422860506E-14</v>
      </c>
      <c r="DQ114" s="14">
        <f t="shared" si="97"/>
        <v>1.3509285393066301E-12</v>
      </c>
      <c r="DR114" s="22">
        <f t="shared" si="70"/>
        <v>2.5073107750038623E-12</v>
      </c>
      <c r="DS114" s="60">
        <f t="shared" si="71"/>
        <v>280.19336229462607</v>
      </c>
      <c r="DT114" s="60">
        <f ca="1">AVERAGE(OFFSET($DS$3,0,0,'Données projet'!$E$14+1,1))-AVERAGE(OFFSET($H$3,0,0,'Données projet'!$E$14+1,1))</f>
        <v>312.59632808777332</v>
      </c>
      <c r="DU114" s="60">
        <f t="shared" si="98"/>
        <v>302.59481222418219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0</v>
      </c>
      <c r="EE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-1.1368683772161603E-13</v>
      </c>
      <c r="EK114" s="18">
        <f>EJ114*VLOOKUP('Données projet'!$B$15,Paramètres!$A$1:$I$89,3,0)*VLOOKUP('Données projet'!$B$15,Paramètres!$A$1:$I$89,5,0)</f>
        <v>-9.7543306765146564E-14</v>
      </c>
      <c r="EL114" s="14" t="e">
        <f t="shared" si="99"/>
        <v>#NUM!</v>
      </c>
      <c r="EM114" s="22" t="e">
        <f t="shared" si="73"/>
        <v>#NUM!</v>
      </c>
      <c r="EN114" s="60" t="e">
        <f t="shared" si="74"/>
        <v>#NUM!</v>
      </c>
      <c r="EO114" s="60">
        <f ca="1">AVERAGE(OFFSET($EN$3,0,0,'Données projet'!$E$15+1,1))-AVERAGE(OFFSET($H$3,0,0,'Données projet'!$E$15+1,1))</f>
        <v>478.11504516179713</v>
      </c>
      <c r="EP114" s="60">
        <f t="shared" si="100"/>
        <v>249.93713224442419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0</v>
      </c>
      <c r="EW114" s="23">
        <f>EXP(-LN(2)/25)*EW113+(1-EXP(-LN(2)/25))/(LN(2)/25)*Calculateur!ER114*Calculateur!ET114*VLOOKUP('Données projet'!$B$15,Paramètres!$A$1:$I$89,3,0)*0.475*44/12</f>
        <v>0</v>
      </c>
      <c r="EX114" s="23">
        <f>EXP(-LN(2)/2)*EX113+(1-EXP(-LN(2)/2))/(LN(2)/2)*ER114*EU114*VLOOKUP('Données projet'!$B$15,Paramètres!$A$1:$I$89,3,0)*0.475*44/12</f>
        <v>0</v>
      </c>
      <c r="EY114" s="24">
        <f t="shared" si="75"/>
        <v>0</v>
      </c>
      <c r="EZ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4.5</v>
      </c>
      <c r="FE114" s="13">
        <f>IF('Données projet'!$A$218&gt;35,FE113+FD114-FM113,IF(A114&lt;'Données projet'!$A$218,$FB$205^A114,IF(A114='Données projet'!$A$218,'Données projet'!$B$218,FE113+FD114-FM113)))</f>
        <v>311.49999999999989</v>
      </c>
      <c r="FF114" s="18">
        <f>FE114*VLOOKUP('Données projet'!$B$16,Paramètres!$A$1:$I$89,3,0)*VLOOKUP('Données projet'!$B$16,Paramètres!$A$1:$I$89,5,0)</f>
        <v>301.2827999999999</v>
      </c>
      <c r="FG114" s="14">
        <f t="shared" si="101"/>
        <v>71.445320809508729</v>
      </c>
      <c r="FH114" s="22">
        <f t="shared" si="76"/>
        <v>649.16814374322746</v>
      </c>
      <c r="FI114" s="60">
        <f t="shared" si="77"/>
        <v>929.36150603785109</v>
      </c>
      <c r="FJ114" s="60">
        <f ca="1">AVERAGE(OFFSET($FI$3,0,0,'Données projet'!$E$16+1,1))-AVERAGE(OFFSET($H$3,0,0,'Données projet'!$E$16+1,1))</f>
        <v>603.52431522262032</v>
      </c>
      <c r="FK114" s="60">
        <f t="shared" si="102"/>
        <v>313.56299786481338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>
        <f>EXP(-LN(2)/35)*FQ113+(1-EXP(-LN(2)/35))/(LN(2)/35)*FM114*FN114*VLOOKUP('Données projet'!$B$16,Paramètres!$A$1:$I$89,3,0)*0.475*44/12</f>
        <v>0</v>
      </c>
      <c r="FR114" s="23">
        <f>EXP(-LN(2)/25)*FR113+(1-EXP(-LN(2)/25))/(LN(2)/25)*Calculateur!FM114*Calculateur!FO114*VLOOKUP('Données projet'!$B$16,Paramètres!$A$1:$I$89,3,0)*0.475*44/12</f>
        <v>0</v>
      </c>
      <c r="FS114" s="23">
        <f>EXP(-LN(2)/2)*FS113+(1-EXP(-LN(2)/2))/(LN(2)/2)*FM114*FP114*VLOOKUP('Données projet'!$B$16,Paramètres!$A$1:$I$89,3,0)*0.475*44/12</f>
        <v>0</v>
      </c>
      <c r="FT114" s="24">
        <f t="shared" si="78"/>
        <v>0</v>
      </c>
      <c r="FU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>
        <f>FZ114*VLOOKUP('Données projet'!$B$17,Paramètres!$A$1:$I$89,3,0)*VLOOKUP('Données projet'!$B$17,Paramètres!$A$1:$I$89,5,0)</f>
        <v>0</v>
      </c>
      <c r="GB114" s="14" t="e">
        <f t="shared" si="103"/>
        <v>#NUM!</v>
      </c>
      <c r="GC114" s="22" t="e">
        <f t="shared" si="79"/>
        <v>#NUM!</v>
      </c>
      <c r="GD114" s="60" t="e">
        <f t="shared" si="80"/>
        <v>#NUM!</v>
      </c>
      <c r="GE114" s="60">
        <f ca="1">AVERAGE(OFFSET($GD$3,0,0,'Données projet'!$E$17+1,1))-AVERAGE(OFFSET($H$3,0,0,'Données projet'!$E$17+1,1))</f>
        <v>396.0878652679051</v>
      </c>
      <c r="GF114" s="60">
        <f t="shared" si="104"/>
        <v>327.26339199235406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>
        <f>EXP(-LN(2)/35)*GL113+(1-EXP(-LN(2)/35))/(LN(2)/35)*GH114*GI114*VLOOKUP('Données projet'!$B$17,Paramètres!$A$1:$I$89,3,0)*0.475*44/12</f>
        <v>0</v>
      </c>
      <c r="GM114" s="23">
        <f>EXP(-LN(2)/25)*GM113+(1-EXP(-LN(2)/25))/(LN(2)/25)*Calculateur!GH114*Calculateur!GJ114*VLOOKUP('Données projet'!$B$17,Paramètres!$A$1:$I$89,3,0)*0.475*44/12</f>
        <v>0</v>
      </c>
      <c r="GN114" s="23">
        <f>EXP(-LN(2)/2)*GN113+(1-EXP(-LN(2)/2))/(LN(2)/2)*GH114*GK114*VLOOKUP('Données projet'!$B$17,Paramètres!$A$1:$I$89,3,0)*0.475*44/12</f>
        <v>0</v>
      </c>
      <c r="GO114" s="23">
        <f t="shared" si="81"/>
        <v>0</v>
      </c>
      <c r="GP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-1.1368683772161603E-13</v>
      </c>
      <c r="GV114" s="18">
        <f>GU114*VLOOKUP('Données projet'!$B$18,Paramètres!$A$1:$I$89,3,0)*VLOOKUP('Données projet'!$B$18,Paramètres!$A$1:$I$89,5,0)</f>
        <v>-9.2222762759774927E-14</v>
      </c>
      <c r="GW114" s="14" t="e">
        <f t="shared" si="105"/>
        <v>#NUM!</v>
      </c>
      <c r="GX114" s="22" t="e">
        <f t="shared" si="82"/>
        <v>#NUM!</v>
      </c>
      <c r="GY114" s="60" t="e">
        <f t="shared" si="83"/>
        <v>#NUM!</v>
      </c>
      <c r="GZ114" s="60">
        <f ca="1">AVERAGE(OFFSET($GY$3,0,0,'Données projet'!$E$18+1,1))-AVERAGE(OFFSET($H$3,0,0,'Données projet'!$E$18+1,1))</f>
        <v>272.69564942740931</v>
      </c>
      <c r="HA114" s="60">
        <f t="shared" si="106"/>
        <v>316.57989180609252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>
        <f>EXP(-LN(2)/35)*HG113+(1-EXP(-LN(2)/35))/(LN(2)/35)*HC114*HD114*VLOOKUP('Données projet'!$B$18,Paramètres!$A$1:$I$89,3,0)*0.475*44/12</f>
        <v>0</v>
      </c>
      <c r="HH114" s="23">
        <f>EXP(-LN(2)/25)*HH113+(1-EXP(-LN(2)/25))/(LN(2)/25)*Calculateur!HC114*Calculateur!HE114*VLOOKUP('Données projet'!$B$18,Paramètres!$A$1:$I$89,3,0)*0.475*44/12</f>
        <v>0</v>
      </c>
      <c r="HI114" s="23">
        <f>EXP(-LN(2)/2)*HI113+(1-EXP(-LN(2)/2))/(LN(2)/2)*HC114*HF114*VLOOKUP('Données projet'!$B$18,Paramètres!$A$1:$I$89,3,0)*0.475*44/12</f>
        <v>0</v>
      </c>
      <c r="HJ114" s="24">
        <f t="shared" si="84"/>
        <v>0</v>
      </c>
    </row>
    <row r="115" spans="1:218" s="5" customFormat="1" x14ac:dyDescent="0.25">
      <c r="A115" s="11">
        <f t="shared" si="85"/>
        <v>112</v>
      </c>
      <c r="B115" s="75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8">
        <f t="shared" si="56"/>
        <v>183.33333333333334</v>
      </c>
      <c r="I115" s="7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4.5</v>
      </c>
      <c r="N115" s="14">
        <f>IF('Données projet'!$A$36&gt;35,N114+M115-V114,IF(A115&lt;'Données projet'!$A$36,$K$205^A115,IF(A115='Données projet'!$A$36,'Données projet'!$B$36,N114+M115-V114)))</f>
        <v>315.99999999999989</v>
      </c>
      <c r="O115" s="14">
        <f>N115*VLOOKUP('Données projet'!$B$9,Paramètres!$A$1:$I$89,3,0)*VLOOKUP('Données projet'!$B$9,Paramètres!$A$1:$I$89,5,0)</f>
        <v>285.91679999999985</v>
      </c>
      <c r="P115" s="14">
        <f t="shared" si="87"/>
        <v>68.215872977287475</v>
      </c>
      <c r="Q115" s="22">
        <f t="shared" si="107"/>
        <v>616.78107210210862</v>
      </c>
      <c r="R115" s="60">
        <f t="shared" si="55"/>
        <v>897.20238351767944</v>
      </c>
      <c r="S115" s="60">
        <f ca="1">AVERAGE(OFFSET($R$3,0,0,'Données projet'!$E$9+1,1))-AVERAGE(OFFSET($H$3,0,0,'Données projet'!$E$9+1,1))</f>
        <v>570.08763950759544</v>
      </c>
      <c r="T115" s="60">
        <f t="shared" si="88"/>
        <v>297.32483725004136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-5.6843418860808015E-14</v>
      </c>
      <c r="AJ115" s="14">
        <f>AI115*VLOOKUP('Données projet'!$B$10,Paramètres!$A$1:$I$89,3,0)*VLOOKUP('Données projet'!$B$10,Paramètres!$A$1:$I$89,5,0)</f>
        <v>-4.5224624045658861E-14</v>
      </c>
      <c r="AK115" s="14" t="e">
        <f t="shared" si="89"/>
        <v>#NUM!</v>
      </c>
      <c r="AL115" s="22" t="e">
        <f t="shared" si="58"/>
        <v>#NUM!</v>
      </c>
      <c r="AM115" s="60" t="e">
        <f t="shared" si="59"/>
        <v>#NUM!</v>
      </c>
      <c r="AN115" s="60">
        <f ca="1">AVERAGE(OFFSET($AM$3,0,0,'Données projet'!$E$10+1,1))-AVERAGE(OFFSET($H$3,0,0,'Données projet'!$E$10+1,1))</f>
        <v>394.49874384716014</v>
      </c>
      <c r="AO115" s="60">
        <f t="shared" si="90"/>
        <v>423.72519584013378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3.4106051316484809E-13</v>
      </c>
      <c r="BE115" s="14">
        <f>BD115*VLOOKUP('Données projet'!$B$11,Paramètres!$A$1:$I$89,3,0)*VLOOKUP('Données projet'!$B$11,Paramètres!$A$1:$I$89,5,0)</f>
        <v>2.9795046430081134E-13</v>
      </c>
      <c r="BF115" s="14">
        <f t="shared" si="91"/>
        <v>3.9419014464513778E-12</v>
      </c>
      <c r="BG115" s="22">
        <f t="shared" si="61"/>
        <v>7.384408744560063E-12</v>
      </c>
      <c r="BH115" s="60">
        <f t="shared" si="62"/>
        <v>280.42131141557826</v>
      </c>
      <c r="BI115" s="60">
        <f ca="1">AVERAGE(OFFSET($BH$3,0,0,'Données projet'!$E$11+1,1))-AVERAGE(OFFSET($H$3,0,0,'Données projet'!$E$11+1,1))</f>
        <v>363.28611056308665</v>
      </c>
      <c r="BJ115" s="60">
        <f t="shared" si="92"/>
        <v>389.43647559455974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3.141025641025641</v>
      </c>
      <c r="BY115" s="13">
        <f>IF('Données projet'!$A$114&gt;35,BY114+BX115-CG114,IF(A115&lt;'Données projet'!$A$114,$BV$205^A115,IF(A115='Données projet'!$A$114,'Données projet'!$B$114,BY114+BX115-CG114)))</f>
        <v>260.76923076923089</v>
      </c>
      <c r="BZ115" s="14">
        <f>BY115*VLOOKUP('Données projet'!$B$12,Paramètres!$A$1:$I$89,3,0)*VLOOKUP('Données projet'!$B$12,Paramètres!$A$1:$I$89,5,0)</f>
        <v>248.14800000000011</v>
      </c>
      <c r="CA115" s="14">
        <f t="shared" si="93"/>
        <v>60.189191470108021</v>
      </c>
      <c r="CB115" s="22">
        <f t="shared" si="64"/>
        <v>537.02060847710493</v>
      </c>
      <c r="CC115" s="60">
        <f t="shared" si="65"/>
        <v>817.44191989267574</v>
      </c>
      <c r="CD115" s="60">
        <f ca="1">AVERAGE(OFFSET($CC$3,0,0,'Données projet'!$E$12+1,1))-AVERAGE(OFFSET($H$3,0,0,'Données projet'!$E$12+1,1))</f>
        <v>441.15969139782891</v>
      </c>
      <c r="CE115" s="60">
        <f t="shared" si="94"/>
        <v>315.06466790224783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-5.6843418860808015E-14</v>
      </c>
      <c r="CU115" s="18">
        <f>CT115*VLOOKUP('Données projet'!$B$13,Paramètres!$A$1:$I$89,3,0)*VLOOKUP('Données projet'!$B$13,Paramètres!$A$1:$I$89,5,0)</f>
        <v>-4.1677594708744434E-14</v>
      </c>
      <c r="CV115" s="14" t="e">
        <f t="shared" si="95"/>
        <v>#NUM!</v>
      </c>
      <c r="CW115" s="22" t="e">
        <f t="shared" si="67"/>
        <v>#NUM!</v>
      </c>
      <c r="CX115" s="60" t="e">
        <f t="shared" si="68"/>
        <v>#NUM!</v>
      </c>
      <c r="CY115" s="60">
        <f ca="1">AVERAGE(OFFSET($CX$3,0,0,'Données projet'!$E$13+1,1))-AVERAGE(OFFSET($H$3,0,0,'Données projet'!$E$13+1,1))</f>
        <v>368.35775920359396</v>
      </c>
      <c r="CZ115" s="60">
        <f t="shared" si="96"/>
        <v>395.5218438652638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1.1368683772161603E-13</v>
      </c>
      <c r="DP115" s="18">
        <f>DO115*VLOOKUP('Données projet'!$B$14,Paramètres!$A$1:$I$89,3,0)*VLOOKUP('Données projet'!$B$14,Paramètres!$A$1:$I$89,5,0)</f>
        <v>8.8675733422860506E-14</v>
      </c>
      <c r="DQ115" s="14">
        <f t="shared" si="97"/>
        <v>1.3509285393066301E-12</v>
      </c>
      <c r="DR115" s="22">
        <f t="shared" si="70"/>
        <v>2.5073107750038623E-12</v>
      </c>
      <c r="DS115" s="60">
        <f t="shared" si="71"/>
        <v>280.42131141557337</v>
      </c>
      <c r="DT115" s="60">
        <f ca="1">AVERAGE(OFFSET($DS$3,0,0,'Données projet'!$E$14+1,1))-AVERAGE(OFFSET($H$3,0,0,'Données projet'!$E$14+1,1))</f>
        <v>312.59632808777332</v>
      </c>
      <c r="DU115" s="60">
        <f t="shared" si="98"/>
        <v>302.59481222418219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0</v>
      </c>
      <c r="EE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-1.1368683772161603E-13</v>
      </c>
      <c r="EK115" s="18">
        <f>EJ115*VLOOKUP('Données projet'!$B$15,Paramètres!$A$1:$I$89,3,0)*VLOOKUP('Données projet'!$B$15,Paramètres!$A$1:$I$89,5,0)</f>
        <v>-9.7543306765146564E-14</v>
      </c>
      <c r="EL115" s="14" t="e">
        <f t="shared" si="99"/>
        <v>#NUM!</v>
      </c>
      <c r="EM115" s="22" t="e">
        <f t="shared" si="73"/>
        <v>#NUM!</v>
      </c>
      <c r="EN115" s="60" t="e">
        <f t="shared" si="74"/>
        <v>#NUM!</v>
      </c>
      <c r="EO115" s="60">
        <f ca="1">AVERAGE(OFFSET($EN$3,0,0,'Données projet'!$E$15+1,1))-AVERAGE(OFFSET($H$3,0,0,'Données projet'!$E$15+1,1))</f>
        <v>478.11504516179713</v>
      </c>
      <c r="EP115" s="60">
        <f t="shared" si="100"/>
        <v>249.93713224442419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0</v>
      </c>
      <c r="EW115" s="23">
        <f>EXP(-LN(2)/25)*EW114+(1-EXP(-LN(2)/25))/(LN(2)/25)*Calculateur!ER115*Calculateur!ET115*VLOOKUP('Données projet'!$B$15,Paramètres!$A$1:$I$89,3,0)*0.475*44/12</f>
        <v>0</v>
      </c>
      <c r="EX115" s="23">
        <f>EXP(-LN(2)/2)*EX114+(1-EXP(-LN(2)/2))/(LN(2)/2)*ER115*EU115*VLOOKUP('Données projet'!$B$15,Paramètres!$A$1:$I$89,3,0)*0.475*44/12</f>
        <v>0</v>
      </c>
      <c r="EY115" s="24">
        <f t="shared" si="75"/>
        <v>0</v>
      </c>
      <c r="EZ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4.5</v>
      </c>
      <c r="FE115" s="13">
        <f>IF('Données projet'!$A$218&gt;35,FE114+FD115-FM114,IF(A115&lt;'Données projet'!$A$218,$FB$205^A115,IF(A115='Données projet'!$A$218,'Données projet'!$B$218,FE114+FD115-FM114)))</f>
        <v>315.99999999999989</v>
      </c>
      <c r="FF115" s="18">
        <f>FE115*VLOOKUP('Données projet'!$B$16,Paramètres!$A$1:$I$89,3,0)*VLOOKUP('Données projet'!$B$16,Paramètres!$A$1:$I$89,5,0)</f>
        <v>305.63519999999988</v>
      </c>
      <c r="FG115" s="14">
        <f t="shared" si="101"/>
        <v>72.356535294517812</v>
      </c>
      <c r="FH115" s="22">
        <f t="shared" si="76"/>
        <v>658.33560563795163</v>
      </c>
      <c r="FI115" s="60">
        <f t="shared" si="77"/>
        <v>938.75691705352256</v>
      </c>
      <c r="FJ115" s="60">
        <f ca="1">AVERAGE(OFFSET($FI$3,0,0,'Données projet'!$E$16+1,1))-AVERAGE(OFFSET($H$3,0,0,'Données projet'!$E$16+1,1))</f>
        <v>603.52431522262032</v>
      </c>
      <c r="FK115" s="60">
        <f t="shared" si="102"/>
        <v>313.56299786481338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>
        <f>EXP(-LN(2)/35)*FQ114+(1-EXP(-LN(2)/35))/(LN(2)/35)*FM115*FN115*VLOOKUP('Données projet'!$B$16,Paramètres!$A$1:$I$89,3,0)*0.475*44/12</f>
        <v>0</v>
      </c>
      <c r="FR115" s="23">
        <f>EXP(-LN(2)/25)*FR114+(1-EXP(-LN(2)/25))/(LN(2)/25)*Calculateur!FM115*Calculateur!FO115*VLOOKUP('Données projet'!$B$16,Paramètres!$A$1:$I$89,3,0)*0.475*44/12</f>
        <v>0</v>
      </c>
      <c r="FS115" s="23">
        <f>EXP(-LN(2)/2)*FS114+(1-EXP(-LN(2)/2))/(LN(2)/2)*FM115*FP115*VLOOKUP('Données projet'!$B$16,Paramètres!$A$1:$I$89,3,0)*0.475*44/12</f>
        <v>0</v>
      </c>
      <c r="FT115" s="24">
        <f t="shared" si="78"/>
        <v>0</v>
      </c>
      <c r="FU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>
        <f>FZ115*VLOOKUP('Données projet'!$B$17,Paramètres!$A$1:$I$89,3,0)*VLOOKUP('Données projet'!$B$17,Paramètres!$A$1:$I$89,5,0)</f>
        <v>0</v>
      </c>
      <c r="GB115" s="14" t="e">
        <f t="shared" si="103"/>
        <v>#NUM!</v>
      </c>
      <c r="GC115" s="22" t="e">
        <f t="shared" si="79"/>
        <v>#NUM!</v>
      </c>
      <c r="GD115" s="60" t="e">
        <f t="shared" si="80"/>
        <v>#NUM!</v>
      </c>
      <c r="GE115" s="60">
        <f ca="1">AVERAGE(OFFSET($GD$3,0,0,'Données projet'!$E$17+1,1))-AVERAGE(OFFSET($H$3,0,0,'Données projet'!$E$17+1,1))</f>
        <v>396.0878652679051</v>
      </c>
      <c r="GF115" s="60">
        <f t="shared" si="104"/>
        <v>327.26339199235406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>
        <f>EXP(-LN(2)/35)*GL114+(1-EXP(-LN(2)/35))/(LN(2)/35)*GH115*GI115*VLOOKUP('Données projet'!$B$17,Paramètres!$A$1:$I$89,3,0)*0.475*44/12</f>
        <v>0</v>
      </c>
      <c r="GM115" s="23">
        <f>EXP(-LN(2)/25)*GM114+(1-EXP(-LN(2)/25))/(LN(2)/25)*Calculateur!GH115*Calculateur!GJ115*VLOOKUP('Données projet'!$B$17,Paramètres!$A$1:$I$89,3,0)*0.475*44/12</f>
        <v>0</v>
      </c>
      <c r="GN115" s="23">
        <f>EXP(-LN(2)/2)*GN114+(1-EXP(-LN(2)/2))/(LN(2)/2)*GH115*GK115*VLOOKUP('Données projet'!$B$17,Paramètres!$A$1:$I$89,3,0)*0.475*44/12</f>
        <v>0</v>
      </c>
      <c r="GO115" s="23">
        <f t="shared" si="81"/>
        <v>0</v>
      </c>
      <c r="GP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-1.1368683772161603E-13</v>
      </c>
      <c r="GV115" s="18">
        <f>GU115*VLOOKUP('Données projet'!$B$18,Paramètres!$A$1:$I$89,3,0)*VLOOKUP('Données projet'!$B$18,Paramètres!$A$1:$I$89,5,0)</f>
        <v>-9.2222762759774927E-14</v>
      </c>
      <c r="GW115" s="14" t="e">
        <f t="shared" si="105"/>
        <v>#NUM!</v>
      </c>
      <c r="GX115" s="22" t="e">
        <f t="shared" si="82"/>
        <v>#NUM!</v>
      </c>
      <c r="GY115" s="60" t="e">
        <f t="shared" si="83"/>
        <v>#NUM!</v>
      </c>
      <c r="GZ115" s="60">
        <f ca="1">AVERAGE(OFFSET($GY$3,0,0,'Données projet'!$E$18+1,1))-AVERAGE(OFFSET($H$3,0,0,'Données projet'!$E$18+1,1))</f>
        <v>272.69564942740931</v>
      </c>
      <c r="HA115" s="60">
        <f t="shared" si="106"/>
        <v>316.57989180609252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>
        <f>EXP(-LN(2)/35)*HG114+(1-EXP(-LN(2)/35))/(LN(2)/35)*HC115*HD115*VLOOKUP('Données projet'!$B$18,Paramètres!$A$1:$I$89,3,0)*0.475*44/12</f>
        <v>0</v>
      </c>
      <c r="HH115" s="23">
        <f>EXP(-LN(2)/25)*HH114+(1-EXP(-LN(2)/25))/(LN(2)/25)*Calculateur!HC115*Calculateur!HE115*VLOOKUP('Données projet'!$B$18,Paramètres!$A$1:$I$89,3,0)*0.475*44/12</f>
        <v>0</v>
      </c>
      <c r="HI115" s="23">
        <f>EXP(-LN(2)/2)*HI114+(1-EXP(-LN(2)/2))/(LN(2)/2)*HC115*HF115*VLOOKUP('Données projet'!$B$18,Paramètres!$A$1:$I$89,3,0)*0.475*44/12</f>
        <v>0</v>
      </c>
      <c r="HJ115" s="24">
        <f t="shared" si="84"/>
        <v>0</v>
      </c>
    </row>
    <row r="116" spans="1:218" s="5" customFormat="1" x14ac:dyDescent="0.25">
      <c r="A116" s="11">
        <f t="shared" si="85"/>
        <v>113</v>
      </c>
      <c r="B116" s="75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8">
        <f t="shared" si="56"/>
        <v>183.33333333333334</v>
      </c>
      <c r="I116" s="7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4.5</v>
      </c>
      <c r="N116" s="14">
        <f>IF('Données projet'!$A$36&gt;35,N115+M116-V115,IF(A116&lt;'Données projet'!$A$36,$K$205^A116,IF(A116='Données projet'!$A$36,'Données projet'!$B$36,N115+M116-V115)))</f>
        <v>320.49999999999989</v>
      </c>
      <c r="O116" s="14">
        <f>N116*VLOOKUP('Données projet'!$B$9,Paramètres!$A$1:$I$89,3,0)*VLOOKUP('Données projet'!$B$9,Paramètres!$A$1:$I$89,5,0)</f>
        <v>289.9883999999999</v>
      </c>
      <c r="P116" s="14">
        <f t="shared" si="87"/>
        <v>69.073519602481525</v>
      </c>
      <c r="Q116" s="22">
        <f t="shared" si="107"/>
        <v>625.36617664098856</v>
      </c>
      <c r="R116" s="60">
        <f t="shared" si="55"/>
        <v>906.01148276987624</v>
      </c>
      <c r="S116" s="60">
        <f ca="1">AVERAGE(OFFSET($R$3,0,0,'Données projet'!$E$9+1,1))-AVERAGE(OFFSET($H$3,0,0,'Données projet'!$E$9+1,1))</f>
        <v>570.08763950759544</v>
      </c>
      <c r="T116" s="60">
        <f t="shared" si="88"/>
        <v>297.32483725004136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-5.6843418860808015E-14</v>
      </c>
      <c r="AJ116" s="14">
        <f>AI116*VLOOKUP('Données projet'!$B$10,Paramètres!$A$1:$I$89,3,0)*VLOOKUP('Données projet'!$B$10,Paramètres!$A$1:$I$89,5,0)</f>
        <v>-4.5224624045658861E-14</v>
      </c>
      <c r="AK116" s="14" t="e">
        <f t="shared" si="89"/>
        <v>#NUM!</v>
      </c>
      <c r="AL116" s="22" t="e">
        <f t="shared" si="58"/>
        <v>#NUM!</v>
      </c>
      <c r="AM116" s="60" t="e">
        <f t="shared" si="59"/>
        <v>#NUM!</v>
      </c>
      <c r="AN116" s="60">
        <f ca="1">AVERAGE(OFFSET($AM$3,0,0,'Données projet'!$E$10+1,1))-AVERAGE(OFFSET($H$3,0,0,'Données projet'!$E$10+1,1))</f>
        <v>394.49874384716014</v>
      </c>
      <c r="AO116" s="60">
        <f t="shared" si="90"/>
        <v>423.72519584013378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3.4106051316484809E-13</v>
      </c>
      <c r="BE116" s="14">
        <f>BD116*VLOOKUP('Données projet'!$B$11,Paramètres!$A$1:$I$89,3,0)*VLOOKUP('Données projet'!$B$11,Paramètres!$A$1:$I$89,5,0)</f>
        <v>2.9795046430081134E-13</v>
      </c>
      <c r="BF116" s="14">
        <f t="shared" si="91"/>
        <v>3.9419014464513778E-12</v>
      </c>
      <c r="BG116" s="22">
        <f t="shared" si="61"/>
        <v>7.384408744560063E-12</v>
      </c>
      <c r="BH116" s="60">
        <f t="shared" si="62"/>
        <v>280.64530612889502</v>
      </c>
      <c r="BI116" s="60">
        <f ca="1">AVERAGE(OFFSET($BH$3,0,0,'Données projet'!$E$11+1,1))-AVERAGE(OFFSET($H$3,0,0,'Données projet'!$E$11+1,1))</f>
        <v>363.28611056308665</v>
      </c>
      <c r="BJ116" s="60">
        <f t="shared" si="92"/>
        <v>389.43647559455974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3.141025641025641</v>
      </c>
      <c r="BY116" s="13">
        <f>IF('Données projet'!$A$114&gt;35,BY115+BX116-CG115,IF(A116&lt;'Données projet'!$A$114,$BV$205^A116,IF(A116='Données projet'!$A$114,'Données projet'!$B$114,BY115+BX116-CG115)))</f>
        <v>263.91025641025652</v>
      </c>
      <c r="BZ116" s="14">
        <f>BY116*VLOOKUP('Données projet'!$B$12,Paramètres!$A$1:$I$89,3,0)*VLOOKUP('Données projet'!$B$12,Paramètres!$A$1:$I$89,5,0)</f>
        <v>251.13700000000011</v>
      </c>
      <c r="CA116" s="14">
        <f t="shared" si="93"/>
        <v>60.82934795323235</v>
      </c>
      <c r="CB116" s="22">
        <f t="shared" si="64"/>
        <v>543.34138935187991</v>
      </c>
      <c r="CC116" s="60">
        <f t="shared" si="65"/>
        <v>823.98669548076759</v>
      </c>
      <c r="CD116" s="60">
        <f ca="1">AVERAGE(OFFSET($CC$3,0,0,'Données projet'!$E$12+1,1))-AVERAGE(OFFSET($H$3,0,0,'Données projet'!$E$12+1,1))</f>
        <v>441.15969139782891</v>
      </c>
      <c r="CE116" s="60">
        <f t="shared" si="94"/>
        <v>315.06466790224783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-5.6843418860808015E-14</v>
      </c>
      <c r="CU116" s="18">
        <f>CT116*VLOOKUP('Données projet'!$B$13,Paramètres!$A$1:$I$89,3,0)*VLOOKUP('Données projet'!$B$13,Paramètres!$A$1:$I$89,5,0)</f>
        <v>-4.1677594708744434E-14</v>
      </c>
      <c r="CV116" s="14" t="e">
        <f t="shared" si="95"/>
        <v>#NUM!</v>
      </c>
      <c r="CW116" s="22" t="e">
        <f t="shared" si="67"/>
        <v>#NUM!</v>
      </c>
      <c r="CX116" s="60" t="e">
        <f t="shared" si="68"/>
        <v>#NUM!</v>
      </c>
      <c r="CY116" s="60">
        <f ca="1">AVERAGE(OFFSET($CX$3,0,0,'Données projet'!$E$13+1,1))-AVERAGE(OFFSET($H$3,0,0,'Données projet'!$E$13+1,1))</f>
        <v>368.35775920359396</v>
      </c>
      <c r="CZ116" s="60">
        <f t="shared" si="96"/>
        <v>395.5218438652638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1.1368683772161603E-13</v>
      </c>
      <c r="DP116" s="18">
        <f>DO116*VLOOKUP('Données projet'!$B$14,Paramètres!$A$1:$I$89,3,0)*VLOOKUP('Données projet'!$B$14,Paramètres!$A$1:$I$89,5,0)</f>
        <v>8.8675733422860506E-14</v>
      </c>
      <c r="DQ116" s="14">
        <f t="shared" si="97"/>
        <v>1.3509285393066301E-12</v>
      </c>
      <c r="DR116" s="22">
        <f t="shared" si="70"/>
        <v>2.5073107750038623E-12</v>
      </c>
      <c r="DS116" s="60">
        <f t="shared" si="71"/>
        <v>280.64530612889013</v>
      </c>
      <c r="DT116" s="60">
        <f ca="1">AVERAGE(OFFSET($DS$3,0,0,'Données projet'!$E$14+1,1))-AVERAGE(OFFSET($H$3,0,0,'Données projet'!$E$14+1,1))</f>
        <v>312.59632808777332</v>
      </c>
      <c r="DU116" s="60">
        <f t="shared" si="98"/>
        <v>302.59481222418219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0</v>
      </c>
      <c r="EE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-1.1368683772161603E-13</v>
      </c>
      <c r="EK116" s="18">
        <f>EJ116*VLOOKUP('Données projet'!$B$15,Paramètres!$A$1:$I$89,3,0)*VLOOKUP('Données projet'!$B$15,Paramètres!$A$1:$I$89,5,0)</f>
        <v>-9.7543306765146564E-14</v>
      </c>
      <c r="EL116" s="14" t="e">
        <f t="shared" si="99"/>
        <v>#NUM!</v>
      </c>
      <c r="EM116" s="22" t="e">
        <f t="shared" si="73"/>
        <v>#NUM!</v>
      </c>
      <c r="EN116" s="60" t="e">
        <f t="shared" si="74"/>
        <v>#NUM!</v>
      </c>
      <c r="EO116" s="60">
        <f ca="1">AVERAGE(OFFSET($EN$3,0,0,'Données projet'!$E$15+1,1))-AVERAGE(OFFSET($H$3,0,0,'Données projet'!$E$15+1,1))</f>
        <v>478.11504516179713</v>
      </c>
      <c r="EP116" s="60">
        <f t="shared" si="100"/>
        <v>249.93713224442419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0</v>
      </c>
      <c r="EW116" s="23">
        <f>EXP(-LN(2)/25)*EW115+(1-EXP(-LN(2)/25))/(LN(2)/25)*Calculateur!ER116*Calculateur!ET116*VLOOKUP('Données projet'!$B$15,Paramètres!$A$1:$I$89,3,0)*0.475*44/12</f>
        <v>0</v>
      </c>
      <c r="EX116" s="23">
        <f>EXP(-LN(2)/2)*EX115+(1-EXP(-LN(2)/2))/(LN(2)/2)*ER116*EU116*VLOOKUP('Données projet'!$B$15,Paramètres!$A$1:$I$89,3,0)*0.475*44/12</f>
        <v>0</v>
      </c>
      <c r="EY116" s="24">
        <f t="shared" si="75"/>
        <v>0</v>
      </c>
      <c r="EZ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4.5</v>
      </c>
      <c r="FE116" s="13">
        <f>IF('Données projet'!$A$218&gt;35,FE115+FD116-FM115,IF(A116&lt;'Données projet'!$A$218,$FB$205^A116,IF(A116='Données projet'!$A$218,'Données projet'!$B$218,FE115+FD116-FM115)))</f>
        <v>320.49999999999989</v>
      </c>
      <c r="FF116" s="18">
        <f>FE116*VLOOKUP('Données projet'!$B$16,Paramètres!$A$1:$I$89,3,0)*VLOOKUP('Données projet'!$B$16,Paramètres!$A$1:$I$89,5,0)</f>
        <v>309.98759999999987</v>
      </c>
      <c r="FG116" s="14">
        <f t="shared" si="101"/>
        <v>73.266240552218449</v>
      </c>
      <c r="FH116" s="22">
        <f t="shared" si="76"/>
        <v>667.50043896178022</v>
      </c>
      <c r="FI116" s="60">
        <f t="shared" si="77"/>
        <v>948.14574509066779</v>
      </c>
      <c r="FJ116" s="60">
        <f ca="1">AVERAGE(OFFSET($FI$3,0,0,'Données projet'!$E$16+1,1))-AVERAGE(OFFSET($H$3,0,0,'Données projet'!$E$16+1,1))</f>
        <v>603.52431522262032</v>
      </c>
      <c r="FK116" s="60">
        <f t="shared" si="102"/>
        <v>313.56299786481338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>
        <f>EXP(-LN(2)/35)*FQ115+(1-EXP(-LN(2)/35))/(LN(2)/35)*FM116*FN116*VLOOKUP('Données projet'!$B$16,Paramètres!$A$1:$I$89,3,0)*0.475*44/12</f>
        <v>0</v>
      </c>
      <c r="FR116" s="23">
        <f>EXP(-LN(2)/25)*FR115+(1-EXP(-LN(2)/25))/(LN(2)/25)*Calculateur!FM116*Calculateur!FO116*VLOOKUP('Données projet'!$B$16,Paramètres!$A$1:$I$89,3,0)*0.475*44/12</f>
        <v>0</v>
      </c>
      <c r="FS116" s="23">
        <f>EXP(-LN(2)/2)*FS115+(1-EXP(-LN(2)/2))/(LN(2)/2)*FM116*FP116*VLOOKUP('Données projet'!$B$16,Paramètres!$A$1:$I$89,3,0)*0.475*44/12</f>
        <v>0</v>
      </c>
      <c r="FT116" s="24">
        <f t="shared" si="78"/>
        <v>0</v>
      </c>
      <c r="FU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>
        <f>FZ116*VLOOKUP('Données projet'!$B$17,Paramètres!$A$1:$I$89,3,0)*VLOOKUP('Données projet'!$B$17,Paramètres!$A$1:$I$89,5,0)</f>
        <v>0</v>
      </c>
      <c r="GB116" s="14" t="e">
        <f t="shared" si="103"/>
        <v>#NUM!</v>
      </c>
      <c r="GC116" s="22" t="e">
        <f t="shared" si="79"/>
        <v>#NUM!</v>
      </c>
      <c r="GD116" s="60" t="e">
        <f t="shared" si="80"/>
        <v>#NUM!</v>
      </c>
      <c r="GE116" s="60">
        <f ca="1">AVERAGE(OFFSET($GD$3,0,0,'Données projet'!$E$17+1,1))-AVERAGE(OFFSET($H$3,0,0,'Données projet'!$E$17+1,1))</f>
        <v>396.0878652679051</v>
      </c>
      <c r="GF116" s="60">
        <f t="shared" si="104"/>
        <v>327.26339199235406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>
        <f>EXP(-LN(2)/35)*GL115+(1-EXP(-LN(2)/35))/(LN(2)/35)*GH116*GI116*VLOOKUP('Données projet'!$B$17,Paramètres!$A$1:$I$89,3,0)*0.475*44/12</f>
        <v>0</v>
      </c>
      <c r="GM116" s="23">
        <f>EXP(-LN(2)/25)*GM115+(1-EXP(-LN(2)/25))/(LN(2)/25)*Calculateur!GH116*Calculateur!GJ116*VLOOKUP('Données projet'!$B$17,Paramètres!$A$1:$I$89,3,0)*0.475*44/12</f>
        <v>0</v>
      </c>
      <c r="GN116" s="23">
        <f>EXP(-LN(2)/2)*GN115+(1-EXP(-LN(2)/2))/(LN(2)/2)*GH116*GK116*VLOOKUP('Données projet'!$B$17,Paramètres!$A$1:$I$89,3,0)*0.475*44/12</f>
        <v>0</v>
      </c>
      <c r="GO116" s="23">
        <f t="shared" si="81"/>
        <v>0</v>
      </c>
      <c r="GP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-1.1368683772161603E-13</v>
      </c>
      <c r="GV116" s="18">
        <f>GU116*VLOOKUP('Données projet'!$B$18,Paramètres!$A$1:$I$89,3,0)*VLOOKUP('Données projet'!$B$18,Paramètres!$A$1:$I$89,5,0)</f>
        <v>-9.2222762759774927E-14</v>
      </c>
      <c r="GW116" s="14" t="e">
        <f t="shared" si="105"/>
        <v>#NUM!</v>
      </c>
      <c r="GX116" s="22" t="e">
        <f t="shared" si="82"/>
        <v>#NUM!</v>
      </c>
      <c r="GY116" s="60" t="e">
        <f t="shared" si="83"/>
        <v>#NUM!</v>
      </c>
      <c r="GZ116" s="60">
        <f ca="1">AVERAGE(OFFSET($GY$3,0,0,'Données projet'!$E$18+1,1))-AVERAGE(OFFSET($H$3,0,0,'Données projet'!$E$18+1,1))</f>
        <v>272.69564942740931</v>
      </c>
      <c r="HA116" s="60">
        <f t="shared" si="106"/>
        <v>316.57989180609252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>
        <f>EXP(-LN(2)/35)*HG115+(1-EXP(-LN(2)/35))/(LN(2)/35)*HC116*HD116*VLOOKUP('Données projet'!$B$18,Paramètres!$A$1:$I$89,3,0)*0.475*44/12</f>
        <v>0</v>
      </c>
      <c r="HH116" s="23">
        <f>EXP(-LN(2)/25)*HH115+(1-EXP(-LN(2)/25))/(LN(2)/25)*Calculateur!HC116*Calculateur!HE116*VLOOKUP('Données projet'!$B$18,Paramètres!$A$1:$I$89,3,0)*0.475*44/12</f>
        <v>0</v>
      </c>
      <c r="HI116" s="23">
        <f>EXP(-LN(2)/2)*HI115+(1-EXP(-LN(2)/2))/(LN(2)/2)*HC116*HF116*VLOOKUP('Données projet'!$B$18,Paramètres!$A$1:$I$89,3,0)*0.475*44/12</f>
        <v>0</v>
      </c>
      <c r="HJ116" s="24">
        <f t="shared" si="84"/>
        <v>0</v>
      </c>
    </row>
    <row r="117" spans="1:218" s="5" customFormat="1" x14ac:dyDescent="0.25">
      <c r="A117" s="11">
        <f t="shared" si="85"/>
        <v>114</v>
      </c>
      <c r="B117" s="75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8">
        <f t="shared" si="56"/>
        <v>183.33333333333334</v>
      </c>
      <c r="I117" s="7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4.5</v>
      </c>
      <c r="N117" s="14">
        <f>IF('Données projet'!$A$36&gt;35,N116+M117-V116,IF(A117&lt;'Données projet'!$A$36,$K$205^A117,IF(A117='Données projet'!$A$36,'Données projet'!$B$36,N116+M117-V116)))</f>
        <v>324.99999999999989</v>
      </c>
      <c r="O117" s="14">
        <f>N117*VLOOKUP('Données projet'!$B$9,Paramètres!$A$1:$I$89,3,0)*VLOOKUP('Données projet'!$B$9,Paramètres!$A$1:$I$89,5,0)</f>
        <v>294.05999999999989</v>
      </c>
      <c r="P117" s="14">
        <f t="shared" si="87"/>
        <v>69.929765653573313</v>
      </c>
      <c r="Q117" s="22">
        <f t="shared" si="107"/>
        <v>633.94884184663999</v>
      </c>
      <c r="R117" s="60">
        <f t="shared" si="55"/>
        <v>914.8142568813455</v>
      </c>
      <c r="S117" s="60">
        <f ca="1">AVERAGE(OFFSET($R$3,0,0,'Données projet'!$E$9+1,1))-AVERAGE(OFFSET($H$3,0,0,'Données projet'!$E$9+1,1))</f>
        <v>570.08763950759544</v>
      </c>
      <c r="T117" s="60">
        <f t="shared" si="88"/>
        <v>297.32483725004136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-5.6843418860808015E-14</v>
      </c>
      <c r="AJ117" s="14">
        <f>AI117*VLOOKUP('Données projet'!$B$10,Paramètres!$A$1:$I$89,3,0)*VLOOKUP('Données projet'!$B$10,Paramètres!$A$1:$I$89,5,0)</f>
        <v>-4.5224624045658861E-14</v>
      </c>
      <c r="AK117" s="14" t="e">
        <f t="shared" si="89"/>
        <v>#NUM!</v>
      </c>
      <c r="AL117" s="22" t="e">
        <f t="shared" si="58"/>
        <v>#NUM!</v>
      </c>
      <c r="AM117" s="60" t="e">
        <f t="shared" si="59"/>
        <v>#NUM!</v>
      </c>
      <c r="AN117" s="60">
        <f ca="1">AVERAGE(OFFSET($AM$3,0,0,'Données projet'!$E$10+1,1))-AVERAGE(OFFSET($H$3,0,0,'Données projet'!$E$10+1,1))</f>
        <v>394.49874384716014</v>
      </c>
      <c r="AO117" s="60">
        <f t="shared" si="90"/>
        <v>423.72519584013378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3.4106051316484809E-13</v>
      </c>
      <c r="BE117" s="14">
        <f>BD117*VLOOKUP('Données projet'!$B$11,Paramètres!$A$1:$I$89,3,0)*VLOOKUP('Données projet'!$B$11,Paramètres!$A$1:$I$89,5,0)</f>
        <v>2.9795046430081134E-13</v>
      </c>
      <c r="BF117" s="14">
        <f t="shared" si="91"/>
        <v>3.9419014464513778E-12</v>
      </c>
      <c r="BG117" s="22">
        <f t="shared" si="61"/>
        <v>7.384408744560063E-12</v>
      </c>
      <c r="BH117" s="60">
        <f t="shared" si="62"/>
        <v>280.86541503471284</v>
      </c>
      <c r="BI117" s="60">
        <f ca="1">AVERAGE(OFFSET($BH$3,0,0,'Données projet'!$E$11+1,1))-AVERAGE(OFFSET($H$3,0,0,'Données projet'!$E$11+1,1))</f>
        <v>363.28611056308665</v>
      </c>
      <c r="BJ117" s="60">
        <f t="shared" si="92"/>
        <v>389.43647559455974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3.141025641025641</v>
      </c>
      <c r="BY117" s="13">
        <f>IF('Données projet'!$A$114&gt;35,BY116+BX117-CG116,IF(A117&lt;'Données projet'!$A$114,$BV$205^A117,IF(A117='Données projet'!$A$114,'Données projet'!$B$114,BY116+BX117-CG116)))</f>
        <v>267.05128205128216</v>
      </c>
      <c r="BZ117" s="14">
        <f>BY117*VLOOKUP('Données projet'!$B$12,Paramètres!$A$1:$I$89,3,0)*VLOOKUP('Données projet'!$B$12,Paramètres!$A$1:$I$89,5,0)</f>
        <v>254.12600000000012</v>
      </c>
      <c r="CA117" s="14">
        <f t="shared" si="93"/>
        <v>61.46861816974539</v>
      </c>
      <c r="CB117" s="22">
        <f t="shared" si="64"/>
        <v>549.66062664564004</v>
      </c>
      <c r="CC117" s="60">
        <f t="shared" si="65"/>
        <v>830.52604168034554</v>
      </c>
      <c r="CD117" s="60">
        <f ca="1">AVERAGE(OFFSET($CC$3,0,0,'Données projet'!$E$12+1,1))-AVERAGE(OFFSET($H$3,0,0,'Données projet'!$E$12+1,1))</f>
        <v>441.15969139782891</v>
      </c>
      <c r="CE117" s="60">
        <f t="shared" si="94"/>
        <v>315.06466790224783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-5.6843418860808015E-14</v>
      </c>
      <c r="CU117" s="18">
        <f>CT117*VLOOKUP('Données projet'!$B$13,Paramètres!$A$1:$I$89,3,0)*VLOOKUP('Données projet'!$B$13,Paramètres!$A$1:$I$89,5,0)</f>
        <v>-4.1677594708744434E-14</v>
      </c>
      <c r="CV117" s="14" t="e">
        <f t="shared" si="95"/>
        <v>#NUM!</v>
      </c>
      <c r="CW117" s="22" t="e">
        <f t="shared" si="67"/>
        <v>#NUM!</v>
      </c>
      <c r="CX117" s="60" t="e">
        <f t="shared" si="68"/>
        <v>#NUM!</v>
      </c>
      <c r="CY117" s="60">
        <f ca="1">AVERAGE(OFFSET($CX$3,0,0,'Données projet'!$E$13+1,1))-AVERAGE(OFFSET($H$3,0,0,'Données projet'!$E$13+1,1))</f>
        <v>368.35775920359396</v>
      </c>
      <c r="CZ117" s="60">
        <f t="shared" si="96"/>
        <v>395.5218438652638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1.1368683772161603E-13</v>
      </c>
      <c r="DP117" s="18">
        <f>DO117*VLOOKUP('Données projet'!$B$14,Paramètres!$A$1:$I$89,3,0)*VLOOKUP('Données projet'!$B$14,Paramètres!$A$1:$I$89,5,0)</f>
        <v>8.8675733422860506E-14</v>
      </c>
      <c r="DQ117" s="14">
        <f t="shared" si="97"/>
        <v>1.3509285393066301E-12</v>
      </c>
      <c r="DR117" s="22">
        <f t="shared" si="70"/>
        <v>2.5073107750038623E-12</v>
      </c>
      <c r="DS117" s="60">
        <f t="shared" si="71"/>
        <v>280.86541503470795</v>
      </c>
      <c r="DT117" s="60">
        <f ca="1">AVERAGE(OFFSET($DS$3,0,0,'Données projet'!$E$14+1,1))-AVERAGE(OFFSET($H$3,0,0,'Données projet'!$E$14+1,1))</f>
        <v>312.59632808777332</v>
      </c>
      <c r="DU117" s="60">
        <f t="shared" si="98"/>
        <v>302.59481222418219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0</v>
      </c>
      <c r="EE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-1.1368683772161603E-13</v>
      </c>
      <c r="EK117" s="18">
        <f>EJ117*VLOOKUP('Données projet'!$B$15,Paramètres!$A$1:$I$89,3,0)*VLOOKUP('Données projet'!$B$15,Paramètres!$A$1:$I$89,5,0)</f>
        <v>-9.7543306765146564E-14</v>
      </c>
      <c r="EL117" s="14" t="e">
        <f t="shared" si="99"/>
        <v>#NUM!</v>
      </c>
      <c r="EM117" s="22" t="e">
        <f t="shared" si="73"/>
        <v>#NUM!</v>
      </c>
      <c r="EN117" s="60" t="e">
        <f t="shared" si="74"/>
        <v>#NUM!</v>
      </c>
      <c r="EO117" s="60">
        <f ca="1">AVERAGE(OFFSET($EN$3,0,0,'Données projet'!$E$15+1,1))-AVERAGE(OFFSET($H$3,0,0,'Données projet'!$E$15+1,1))</f>
        <v>478.11504516179713</v>
      </c>
      <c r="EP117" s="60">
        <f t="shared" si="100"/>
        <v>249.93713224442419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0</v>
      </c>
      <c r="EW117" s="23">
        <f>EXP(-LN(2)/25)*EW116+(1-EXP(-LN(2)/25))/(LN(2)/25)*Calculateur!ER117*Calculateur!ET117*VLOOKUP('Données projet'!$B$15,Paramètres!$A$1:$I$89,3,0)*0.475*44/12</f>
        <v>0</v>
      </c>
      <c r="EX117" s="23">
        <f>EXP(-LN(2)/2)*EX116+(1-EXP(-LN(2)/2))/(LN(2)/2)*ER117*EU117*VLOOKUP('Données projet'!$B$15,Paramètres!$A$1:$I$89,3,0)*0.475*44/12</f>
        <v>0</v>
      </c>
      <c r="EY117" s="24">
        <f t="shared" si="75"/>
        <v>0</v>
      </c>
      <c r="EZ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4.5</v>
      </c>
      <c r="FE117" s="13">
        <f>IF('Données projet'!$A$218&gt;35,FE116+FD117-FM116,IF(A117&lt;'Données projet'!$A$218,$FB$205^A117,IF(A117='Données projet'!$A$218,'Données projet'!$B$218,FE116+FD117-FM116)))</f>
        <v>324.99999999999989</v>
      </c>
      <c r="FF117" s="18">
        <f>FE117*VLOOKUP('Données projet'!$B$16,Paramètres!$A$1:$I$89,3,0)*VLOOKUP('Données projet'!$B$16,Paramètres!$A$1:$I$89,5,0)</f>
        <v>314.33999999999986</v>
      </c>
      <c r="FG117" s="14">
        <f t="shared" si="101"/>
        <v>74.174460221814215</v>
      </c>
      <c r="FH117" s="22">
        <f t="shared" si="76"/>
        <v>676.66268488632613</v>
      </c>
      <c r="FI117" s="60">
        <f t="shared" si="77"/>
        <v>957.52809992103153</v>
      </c>
      <c r="FJ117" s="60">
        <f ca="1">AVERAGE(OFFSET($FI$3,0,0,'Données projet'!$E$16+1,1))-AVERAGE(OFFSET($H$3,0,0,'Données projet'!$E$16+1,1))</f>
        <v>603.52431522262032</v>
      </c>
      <c r="FK117" s="60">
        <f t="shared" si="102"/>
        <v>313.56299786481338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>
        <f>EXP(-LN(2)/35)*FQ116+(1-EXP(-LN(2)/35))/(LN(2)/35)*FM117*FN117*VLOOKUP('Données projet'!$B$16,Paramètres!$A$1:$I$89,3,0)*0.475*44/12</f>
        <v>0</v>
      </c>
      <c r="FR117" s="23">
        <f>EXP(-LN(2)/25)*FR116+(1-EXP(-LN(2)/25))/(LN(2)/25)*Calculateur!FM117*Calculateur!FO117*VLOOKUP('Données projet'!$B$16,Paramètres!$A$1:$I$89,3,0)*0.475*44/12</f>
        <v>0</v>
      </c>
      <c r="FS117" s="23">
        <f>EXP(-LN(2)/2)*FS116+(1-EXP(-LN(2)/2))/(LN(2)/2)*FM117*FP117*VLOOKUP('Données projet'!$B$16,Paramètres!$A$1:$I$89,3,0)*0.475*44/12</f>
        <v>0</v>
      </c>
      <c r="FT117" s="24">
        <f t="shared" si="78"/>
        <v>0</v>
      </c>
      <c r="FU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>
        <f>FZ117*VLOOKUP('Données projet'!$B$17,Paramètres!$A$1:$I$89,3,0)*VLOOKUP('Données projet'!$B$17,Paramètres!$A$1:$I$89,5,0)</f>
        <v>0</v>
      </c>
      <c r="GB117" s="14" t="e">
        <f t="shared" si="103"/>
        <v>#NUM!</v>
      </c>
      <c r="GC117" s="22" t="e">
        <f t="shared" si="79"/>
        <v>#NUM!</v>
      </c>
      <c r="GD117" s="60" t="e">
        <f t="shared" si="80"/>
        <v>#NUM!</v>
      </c>
      <c r="GE117" s="60">
        <f ca="1">AVERAGE(OFFSET($GD$3,0,0,'Données projet'!$E$17+1,1))-AVERAGE(OFFSET($H$3,0,0,'Données projet'!$E$17+1,1))</f>
        <v>396.0878652679051</v>
      </c>
      <c r="GF117" s="60">
        <f t="shared" si="104"/>
        <v>327.26339199235406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>
        <f>EXP(-LN(2)/35)*GL116+(1-EXP(-LN(2)/35))/(LN(2)/35)*GH117*GI117*VLOOKUP('Données projet'!$B$17,Paramètres!$A$1:$I$89,3,0)*0.475*44/12</f>
        <v>0</v>
      </c>
      <c r="GM117" s="23">
        <f>EXP(-LN(2)/25)*GM116+(1-EXP(-LN(2)/25))/(LN(2)/25)*Calculateur!GH117*Calculateur!GJ117*VLOOKUP('Données projet'!$B$17,Paramètres!$A$1:$I$89,3,0)*0.475*44/12</f>
        <v>0</v>
      </c>
      <c r="GN117" s="23">
        <f>EXP(-LN(2)/2)*GN116+(1-EXP(-LN(2)/2))/(LN(2)/2)*GH117*GK117*VLOOKUP('Données projet'!$B$17,Paramètres!$A$1:$I$89,3,0)*0.475*44/12</f>
        <v>0</v>
      </c>
      <c r="GO117" s="23">
        <f t="shared" si="81"/>
        <v>0</v>
      </c>
      <c r="GP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-1.1368683772161603E-13</v>
      </c>
      <c r="GV117" s="18">
        <f>GU117*VLOOKUP('Données projet'!$B$18,Paramètres!$A$1:$I$89,3,0)*VLOOKUP('Données projet'!$B$18,Paramètres!$A$1:$I$89,5,0)</f>
        <v>-9.2222762759774927E-14</v>
      </c>
      <c r="GW117" s="14" t="e">
        <f t="shared" si="105"/>
        <v>#NUM!</v>
      </c>
      <c r="GX117" s="22" t="e">
        <f t="shared" si="82"/>
        <v>#NUM!</v>
      </c>
      <c r="GY117" s="60" t="e">
        <f t="shared" si="83"/>
        <v>#NUM!</v>
      </c>
      <c r="GZ117" s="60">
        <f ca="1">AVERAGE(OFFSET($GY$3,0,0,'Données projet'!$E$18+1,1))-AVERAGE(OFFSET($H$3,0,0,'Données projet'!$E$18+1,1))</f>
        <v>272.69564942740931</v>
      </c>
      <c r="HA117" s="60">
        <f t="shared" si="106"/>
        <v>316.57989180609252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>
        <f>EXP(-LN(2)/35)*HG116+(1-EXP(-LN(2)/35))/(LN(2)/35)*HC117*HD117*VLOOKUP('Données projet'!$B$18,Paramètres!$A$1:$I$89,3,0)*0.475*44/12</f>
        <v>0</v>
      </c>
      <c r="HH117" s="23">
        <f>EXP(-LN(2)/25)*HH116+(1-EXP(-LN(2)/25))/(LN(2)/25)*Calculateur!HC117*Calculateur!HE117*VLOOKUP('Données projet'!$B$18,Paramètres!$A$1:$I$89,3,0)*0.475*44/12</f>
        <v>0</v>
      </c>
      <c r="HI117" s="23">
        <f>EXP(-LN(2)/2)*HI116+(1-EXP(-LN(2)/2))/(LN(2)/2)*HC117*HF117*VLOOKUP('Données projet'!$B$18,Paramètres!$A$1:$I$89,3,0)*0.475*44/12</f>
        <v>0</v>
      </c>
      <c r="HJ117" s="24">
        <f t="shared" si="84"/>
        <v>0</v>
      </c>
    </row>
    <row r="118" spans="1:218" s="5" customFormat="1" x14ac:dyDescent="0.25">
      <c r="A118" s="11">
        <f t="shared" si="85"/>
        <v>115</v>
      </c>
      <c r="B118" s="75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8">
        <f t="shared" si="56"/>
        <v>183.33333333333334</v>
      </c>
      <c r="I118" s="7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4.5</v>
      </c>
      <c r="N118" s="14">
        <f>IF('Données projet'!$A$36&gt;35,N117+M118-V117,IF(A118&lt;'Données projet'!$A$36,$K$205^A118,IF(A118='Données projet'!$A$36,'Données projet'!$B$36,N117+M118-V117)))</f>
        <v>329.49999999999989</v>
      </c>
      <c r="O118" s="14">
        <f>N118*VLOOKUP('Données projet'!$B$9,Paramètres!$A$1:$I$89,3,0)*VLOOKUP('Données projet'!$B$9,Paramètres!$A$1:$I$89,5,0)</f>
        <v>298.13159999999988</v>
      </c>
      <c r="P118" s="14">
        <f t="shared" si="87"/>
        <v>70.784632764376028</v>
      </c>
      <c r="Q118" s="22">
        <f t="shared" si="107"/>
        <v>642.52910539795459</v>
      </c>
      <c r="R118" s="60">
        <f t="shared" si="55"/>
        <v>923.6108109410518</v>
      </c>
      <c r="S118" s="60">
        <f ca="1">AVERAGE(OFFSET($R$3,0,0,'Données projet'!$E$9+1,1))-AVERAGE(OFFSET($H$3,0,0,'Données projet'!$E$9+1,1))</f>
        <v>570.08763950759544</v>
      </c>
      <c r="T118" s="60">
        <f t="shared" si="88"/>
        <v>297.32483725004136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-5.6843418860808015E-14</v>
      </c>
      <c r="AJ118" s="14">
        <f>AI118*VLOOKUP('Données projet'!$B$10,Paramètres!$A$1:$I$89,3,0)*VLOOKUP('Données projet'!$B$10,Paramètres!$A$1:$I$89,5,0)</f>
        <v>-4.5224624045658861E-14</v>
      </c>
      <c r="AK118" s="14" t="e">
        <f t="shared" si="89"/>
        <v>#NUM!</v>
      </c>
      <c r="AL118" s="22" t="e">
        <f t="shared" si="58"/>
        <v>#NUM!</v>
      </c>
      <c r="AM118" s="60" t="e">
        <f t="shared" si="59"/>
        <v>#NUM!</v>
      </c>
      <c r="AN118" s="60">
        <f ca="1">AVERAGE(OFFSET($AM$3,0,0,'Données projet'!$E$10+1,1))-AVERAGE(OFFSET($H$3,0,0,'Données projet'!$E$10+1,1))</f>
        <v>394.49874384716014</v>
      </c>
      <c r="AO118" s="60">
        <f t="shared" si="90"/>
        <v>423.72519584013378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3.4106051316484809E-13</v>
      </c>
      <c r="BE118" s="14">
        <f>BD118*VLOOKUP('Données projet'!$B$11,Paramètres!$A$1:$I$89,3,0)*VLOOKUP('Données projet'!$B$11,Paramètres!$A$1:$I$89,5,0)</f>
        <v>2.9795046430081134E-13</v>
      </c>
      <c r="BF118" s="14">
        <f t="shared" si="91"/>
        <v>3.9419014464513778E-12</v>
      </c>
      <c r="BG118" s="22">
        <f t="shared" si="61"/>
        <v>7.384408744560063E-12</v>
      </c>
      <c r="BH118" s="60">
        <f t="shared" si="62"/>
        <v>281.08170554310465</v>
      </c>
      <c r="BI118" s="60">
        <f ca="1">AVERAGE(OFFSET($BH$3,0,0,'Données projet'!$E$11+1,1))-AVERAGE(OFFSET($H$3,0,0,'Données projet'!$E$11+1,1))</f>
        <v>363.28611056308665</v>
      </c>
      <c r="BJ118" s="60">
        <f t="shared" si="92"/>
        <v>389.43647559455974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3.141025641025641</v>
      </c>
      <c r="BY118" s="13">
        <f>IF('Données projet'!$A$114&gt;35,BY117+BX118-CG117,IF(A118&lt;'Données projet'!$A$114,$BV$205^A118,IF(A118='Données projet'!$A$114,'Données projet'!$B$114,BY117+BX118-CG117)))</f>
        <v>270.19230769230779</v>
      </c>
      <c r="BZ118" s="14">
        <f>BY118*VLOOKUP('Données projet'!$B$12,Paramètres!$A$1:$I$89,3,0)*VLOOKUP('Données projet'!$B$12,Paramètres!$A$1:$I$89,5,0)</f>
        <v>257.11500000000007</v>
      </c>
      <c r="CA118" s="14">
        <f t="shared" si="93"/>
        <v>62.107013749759211</v>
      </c>
      <c r="CB118" s="22">
        <f t="shared" si="64"/>
        <v>555.97834061416404</v>
      </c>
      <c r="CC118" s="60">
        <f t="shared" si="65"/>
        <v>837.06004615726124</v>
      </c>
      <c r="CD118" s="60">
        <f ca="1">AVERAGE(OFFSET($CC$3,0,0,'Données projet'!$E$12+1,1))-AVERAGE(OFFSET($H$3,0,0,'Données projet'!$E$12+1,1))</f>
        <v>441.15969139782891</v>
      </c>
      <c r="CE118" s="60">
        <f t="shared" si="94"/>
        <v>315.06466790224783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-5.6843418860808015E-14</v>
      </c>
      <c r="CU118" s="18">
        <f>CT118*VLOOKUP('Données projet'!$B$13,Paramètres!$A$1:$I$89,3,0)*VLOOKUP('Données projet'!$B$13,Paramètres!$A$1:$I$89,5,0)</f>
        <v>-4.1677594708744434E-14</v>
      </c>
      <c r="CV118" s="14" t="e">
        <f t="shared" si="95"/>
        <v>#NUM!</v>
      </c>
      <c r="CW118" s="22" t="e">
        <f t="shared" si="67"/>
        <v>#NUM!</v>
      </c>
      <c r="CX118" s="60" t="e">
        <f t="shared" si="68"/>
        <v>#NUM!</v>
      </c>
      <c r="CY118" s="60">
        <f ca="1">AVERAGE(OFFSET($CX$3,0,0,'Données projet'!$E$13+1,1))-AVERAGE(OFFSET($H$3,0,0,'Données projet'!$E$13+1,1))</f>
        <v>368.35775920359396</v>
      </c>
      <c r="CZ118" s="60">
        <f t="shared" si="96"/>
        <v>395.5218438652638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1.1368683772161603E-13</v>
      </c>
      <c r="DP118" s="18">
        <f>DO118*VLOOKUP('Données projet'!$B$14,Paramètres!$A$1:$I$89,3,0)*VLOOKUP('Données projet'!$B$14,Paramètres!$A$1:$I$89,5,0)</f>
        <v>8.8675733422860506E-14</v>
      </c>
      <c r="DQ118" s="14">
        <f t="shared" si="97"/>
        <v>1.3509285393066301E-12</v>
      </c>
      <c r="DR118" s="22">
        <f t="shared" si="70"/>
        <v>2.5073107750038623E-12</v>
      </c>
      <c r="DS118" s="60">
        <f t="shared" si="71"/>
        <v>281.08170554309976</v>
      </c>
      <c r="DT118" s="60">
        <f ca="1">AVERAGE(OFFSET($DS$3,0,0,'Données projet'!$E$14+1,1))-AVERAGE(OFFSET($H$3,0,0,'Données projet'!$E$14+1,1))</f>
        <v>312.59632808777332</v>
      </c>
      <c r="DU118" s="60">
        <f t="shared" si="98"/>
        <v>302.59481222418219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0</v>
      </c>
      <c r="EE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-1.1368683772161603E-13</v>
      </c>
      <c r="EK118" s="18">
        <f>EJ118*VLOOKUP('Données projet'!$B$15,Paramètres!$A$1:$I$89,3,0)*VLOOKUP('Données projet'!$B$15,Paramètres!$A$1:$I$89,5,0)</f>
        <v>-9.7543306765146564E-14</v>
      </c>
      <c r="EL118" s="14" t="e">
        <f t="shared" si="99"/>
        <v>#NUM!</v>
      </c>
      <c r="EM118" s="22" t="e">
        <f t="shared" si="73"/>
        <v>#NUM!</v>
      </c>
      <c r="EN118" s="60" t="e">
        <f t="shared" si="74"/>
        <v>#NUM!</v>
      </c>
      <c r="EO118" s="60">
        <f ca="1">AVERAGE(OFFSET($EN$3,0,0,'Données projet'!$E$15+1,1))-AVERAGE(OFFSET($H$3,0,0,'Données projet'!$E$15+1,1))</f>
        <v>478.11504516179713</v>
      </c>
      <c r="EP118" s="60">
        <f t="shared" si="100"/>
        <v>249.93713224442419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0</v>
      </c>
      <c r="EW118" s="23">
        <f>EXP(-LN(2)/25)*EW117+(1-EXP(-LN(2)/25))/(LN(2)/25)*Calculateur!ER118*Calculateur!ET118*VLOOKUP('Données projet'!$B$15,Paramètres!$A$1:$I$89,3,0)*0.475*44/12</f>
        <v>0</v>
      </c>
      <c r="EX118" s="23">
        <f>EXP(-LN(2)/2)*EX117+(1-EXP(-LN(2)/2))/(LN(2)/2)*ER118*EU118*VLOOKUP('Données projet'!$B$15,Paramètres!$A$1:$I$89,3,0)*0.475*44/12</f>
        <v>0</v>
      </c>
      <c r="EY118" s="24">
        <f t="shared" si="75"/>
        <v>0</v>
      </c>
      <c r="EZ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4.5</v>
      </c>
      <c r="FE118" s="13">
        <f>IF('Données projet'!$A$218&gt;35,FE117+FD118-FM117,IF(A118&lt;'Données projet'!$A$218,$FB$205^A118,IF(A118='Données projet'!$A$218,'Données projet'!$B$218,FE117+FD118-FM117)))</f>
        <v>329.49999999999989</v>
      </c>
      <c r="FF118" s="18">
        <f>FE118*VLOOKUP('Données projet'!$B$16,Paramètres!$A$1:$I$89,3,0)*VLOOKUP('Données projet'!$B$16,Paramètres!$A$1:$I$89,5,0)</f>
        <v>318.69239999999991</v>
      </c>
      <c r="FG118" s="14">
        <f t="shared" si="101"/>
        <v>75.081217250277518</v>
      </c>
      <c r="FH118" s="22">
        <f t="shared" si="76"/>
        <v>685.82238337756644</v>
      </c>
      <c r="FI118" s="60">
        <f t="shared" si="77"/>
        <v>966.90408892066375</v>
      </c>
      <c r="FJ118" s="60">
        <f ca="1">AVERAGE(OFFSET($FI$3,0,0,'Données projet'!$E$16+1,1))-AVERAGE(OFFSET($H$3,0,0,'Données projet'!$E$16+1,1))</f>
        <v>603.52431522262032</v>
      </c>
      <c r="FK118" s="60">
        <f t="shared" si="102"/>
        <v>313.56299786481338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>
        <f>EXP(-LN(2)/35)*FQ117+(1-EXP(-LN(2)/35))/(LN(2)/35)*FM118*FN118*VLOOKUP('Données projet'!$B$16,Paramètres!$A$1:$I$89,3,0)*0.475*44/12</f>
        <v>0</v>
      </c>
      <c r="FR118" s="23">
        <f>EXP(-LN(2)/25)*FR117+(1-EXP(-LN(2)/25))/(LN(2)/25)*Calculateur!FM118*Calculateur!FO118*VLOOKUP('Données projet'!$B$16,Paramètres!$A$1:$I$89,3,0)*0.475*44/12</f>
        <v>0</v>
      </c>
      <c r="FS118" s="23">
        <f>EXP(-LN(2)/2)*FS117+(1-EXP(-LN(2)/2))/(LN(2)/2)*FM118*FP118*VLOOKUP('Données projet'!$B$16,Paramètres!$A$1:$I$89,3,0)*0.475*44/12</f>
        <v>0</v>
      </c>
      <c r="FT118" s="24">
        <f t="shared" si="78"/>
        <v>0</v>
      </c>
      <c r="FU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>
        <f>FZ118*VLOOKUP('Données projet'!$B$17,Paramètres!$A$1:$I$89,3,0)*VLOOKUP('Données projet'!$B$17,Paramètres!$A$1:$I$89,5,0)</f>
        <v>0</v>
      </c>
      <c r="GB118" s="14" t="e">
        <f t="shared" si="103"/>
        <v>#NUM!</v>
      </c>
      <c r="GC118" s="22" t="e">
        <f t="shared" si="79"/>
        <v>#NUM!</v>
      </c>
      <c r="GD118" s="60" t="e">
        <f t="shared" si="80"/>
        <v>#NUM!</v>
      </c>
      <c r="GE118" s="60">
        <f ca="1">AVERAGE(OFFSET($GD$3,0,0,'Données projet'!$E$17+1,1))-AVERAGE(OFFSET($H$3,0,0,'Données projet'!$E$17+1,1))</f>
        <v>396.0878652679051</v>
      </c>
      <c r="GF118" s="60">
        <f t="shared" si="104"/>
        <v>327.26339199235406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>
        <f>EXP(-LN(2)/35)*GL117+(1-EXP(-LN(2)/35))/(LN(2)/35)*GH118*GI118*VLOOKUP('Données projet'!$B$17,Paramètres!$A$1:$I$89,3,0)*0.475*44/12</f>
        <v>0</v>
      </c>
      <c r="GM118" s="23">
        <f>EXP(-LN(2)/25)*GM117+(1-EXP(-LN(2)/25))/(LN(2)/25)*Calculateur!GH118*Calculateur!GJ118*VLOOKUP('Données projet'!$B$17,Paramètres!$A$1:$I$89,3,0)*0.475*44/12</f>
        <v>0</v>
      </c>
      <c r="GN118" s="23">
        <f>EXP(-LN(2)/2)*GN117+(1-EXP(-LN(2)/2))/(LN(2)/2)*GH118*GK118*VLOOKUP('Données projet'!$B$17,Paramètres!$A$1:$I$89,3,0)*0.475*44/12</f>
        <v>0</v>
      </c>
      <c r="GO118" s="23">
        <f t="shared" si="81"/>
        <v>0</v>
      </c>
      <c r="GP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-1.1368683772161603E-13</v>
      </c>
      <c r="GV118" s="18">
        <f>GU118*VLOOKUP('Données projet'!$B$18,Paramètres!$A$1:$I$89,3,0)*VLOOKUP('Données projet'!$B$18,Paramètres!$A$1:$I$89,5,0)</f>
        <v>-9.2222762759774927E-14</v>
      </c>
      <c r="GW118" s="14" t="e">
        <f t="shared" si="105"/>
        <v>#NUM!</v>
      </c>
      <c r="GX118" s="22" t="e">
        <f t="shared" si="82"/>
        <v>#NUM!</v>
      </c>
      <c r="GY118" s="60" t="e">
        <f t="shared" si="83"/>
        <v>#NUM!</v>
      </c>
      <c r="GZ118" s="60">
        <f ca="1">AVERAGE(OFFSET($GY$3,0,0,'Données projet'!$E$18+1,1))-AVERAGE(OFFSET($H$3,0,0,'Données projet'!$E$18+1,1))</f>
        <v>272.69564942740931</v>
      </c>
      <c r="HA118" s="60">
        <f t="shared" si="106"/>
        <v>316.57989180609252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>
        <f>EXP(-LN(2)/35)*HG117+(1-EXP(-LN(2)/35))/(LN(2)/35)*HC118*HD118*VLOOKUP('Données projet'!$B$18,Paramètres!$A$1:$I$89,3,0)*0.475*44/12</f>
        <v>0</v>
      </c>
      <c r="HH118" s="23">
        <f>EXP(-LN(2)/25)*HH117+(1-EXP(-LN(2)/25))/(LN(2)/25)*Calculateur!HC118*Calculateur!HE118*VLOOKUP('Données projet'!$B$18,Paramètres!$A$1:$I$89,3,0)*0.475*44/12</f>
        <v>0</v>
      </c>
      <c r="HI118" s="23">
        <f>EXP(-LN(2)/2)*HI117+(1-EXP(-LN(2)/2))/(LN(2)/2)*HC118*HF118*VLOOKUP('Données projet'!$B$18,Paramètres!$A$1:$I$89,3,0)*0.475*44/12</f>
        <v>0</v>
      </c>
      <c r="HJ118" s="24">
        <f t="shared" si="84"/>
        <v>0</v>
      </c>
    </row>
    <row r="119" spans="1:218" s="5" customFormat="1" x14ac:dyDescent="0.25">
      <c r="A119" s="11">
        <f t="shared" si="85"/>
        <v>116</v>
      </c>
      <c r="B119" s="75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8">
        <f t="shared" si="56"/>
        <v>183.33333333333334</v>
      </c>
      <c r="I119" s="7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4.5</v>
      </c>
      <c r="N119" s="14">
        <f>IF('Données projet'!$A$36&gt;35,N118+M119-V118,IF(A119&lt;'Données projet'!$A$36,$K$205^A119,IF(A119='Données projet'!$A$36,'Données projet'!$B$36,N118+M119-V118)))</f>
        <v>333.99999999999989</v>
      </c>
      <c r="O119" s="14">
        <f>N119*VLOOKUP('Données projet'!$B$9,Paramètres!$A$1:$I$89,3,0)*VLOOKUP('Données projet'!$B$9,Paramètres!$A$1:$I$89,5,0)</f>
        <v>302.20319999999987</v>
      </c>
      <c r="P119" s="14">
        <f t="shared" si="87"/>
        <v>71.638141943842228</v>
      </c>
      <c r="Q119" s="22">
        <f t="shared" si="107"/>
        <v>651.10700388552493</v>
      </c>
      <c r="R119" s="60">
        <f t="shared" si="55"/>
        <v>932.40124778024642</v>
      </c>
      <c r="S119" s="60">
        <f ca="1">AVERAGE(OFFSET($R$3,0,0,'Données projet'!$E$9+1,1))-AVERAGE(OFFSET($H$3,0,0,'Données projet'!$E$9+1,1))</f>
        <v>570.08763950759544</v>
      </c>
      <c r="T119" s="60">
        <f t="shared" si="88"/>
        <v>297.32483725004136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-5.6843418860808015E-14</v>
      </c>
      <c r="AJ119" s="14">
        <f>AI119*VLOOKUP('Données projet'!$B$10,Paramètres!$A$1:$I$89,3,0)*VLOOKUP('Données projet'!$B$10,Paramètres!$A$1:$I$89,5,0)</f>
        <v>-4.5224624045658861E-14</v>
      </c>
      <c r="AK119" s="14" t="e">
        <f t="shared" si="89"/>
        <v>#NUM!</v>
      </c>
      <c r="AL119" s="22" t="e">
        <f t="shared" si="58"/>
        <v>#NUM!</v>
      </c>
      <c r="AM119" s="60" t="e">
        <f t="shared" si="59"/>
        <v>#NUM!</v>
      </c>
      <c r="AN119" s="60">
        <f ca="1">AVERAGE(OFFSET($AM$3,0,0,'Données projet'!$E$10+1,1))-AVERAGE(OFFSET($H$3,0,0,'Données projet'!$E$10+1,1))</f>
        <v>394.49874384716014</v>
      </c>
      <c r="AO119" s="60">
        <f t="shared" si="90"/>
        <v>423.72519584013378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3.4106051316484809E-13</v>
      </c>
      <c r="BE119" s="14">
        <f>BD119*VLOOKUP('Données projet'!$B$11,Paramètres!$A$1:$I$89,3,0)*VLOOKUP('Données projet'!$B$11,Paramètres!$A$1:$I$89,5,0)</f>
        <v>2.9795046430081134E-13</v>
      </c>
      <c r="BF119" s="14">
        <f t="shared" si="91"/>
        <v>3.9419014464513778E-12</v>
      </c>
      <c r="BG119" s="22">
        <f t="shared" si="61"/>
        <v>7.384408744560063E-12</v>
      </c>
      <c r="BH119" s="60">
        <f t="shared" si="62"/>
        <v>281.29424389472888</v>
      </c>
      <c r="BI119" s="60">
        <f ca="1">AVERAGE(OFFSET($BH$3,0,0,'Données projet'!$E$11+1,1))-AVERAGE(OFFSET($H$3,0,0,'Données projet'!$E$11+1,1))</f>
        <v>363.28611056308665</v>
      </c>
      <c r="BJ119" s="60">
        <f t="shared" si="92"/>
        <v>389.43647559455974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3.141025641025641</v>
      </c>
      <c r="BY119" s="13">
        <f>IF('Données projet'!$A$114&gt;35,BY118+BX119-CG118,IF(A119&lt;'Données projet'!$A$114,$BV$205^A119,IF(A119='Données projet'!$A$114,'Données projet'!$B$114,BY118+BX119-CG118)))</f>
        <v>273.33333333333343</v>
      </c>
      <c r="BZ119" s="14">
        <f>BY119*VLOOKUP('Données projet'!$B$12,Paramètres!$A$1:$I$89,3,0)*VLOOKUP('Données projet'!$B$12,Paramètres!$A$1:$I$89,5,0)</f>
        <v>260.1040000000001</v>
      </c>
      <c r="CA119" s="14">
        <f t="shared" si="93"/>
        <v>62.744546037419411</v>
      </c>
      <c r="CB119" s="22">
        <f t="shared" si="64"/>
        <v>562.29455101517226</v>
      </c>
      <c r="CC119" s="60">
        <f t="shared" si="65"/>
        <v>843.58879490989375</v>
      </c>
      <c r="CD119" s="60">
        <f ca="1">AVERAGE(OFFSET($CC$3,0,0,'Données projet'!$E$12+1,1))-AVERAGE(OFFSET($H$3,0,0,'Données projet'!$E$12+1,1))</f>
        <v>441.15969139782891</v>
      </c>
      <c r="CE119" s="60">
        <f t="shared" si="94"/>
        <v>315.06466790224783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-5.6843418860808015E-14</v>
      </c>
      <c r="CU119" s="18">
        <f>CT119*VLOOKUP('Données projet'!$B$13,Paramètres!$A$1:$I$89,3,0)*VLOOKUP('Données projet'!$B$13,Paramètres!$A$1:$I$89,5,0)</f>
        <v>-4.1677594708744434E-14</v>
      </c>
      <c r="CV119" s="14" t="e">
        <f t="shared" si="95"/>
        <v>#NUM!</v>
      </c>
      <c r="CW119" s="22" t="e">
        <f t="shared" si="67"/>
        <v>#NUM!</v>
      </c>
      <c r="CX119" s="60" t="e">
        <f t="shared" si="68"/>
        <v>#NUM!</v>
      </c>
      <c r="CY119" s="60">
        <f ca="1">AVERAGE(OFFSET($CX$3,0,0,'Données projet'!$E$13+1,1))-AVERAGE(OFFSET($H$3,0,0,'Données projet'!$E$13+1,1))</f>
        <v>368.35775920359396</v>
      </c>
      <c r="CZ119" s="60">
        <f t="shared" si="96"/>
        <v>395.5218438652638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1.1368683772161603E-13</v>
      </c>
      <c r="DP119" s="18">
        <f>DO119*VLOOKUP('Données projet'!$B$14,Paramètres!$A$1:$I$89,3,0)*VLOOKUP('Données projet'!$B$14,Paramètres!$A$1:$I$89,5,0)</f>
        <v>8.8675733422860506E-14</v>
      </c>
      <c r="DQ119" s="14">
        <f t="shared" si="97"/>
        <v>1.3509285393066301E-12</v>
      </c>
      <c r="DR119" s="22">
        <f t="shared" si="70"/>
        <v>2.5073107750038623E-12</v>
      </c>
      <c r="DS119" s="60">
        <f t="shared" si="71"/>
        <v>281.29424389472399</v>
      </c>
      <c r="DT119" s="60">
        <f ca="1">AVERAGE(OFFSET($DS$3,0,0,'Données projet'!$E$14+1,1))-AVERAGE(OFFSET($H$3,0,0,'Données projet'!$E$14+1,1))</f>
        <v>312.59632808777332</v>
      </c>
      <c r="DU119" s="60">
        <f t="shared" si="98"/>
        <v>302.59481222418219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0</v>
      </c>
      <c r="EE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-1.1368683772161603E-13</v>
      </c>
      <c r="EK119" s="18">
        <f>EJ119*VLOOKUP('Données projet'!$B$15,Paramètres!$A$1:$I$89,3,0)*VLOOKUP('Données projet'!$B$15,Paramètres!$A$1:$I$89,5,0)</f>
        <v>-9.7543306765146564E-14</v>
      </c>
      <c r="EL119" s="14" t="e">
        <f t="shared" si="99"/>
        <v>#NUM!</v>
      </c>
      <c r="EM119" s="22" t="e">
        <f t="shared" si="73"/>
        <v>#NUM!</v>
      </c>
      <c r="EN119" s="60" t="e">
        <f t="shared" si="74"/>
        <v>#NUM!</v>
      </c>
      <c r="EO119" s="60">
        <f ca="1">AVERAGE(OFFSET($EN$3,0,0,'Données projet'!$E$15+1,1))-AVERAGE(OFFSET($H$3,0,0,'Données projet'!$E$15+1,1))</f>
        <v>478.11504516179713</v>
      </c>
      <c r="EP119" s="60">
        <f t="shared" si="100"/>
        <v>249.93713224442419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0</v>
      </c>
      <c r="EW119" s="23">
        <f>EXP(-LN(2)/25)*EW118+(1-EXP(-LN(2)/25))/(LN(2)/25)*Calculateur!ER119*Calculateur!ET119*VLOOKUP('Données projet'!$B$15,Paramètres!$A$1:$I$89,3,0)*0.475*44/12</f>
        <v>0</v>
      </c>
      <c r="EX119" s="23">
        <f>EXP(-LN(2)/2)*EX118+(1-EXP(-LN(2)/2))/(LN(2)/2)*ER119*EU119*VLOOKUP('Données projet'!$B$15,Paramètres!$A$1:$I$89,3,0)*0.475*44/12</f>
        <v>0</v>
      </c>
      <c r="EY119" s="24">
        <f t="shared" si="75"/>
        <v>0</v>
      </c>
      <c r="EZ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4.5</v>
      </c>
      <c r="FE119" s="13">
        <f>IF('Données projet'!$A$218&gt;35,FE118+FD119-FM118,IF(A119&lt;'Données projet'!$A$218,$FB$205^A119,IF(A119='Données projet'!$A$218,'Données projet'!$B$218,FE118+FD119-FM118)))</f>
        <v>333.99999999999989</v>
      </c>
      <c r="FF119" s="18">
        <f>FE119*VLOOKUP('Données projet'!$B$16,Paramètres!$A$1:$I$89,3,0)*VLOOKUP('Données projet'!$B$16,Paramètres!$A$1:$I$89,5,0)</f>
        <v>323.0447999999999</v>
      </c>
      <c r="FG119" s="14">
        <f t="shared" si="101"/>
        <v>75.986533921791832</v>
      </c>
      <c r="FH119" s="22">
        <f t="shared" si="76"/>
        <v>694.97957324712058</v>
      </c>
      <c r="FI119" s="60">
        <f t="shared" si="77"/>
        <v>976.27381714184207</v>
      </c>
      <c r="FJ119" s="60">
        <f ca="1">AVERAGE(OFFSET($FI$3,0,0,'Données projet'!$E$16+1,1))-AVERAGE(OFFSET($H$3,0,0,'Données projet'!$E$16+1,1))</f>
        <v>603.52431522262032</v>
      </c>
      <c r="FK119" s="60">
        <f t="shared" si="102"/>
        <v>313.56299786481338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>
        <f>EXP(-LN(2)/35)*FQ118+(1-EXP(-LN(2)/35))/(LN(2)/35)*FM119*FN119*VLOOKUP('Données projet'!$B$16,Paramètres!$A$1:$I$89,3,0)*0.475*44/12</f>
        <v>0</v>
      </c>
      <c r="FR119" s="23">
        <f>EXP(-LN(2)/25)*FR118+(1-EXP(-LN(2)/25))/(LN(2)/25)*Calculateur!FM119*Calculateur!FO119*VLOOKUP('Données projet'!$B$16,Paramètres!$A$1:$I$89,3,0)*0.475*44/12</f>
        <v>0</v>
      </c>
      <c r="FS119" s="23">
        <f>EXP(-LN(2)/2)*FS118+(1-EXP(-LN(2)/2))/(LN(2)/2)*FM119*FP119*VLOOKUP('Données projet'!$B$16,Paramètres!$A$1:$I$89,3,0)*0.475*44/12</f>
        <v>0</v>
      </c>
      <c r="FT119" s="24">
        <f t="shared" si="78"/>
        <v>0</v>
      </c>
      <c r="FU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>
        <f>FZ119*VLOOKUP('Données projet'!$B$17,Paramètres!$A$1:$I$89,3,0)*VLOOKUP('Données projet'!$B$17,Paramètres!$A$1:$I$89,5,0)</f>
        <v>0</v>
      </c>
      <c r="GB119" s="14" t="e">
        <f t="shared" si="103"/>
        <v>#NUM!</v>
      </c>
      <c r="GC119" s="22" t="e">
        <f t="shared" si="79"/>
        <v>#NUM!</v>
      </c>
      <c r="GD119" s="60" t="e">
        <f t="shared" si="80"/>
        <v>#NUM!</v>
      </c>
      <c r="GE119" s="60">
        <f ca="1">AVERAGE(OFFSET($GD$3,0,0,'Données projet'!$E$17+1,1))-AVERAGE(OFFSET($H$3,0,0,'Données projet'!$E$17+1,1))</f>
        <v>396.0878652679051</v>
      </c>
      <c r="GF119" s="60">
        <f t="shared" si="104"/>
        <v>327.26339199235406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>
        <f>EXP(-LN(2)/35)*GL118+(1-EXP(-LN(2)/35))/(LN(2)/35)*GH119*GI119*VLOOKUP('Données projet'!$B$17,Paramètres!$A$1:$I$89,3,0)*0.475*44/12</f>
        <v>0</v>
      </c>
      <c r="GM119" s="23">
        <f>EXP(-LN(2)/25)*GM118+(1-EXP(-LN(2)/25))/(LN(2)/25)*Calculateur!GH119*Calculateur!GJ119*VLOOKUP('Données projet'!$B$17,Paramètres!$A$1:$I$89,3,0)*0.475*44/12</f>
        <v>0</v>
      </c>
      <c r="GN119" s="23">
        <f>EXP(-LN(2)/2)*GN118+(1-EXP(-LN(2)/2))/(LN(2)/2)*GH119*GK119*VLOOKUP('Données projet'!$B$17,Paramètres!$A$1:$I$89,3,0)*0.475*44/12</f>
        <v>0</v>
      </c>
      <c r="GO119" s="23">
        <f t="shared" si="81"/>
        <v>0</v>
      </c>
      <c r="GP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-1.1368683772161603E-13</v>
      </c>
      <c r="GV119" s="18">
        <f>GU119*VLOOKUP('Données projet'!$B$18,Paramètres!$A$1:$I$89,3,0)*VLOOKUP('Données projet'!$B$18,Paramètres!$A$1:$I$89,5,0)</f>
        <v>-9.2222762759774927E-14</v>
      </c>
      <c r="GW119" s="14" t="e">
        <f t="shared" si="105"/>
        <v>#NUM!</v>
      </c>
      <c r="GX119" s="22" t="e">
        <f t="shared" si="82"/>
        <v>#NUM!</v>
      </c>
      <c r="GY119" s="60" t="e">
        <f t="shared" si="83"/>
        <v>#NUM!</v>
      </c>
      <c r="GZ119" s="60">
        <f ca="1">AVERAGE(OFFSET($GY$3,0,0,'Données projet'!$E$18+1,1))-AVERAGE(OFFSET($H$3,0,0,'Données projet'!$E$18+1,1))</f>
        <v>272.69564942740931</v>
      </c>
      <c r="HA119" s="60">
        <f t="shared" si="106"/>
        <v>316.57989180609252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>
        <f>EXP(-LN(2)/35)*HG118+(1-EXP(-LN(2)/35))/(LN(2)/35)*HC119*HD119*VLOOKUP('Données projet'!$B$18,Paramètres!$A$1:$I$89,3,0)*0.475*44/12</f>
        <v>0</v>
      </c>
      <c r="HH119" s="23">
        <f>EXP(-LN(2)/25)*HH118+(1-EXP(-LN(2)/25))/(LN(2)/25)*Calculateur!HC119*Calculateur!HE119*VLOOKUP('Données projet'!$B$18,Paramètres!$A$1:$I$89,3,0)*0.475*44/12</f>
        <v>0</v>
      </c>
      <c r="HI119" s="23">
        <f>EXP(-LN(2)/2)*HI118+(1-EXP(-LN(2)/2))/(LN(2)/2)*HC119*HF119*VLOOKUP('Données projet'!$B$18,Paramètres!$A$1:$I$89,3,0)*0.475*44/12</f>
        <v>0</v>
      </c>
      <c r="HJ119" s="24">
        <f t="shared" si="84"/>
        <v>0</v>
      </c>
    </row>
    <row r="120" spans="1:218" s="5" customFormat="1" x14ac:dyDescent="0.25">
      <c r="A120" s="11">
        <f t="shared" si="85"/>
        <v>117</v>
      </c>
      <c r="B120" s="75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8">
        <f t="shared" si="56"/>
        <v>183.33333333333334</v>
      </c>
      <c r="I120" s="7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4.5</v>
      </c>
      <c r="N120" s="14">
        <f>IF('Données projet'!$A$36&gt;35,N119+M120-V119,IF(A120&lt;'Données projet'!$A$36,$K$205^A120,IF(A120='Données projet'!$A$36,'Données projet'!$B$36,N119+M120-V119)))</f>
        <v>338.49999999999989</v>
      </c>
      <c r="O120" s="14">
        <f>N120*VLOOKUP('Données projet'!$B$9,Paramètres!$A$1:$I$89,3,0)*VLOOKUP('Données projet'!$B$9,Paramètres!$A$1:$I$89,5,0)</f>
        <v>306.27479999999991</v>
      </c>
      <c r="P120" s="14">
        <f t="shared" si="87"/>
        <v>72.490313602283052</v>
      </c>
      <c r="Q120" s="22">
        <f t="shared" si="107"/>
        <v>659.68257285730954</v>
      </c>
      <c r="R120" s="60">
        <f t="shared" si="55"/>
        <v>941.18566803841918</v>
      </c>
      <c r="S120" s="60">
        <f ca="1">AVERAGE(OFFSET($R$3,0,0,'Données projet'!$E$9+1,1))-AVERAGE(OFFSET($H$3,0,0,'Données projet'!$E$9+1,1))</f>
        <v>570.08763950759544</v>
      </c>
      <c r="T120" s="60">
        <f t="shared" si="88"/>
        <v>297.32483725004136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-5.6843418860808015E-14</v>
      </c>
      <c r="AJ120" s="14">
        <f>AI120*VLOOKUP('Données projet'!$B$10,Paramètres!$A$1:$I$89,3,0)*VLOOKUP('Données projet'!$B$10,Paramètres!$A$1:$I$89,5,0)</f>
        <v>-4.5224624045658861E-14</v>
      </c>
      <c r="AK120" s="14" t="e">
        <f t="shared" si="89"/>
        <v>#NUM!</v>
      </c>
      <c r="AL120" s="22" t="e">
        <f t="shared" si="58"/>
        <v>#NUM!</v>
      </c>
      <c r="AM120" s="60" t="e">
        <f t="shared" si="59"/>
        <v>#NUM!</v>
      </c>
      <c r="AN120" s="60">
        <f ca="1">AVERAGE(OFFSET($AM$3,0,0,'Données projet'!$E$10+1,1))-AVERAGE(OFFSET($H$3,0,0,'Données projet'!$E$10+1,1))</f>
        <v>394.49874384716014</v>
      </c>
      <c r="AO120" s="60">
        <f t="shared" si="90"/>
        <v>423.72519584013378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3.4106051316484809E-13</v>
      </c>
      <c r="BE120" s="14">
        <f>BD120*VLOOKUP('Données projet'!$B$11,Paramètres!$A$1:$I$89,3,0)*VLOOKUP('Données projet'!$B$11,Paramètres!$A$1:$I$89,5,0)</f>
        <v>2.9795046430081134E-13</v>
      </c>
      <c r="BF120" s="14">
        <f t="shared" si="91"/>
        <v>3.9419014464513778E-12</v>
      </c>
      <c r="BG120" s="22">
        <f t="shared" si="61"/>
        <v>7.384408744560063E-12</v>
      </c>
      <c r="BH120" s="60">
        <f t="shared" si="62"/>
        <v>281.50309518111703</v>
      </c>
      <c r="BI120" s="60">
        <f ca="1">AVERAGE(OFFSET($BH$3,0,0,'Données projet'!$E$11+1,1))-AVERAGE(OFFSET($H$3,0,0,'Données projet'!$E$11+1,1))</f>
        <v>363.28611056308665</v>
      </c>
      <c r="BJ120" s="60">
        <f t="shared" si="92"/>
        <v>389.43647559455974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3.141025641025641</v>
      </c>
      <c r="BY120" s="13">
        <f>IF('Données projet'!$A$114&gt;35,BY119+BX120-CG119,IF(A120&lt;'Données projet'!$A$114,$BV$205^A120,IF(A120='Données projet'!$A$114,'Données projet'!$B$114,BY119+BX120-CG119)))</f>
        <v>276.47435897435906</v>
      </c>
      <c r="BZ120" s="14">
        <f>BY120*VLOOKUP('Données projet'!$B$12,Paramètres!$A$1:$I$89,3,0)*VLOOKUP('Données projet'!$B$12,Paramètres!$A$1:$I$89,5,0)</f>
        <v>263.09300000000007</v>
      </c>
      <c r="CA120" s="14">
        <f t="shared" si="93"/>
        <v>63.381226101139966</v>
      </c>
      <c r="CB120" s="22">
        <f t="shared" si="64"/>
        <v>568.60927712615228</v>
      </c>
      <c r="CC120" s="60">
        <f t="shared" si="65"/>
        <v>850.11237230726192</v>
      </c>
      <c r="CD120" s="60">
        <f ca="1">AVERAGE(OFFSET($CC$3,0,0,'Données projet'!$E$12+1,1))-AVERAGE(OFFSET($H$3,0,0,'Données projet'!$E$12+1,1))</f>
        <v>441.15969139782891</v>
      </c>
      <c r="CE120" s="60">
        <f t="shared" si="94"/>
        <v>315.06466790224783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-5.6843418860808015E-14</v>
      </c>
      <c r="CU120" s="18">
        <f>CT120*VLOOKUP('Données projet'!$B$13,Paramètres!$A$1:$I$89,3,0)*VLOOKUP('Données projet'!$B$13,Paramètres!$A$1:$I$89,5,0)</f>
        <v>-4.1677594708744434E-14</v>
      </c>
      <c r="CV120" s="14" t="e">
        <f t="shared" si="95"/>
        <v>#NUM!</v>
      </c>
      <c r="CW120" s="22" t="e">
        <f t="shared" si="67"/>
        <v>#NUM!</v>
      </c>
      <c r="CX120" s="60" t="e">
        <f t="shared" si="68"/>
        <v>#NUM!</v>
      </c>
      <c r="CY120" s="60">
        <f ca="1">AVERAGE(OFFSET($CX$3,0,0,'Données projet'!$E$13+1,1))-AVERAGE(OFFSET($H$3,0,0,'Données projet'!$E$13+1,1))</f>
        <v>368.35775920359396</v>
      </c>
      <c r="CZ120" s="60">
        <f t="shared" si="96"/>
        <v>395.5218438652638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1.1368683772161603E-13</v>
      </c>
      <c r="DP120" s="18">
        <f>DO120*VLOOKUP('Données projet'!$B$14,Paramètres!$A$1:$I$89,3,0)*VLOOKUP('Données projet'!$B$14,Paramètres!$A$1:$I$89,5,0)</f>
        <v>8.8675733422860506E-14</v>
      </c>
      <c r="DQ120" s="14">
        <f t="shared" si="97"/>
        <v>1.3509285393066301E-12</v>
      </c>
      <c r="DR120" s="22">
        <f t="shared" si="70"/>
        <v>2.5073107750038623E-12</v>
      </c>
      <c r="DS120" s="60">
        <f t="shared" si="71"/>
        <v>281.50309518111214</v>
      </c>
      <c r="DT120" s="60">
        <f ca="1">AVERAGE(OFFSET($DS$3,0,0,'Données projet'!$E$14+1,1))-AVERAGE(OFFSET($H$3,0,0,'Données projet'!$E$14+1,1))</f>
        <v>312.59632808777332</v>
      </c>
      <c r="DU120" s="60">
        <f t="shared" si="98"/>
        <v>302.59481222418219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0</v>
      </c>
      <c r="EE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-1.1368683772161603E-13</v>
      </c>
      <c r="EK120" s="18">
        <f>EJ120*VLOOKUP('Données projet'!$B$15,Paramètres!$A$1:$I$89,3,0)*VLOOKUP('Données projet'!$B$15,Paramètres!$A$1:$I$89,5,0)</f>
        <v>-9.7543306765146564E-14</v>
      </c>
      <c r="EL120" s="14" t="e">
        <f t="shared" si="99"/>
        <v>#NUM!</v>
      </c>
      <c r="EM120" s="22" t="e">
        <f t="shared" si="73"/>
        <v>#NUM!</v>
      </c>
      <c r="EN120" s="60" t="e">
        <f t="shared" si="74"/>
        <v>#NUM!</v>
      </c>
      <c r="EO120" s="60">
        <f ca="1">AVERAGE(OFFSET($EN$3,0,0,'Données projet'!$E$15+1,1))-AVERAGE(OFFSET($H$3,0,0,'Données projet'!$E$15+1,1))</f>
        <v>478.11504516179713</v>
      </c>
      <c r="EP120" s="60">
        <f t="shared" si="100"/>
        <v>249.93713224442419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0</v>
      </c>
      <c r="EW120" s="23">
        <f>EXP(-LN(2)/25)*EW119+(1-EXP(-LN(2)/25))/(LN(2)/25)*Calculateur!ER120*Calculateur!ET120*VLOOKUP('Données projet'!$B$15,Paramètres!$A$1:$I$89,3,0)*0.475*44/12</f>
        <v>0</v>
      </c>
      <c r="EX120" s="23">
        <f>EXP(-LN(2)/2)*EX119+(1-EXP(-LN(2)/2))/(LN(2)/2)*ER120*EU120*VLOOKUP('Données projet'!$B$15,Paramètres!$A$1:$I$89,3,0)*0.475*44/12</f>
        <v>0</v>
      </c>
      <c r="EY120" s="24">
        <f t="shared" si="75"/>
        <v>0</v>
      </c>
      <c r="EZ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4.5</v>
      </c>
      <c r="FE120" s="13">
        <f>IF('Données projet'!$A$218&gt;35,FE119+FD120-FM119,IF(A120&lt;'Données projet'!$A$218,$FB$205^A120,IF(A120='Données projet'!$A$218,'Données projet'!$B$218,FE119+FD120-FM119)))</f>
        <v>338.49999999999989</v>
      </c>
      <c r="FF120" s="18">
        <f>FE120*VLOOKUP('Données projet'!$B$16,Paramètres!$A$1:$I$89,3,0)*VLOOKUP('Données projet'!$B$16,Paramètres!$A$1:$I$89,5,0)</f>
        <v>327.39719999999988</v>
      </c>
      <c r="FG120" s="14">
        <f t="shared" si="101"/>
        <v>76.890431885561796</v>
      </c>
      <c r="FH120" s="22">
        <f t="shared" si="76"/>
        <v>704.13429220068656</v>
      </c>
      <c r="FI120" s="60">
        <f t="shared" si="77"/>
        <v>985.6373873817962</v>
      </c>
      <c r="FJ120" s="60">
        <f ca="1">AVERAGE(OFFSET($FI$3,0,0,'Données projet'!$E$16+1,1))-AVERAGE(OFFSET($H$3,0,0,'Données projet'!$E$16+1,1))</f>
        <v>603.52431522262032</v>
      </c>
      <c r="FK120" s="60">
        <f t="shared" si="102"/>
        <v>313.56299786481338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>
        <f>EXP(-LN(2)/35)*FQ119+(1-EXP(-LN(2)/35))/(LN(2)/35)*FM120*FN120*VLOOKUP('Données projet'!$B$16,Paramètres!$A$1:$I$89,3,0)*0.475*44/12</f>
        <v>0</v>
      </c>
      <c r="FR120" s="23">
        <f>EXP(-LN(2)/25)*FR119+(1-EXP(-LN(2)/25))/(LN(2)/25)*Calculateur!FM120*Calculateur!FO120*VLOOKUP('Données projet'!$B$16,Paramètres!$A$1:$I$89,3,0)*0.475*44/12</f>
        <v>0</v>
      </c>
      <c r="FS120" s="23">
        <f>EXP(-LN(2)/2)*FS119+(1-EXP(-LN(2)/2))/(LN(2)/2)*FM120*FP120*VLOOKUP('Données projet'!$B$16,Paramètres!$A$1:$I$89,3,0)*0.475*44/12</f>
        <v>0</v>
      </c>
      <c r="FT120" s="24">
        <f t="shared" si="78"/>
        <v>0</v>
      </c>
      <c r="FU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>
        <f>FZ120*VLOOKUP('Données projet'!$B$17,Paramètres!$A$1:$I$89,3,0)*VLOOKUP('Données projet'!$B$17,Paramètres!$A$1:$I$89,5,0)</f>
        <v>0</v>
      </c>
      <c r="GB120" s="14" t="e">
        <f t="shared" si="103"/>
        <v>#NUM!</v>
      </c>
      <c r="GC120" s="22" t="e">
        <f t="shared" si="79"/>
        <v>#NUM!</v>
      </c>
      <c r="GD120" s="60" t="e">
        <f t="shared" si="80"/>
        <v>#NUM!</v>
      </c>
      <c r="GE120" s="60">
        <f ca="1">AVERAGE(OFFSET($GD$3,0,0,'Données projet'!$E$17+1,1))-AVERAGE(OFFSET($H$3,0,0,'Données projet'!$E$17+1,1))</f>
        <v>396.0878652679051</v>
      </c>
      <c r="GF120" s="60">
        <f t="shared" si="104"/>
        <v>327.26339199235406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>
        <f>EXP(-LN(2)/35)*GL119+(1-EXP(-LN(2)/35))/(LN(2)/35)*GH120*GI120*VLOOKUP('Données projet'!$B$17,Paramètres!$A$1:$I$89,3,0)*0.475*44/12</f>
        <v>0</v>
      </c>
      <c r="GM120" s="23">
        <f>EXP(-LN(2)/25)*GM119+(1-EXP(-LN(2)/25))/(LN(2)/25)*Calculateur!GH120*Calculateur!GJ120*VLOOKUP('Données projet'!$B$17,Paramètres!$A$1:$I$89,3,0)*0.475*44/12</f>
        <v>0</v>
      </c>
      <c r="GN120" s="23">
        <f>EXP(-LN(2)/2)*GN119+(1-EXP(-LN(2)/2))/(LN(2)/2)*GH120*GK120*VLOOKUP('Données projet'!$B$17,Paramètres!$A$1:$I$89,3,0)*0.475*44/12</f>
        <v>0</v>
      </c>
      <c r="GO120" s="23">
        <f t="shared" si="81"/>
        <v>0</v>
      </c>
      <c r="GP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-1.1368683772161603E-13</v>
      </c>
      <c r="GV120" s="18">
        <f>GU120*VLOOKUP('Données projet'!$B$18,Paramètres!$A$1:$I$89,3,0)*VLOOKUP('Données projet'!$B$18,Paramètres!$A$1:$I$89,5,0)</f>
        <v>-9.2222762759774927E-14</v>
      </c>
      <c r="GW120" s="14" t="e">
        <f t="shared" si="105"/>
        <v>#NUM!</v>
      </c>
      <c r="GX120" s="22" t="e">
        <f t="shared" si="82"/>
        <v>#NUM!</v>
      </c>
      <c r="GY120" s="60" t="e">
        <f t="shared" si="83"/>
        <v>#NUM!</v>
      </c>
      <c r="GZ120" s="60">
        <f ca="1">AVERAGE(OFFSET($GY$3,0,0,'Données projet'!$E$18+1,1))-AVERAGE(OFFSET($H$3,0,0,'Données projet'!$E$18+1,1))</f>
        <v>272.69564942740931</v>
      </c>
      <c r="HA120" s="60">
        <f t="shared" si="106"/>
        <v>316.57989180609252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>
        <f>EXP(-LN(2)/35)*HG119+(1-EXP(-LN(2)/35))/(LN(2)/35)*HC120*HD120*VLOOKUP('Données projet'!$B$18,Paramètres!$A$1:$I$89,3,0)*0.475*44/12</f>
        <v>0</v>
      </c>
      <c r="HH120" s="23">
        <f>EXP(-LN(2)/25)*HH119+(1-EXP(-LN(2)/25))/(LN(2)/25)*Calculateur!HC120*Calculateur!HE120*VLOOKUP('Données projet'!$B$18,Paramètres!$A$1:$I$89,3,0)*0.475*44/12</f>
        <v>0</v>
      </c>
      <c r="HI120" s="23">
        <f>EXP(-LN(2)/2)*HI119+(1-EXP(-LN(2)/2))/(LN(2)/2)*HC120*HF120*VLOOKUP('Données projet'!$B$18,Paramètres!$A$1:$I$89,3,0)*0.475*44/12</f>
        <v>0</v>
      </c>
      <c r="HJ120" s="24">
        <f t="shared" si="84"/>
        <v>0</v>
      </c>
    </row>
    <row r="121" spans="1:218" s="5" customFormat="1" x14ac:dyDescent="0.25">
      <c r="A121" s="11">
        <f t="shared" si="85"/>
        <v>118</v>
      </c>
      <c r="B121" s="75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8">
        <f t="shared" si="56"/>
        <v>183.33333333333334</v>
      </c>
      <c r="I121" s="7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4.5</v>
      </c>
      <c r="N121" s="14">
        <f>IF('Données projet'!$A$36&gt;35,N120+M121-V120,IF(A121&lt;'Données projet'!$A$36,$K$205^A121,IF(A121='Données projet'!$A$36,'Données projet'!$B$36,N120+M121-V120)))</f>
        <v>342.99999999999989</v>
      </c>
      <c r="O121" s="14">
        <f>N121*VLOOKUP('Données projet'!$B$9,Paramètres!$A$1:$I$89,3,0)*VLOOKUP('Données projet'!$B$9,Paramètres!$A$1:$I$89,5,0)</f>
        <v>310.34639999999985</v>
      </c>
      <c r="P121" s="14">
        <f t="shared" si="87"/>
        <v>73.341167576152998</v>
      </c>
      <c r="Q121" s="22">
        <f t="shared" si="107"/>
        <v>668.25584686179957</v>
      </c>
      <c r="R121" s="60">
        <f t="shared" si="55"/>
        <v>949.96417022640003</v>
      </c>
      <c r="S121" s="60">
        <f ca="1">AVERAGE(OFFSET($R$3,0,0,'Données projet'!$E$9+1,1))-AVERAGE(OFFSET($H$3,0,0,'Données projet'!$E$9+1,1))</f>
        <v>570.08763950759544</v>
      </c>
      <c r="T121" s="60">
        <f t="shared" si="88"/>
        <v>297.32483725004136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-5.6843418860808015E-14</v>
      </c>
      <c r="AJ121" s="14">
        <f>AI121*VLOOKUP('Données projet'!$B$10,Paramètres!$A$1:$I$89,3,0)*VLOOKUP('Données projet'!$B$10,Paramètres!$A$1:$I$89,5,0)</f>
        <v>-4.5224624045658861E-14</v>
      </c>
      <c r="AK121" s="14" t="e">
        <f t="shared" si="89"/>
        <v>#NUM!</v>
      </c>
      <c r="AL121" s="22" t="e">
        <f t="shared" si="58"/>
        <v>#NUM!</v>
      </c>
      <c r="AM121" s="60" t="e">
        <f t="shared" si="59"/>
        <v>#NUM!</v>
      </c>
      <c r="AN121" s="60">
        <f ca="1">AVERAGE(OFFSET($AM$3,0,0,'Données projet'!$E$10+1,1))-AVERAGE(OFFSET($H$3,0,0,'Données projet'!$E$10+1,1))</f>
        <v>394.49874384716014</v>
      </c>
      <c r="AO121" s="60">
        <f t="shared" si="90"/>
        <v>423.72519584013378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3.4106051316484809E-13</v>
      </c>
      <c r="BE121" s="14">
        <f>BD121*VLOOKUP('Données projet'!$B$11,Paramètres!$A$1:$I$89,3,0)*VLOOKUP('Données projet'!$B$11,Paramètres!$A$1:$I$89,5,0)</f>
        <v>2.9795046430081134E-13</v>
      </c>
      <c r="BF121" s="14">
        <f t="shared" si="91"/>
        <v>3.9419014464513778E-12</v>
      </c>
      <c r="BG121" s="22">
        <f t="shared" si="61"/>
        <v>7.384408744560063E-12</v>
      </c>
      <c r="BH121" s="60">
        <f t="shared" si="62"/>
        <v>281.70832336460779</v>
      </c>
      <c r="BI121" s="60">
        <f ca="1">AVERAGE(OFFSET($BH$3,0,0,'Données projet'!$E$11+1,1))-AVERAGE(OFFSET($H$3,0,0,'Données projet'!$E$11+1,1))</f>
        <v>363.28611056308665</v>
      </c>
      <c r="BJ121" s="60">
        <f t="shared" si="92"/>
        <v>389.43647559455974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3.141025641025641</v>
      </c>
      <c r="BY121" s="13">
        <f>IF('Données projet'!$A$114&gt;35,BY120+BX121-CG120,IF(A121&lt;'Données projet'!$A$114,$BV$205^A121,IF(A121='Données projet'!$A$114,'Données projet'!$B$114,BY120+BX121-CG120)))</f>
        <v>279.6153846153847</v>
      </c>
      <c r="BZ121" s="14">
        <f>BY121*VLOOKUP('Données projet'!$B$12,Paramètres!$A$1:$I$89,3,0)*VLOOKUP('Données projet'!$B$12,Paramètres!$A$1:$I$89,5,0)</f>
        <v>266.08200000000005</v>
      </c>
      <c r="CA121" s="14">
        <f t="shared" si="93"/>
        <v>64.017064743360152</v>
      </c>
      <c r="CB121" s="22">
        <f t="shared" si="64"/>
        <v>574.92253776135237</v>
      </c>
      <c r="CC121" s="60">
        <f t="shared" si="65"/>
        <v>856.63086112595283</v>
      </c>
      <c r="CD121" s="60">
        <f ca="1">AVERAGE(OFFSET($CC$3,0,0,'Données projet'!$E$12+1,1))-AVERAGE(OFFSET($H$3,0,0,'Données projet'!$E$12+1,1))</f>
        <v>441.15969139782891</v>
      </c>
      <c r="CE121" s="60">
        <f t="shared" si="94"/>
        <v>315.06466790224783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-5.6843418860808015E-14</v>
      </c>
      <c r="CU121" s="18">
        <f>CT121*VLOOKUP('Données projet'!$B$13,Paramètres!$A$1:$I$89,3,0)*VLOOKUP('Données projet'!$B$13,Paramètres!$A$1:$I$89,5,0)</f>
        <v>-4.1677594708744434E-14</v>
      </c>
      <c r="CV121" s="14" t="e">
        <f t="shared" si="95"/>
        <v>#NUM!</v>
      </c>
      <c r="CW121" s="22" t="e">
        <f t="shared" si="67"/>
        <v>#NUM!</v>
      </c>
      <c r="CX121" s="60" t="e">
        <f t="shared" si="68"/>
        <v>#NUM!</v>
      </c>
      <c r="CY121" s="60">
        <f ca="1">AVERAGE(OFFSET($CX$3,0,0,'Données projet'!$E$13+1,1))-AVERAGE(OFFSET($H$3,0,0,'Données projet'!$E$13+1,1))</f>
        <v>368.35775920359396</v>
      </c>
      <c r="CZ121" s="60">
        <f t="shared" si="96"/>
        <v>395.5218438652638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1.1368683772161603E-13</v>
      </c>
      <c r="DP121" s="18">
        <f>DO121*VLOOKUP('Données projet'!$B$14,Paramètres!$A$1:$I$89,3,0)*VLOOKUP('Données projet'!$B$14,Paramètres!$A$1:$I$89,5,0)</f>
        <v>8.8675733422860506E-14</v>
      </c>
      <c r="DQ121" s="14">
        <f t="shared" si="97"/>
        <v>1.3509285393066301E-12</v>
      </c>
      <c r="DR121" s="22">
        <f t="shared" si="70"/>
        <v>2.5073107750038623E-12</v>
      </c>
      <c r="DS121" s="60">
        <f t="shared" si="71"/>
        <v>281.7083233646029</v>
      </c>
      <c r="DT121" s="60">
        <f ca="1">AVERAGE(OFFSET($DS$3,0,0,'Données projet'!$E$14+1,1))-AVERAGE(OFFSET($H$3,0,0,'Données projet'!$E$14+1,1))</f>
        <v>312.59632808777332</v>
      </c>
      <c r="DU121" s="60">
        <f t="shared" si="98"/>
        <v>302.59481222418219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0</v>
      </c>
      <c r="EE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-1.1368683772161603E-13</v>
      </c>
      <c r="EK121" s="18">
        <f>EJ121*VLOOKUP('Données projet'!$B$15,Paramètres!$A$1:$I$89,3,0)*VLOOKUP('Données projet'!$B$15,Paramètres!$A$1:$I$89,5,0)</f>
        <v>-9.7543306765146564E-14</v>
      </c>
      <c r="EL121" s="14" t="e">
        <f t="shared" si="99"/>
        <v>#NUM!</v>
      </c>
      <c r="EM121" s="22" t="e">
        <f t="shared" si="73"/>
        <v>#NUM!</v>
      </c>
      <c r="EN121" s="60" t="e">
        <f t="shared" si="74"/>
        <v>#NUM!</v>
      </c>
      <c r="EO121" s="60">
        <f ca="1">AVERAGE(OFFSET($EN$3,0,0,'Données projet'!$E$15+1,1))-AVERAGE(OFFSET($H$3,0,0,'Données projet'!$E$15+1,1))</f>
        <v>478.11504516179713</v>
      </c>
      <c r="EP121" s="60">
        <f t="shared" si="100"/>
        <v>249.93713224442419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0</v>
      </c>
      <c r="EW121" s="23">
        <f>EXP(-LN(2)/25)*EW120+(1-EXP(-LN(2)/25))/(LN(2)/25)*Calculateur!ER121*Calculateur!ET121*VLOOKUP('Données projet'!$B$15,Paramètres!$A$1:$I$89,3,0)*0.475*44/12</f>
        <v>0</v>
      </c>
      <c r="EX121" s="23">
        <f>EXP(-LN(2)/2)*EX120+(1-EXP(-LN(2)/2))/(LN(2)/2)*ER121*EU121*VLOOKUP('Données projet'!$B$15,Paramètres!$A$1:$I$89,3,0)*0.475*44/12</f>
        <v>0</v>
      </c>
      <c r="EY121" s="24">
        <f t="shared" si="75"/>
        <v>0</v>
      </c>
      <c r="EZ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4.5</v>
      </c>
      <c r="FE121" s="13">
        <f>IF('Données projet'!$A$218&gt;35,FE120+FD121-FM120,IF(A121&lt;'Données projet'!$A$218,$FB$205^A121,IF(A121='Données projet'!$A$218,'Données projet'!$B$218,FE120+FD121-FM120)))</f>
        <v>342.99999999999989</v>
      </c>
      <c r="FF121" s="18">
        <f>FE121*VLOOKUP('Données projet'!$B$16,Paramètres!$A$1:$I$89,3,0)*VLOOKUP('Données projet'!$B$16,Paramètres!$A$1:$I$89,5,0)</f>
        <v>331.74959999999993</v>
      </c>
      <c r="FG121" s="14">
        <f t="shared" si="101"/>
        <v>77.792932182102803</v>
      </c>
      <c r="FH121" s="22">
        <f t="shared" si="76"/>
        <v>713.28657688382884</v>
      </c>
      <c r="FI121" s="60">
        <f t="shared" si="77"/>
        <v>994.9949002484293</v>
      </c>
      <c r="FJ121" s="60">
        <f ca="1">AVERAGE(OFFSET($FI$3,0,0,'Données projet'!$E$16+1,1))-AVERAGE(OFFSET($H$3,0,0,'Données projet'!$E$16+1,1))</f>
        <v>603.52431522262032</v>
      </c>
      <c r="FK121" s="60">
        <f t="shared" si="102"/>
        <v>313.56299786481338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>
        <f>EXP(-LN(2)/35)*FQ120+(1-EXP(-LN(2)/35))/(LN(2)/35)*FM121*FN121*VLOOKUP('Données projet'!$B$16,Paramètres!$A$1:$I$89,3,0)*0.475*44/12</f>
        <v>0</v>
      </c>
      <c r="FR121" s="23">
        <f>EXP(-LN(2)/25)*FR120+(1-EXP(-LN(2)/25))/(LN(2)/25)*Calculateur!FM121*Calculateur!FO121*VLOOKUP('Données projet'!$B$16,Paramètres!$A$1:$I$89,3,0)*0.475*44/12</f>
        <v>0</v>
      </c>
      <c r="FS121" s="23">
        <f>EXP(-LN(2)/2)*FS120+(1-EXP(-LN(2)/2))/(LN(2)/2)*FM121*FP121*VLOOKUP('Données projet'!$B$16,Paramètres!$A$1:$I$89,3,0)*0.475*44/12</f>
        <v>0</v>
      </c>
      <c r="FT121" s="24">
        <f t="shared" si="78"/>
        <v>0</v>
      </c>
      <c r="FU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>
        <f>FZ121*VLOOKUP('Données projet'!$B$17,Paramètres!$A$1:$I$89,3,0)*VLOOKUP('Données projet'!$B$17,Paramètres!$A$1:$I$89,5,0)</f>
        <v>0</v>
      </c>
      <c r="GB121" s="14" t="e">
        <f t="shared" si="103"/>
        <v>#NUM!</v>
      </c>
      <c r="GC121" s="22" t="e">
        <f t="shared" si="79"/>
        <v>#NUM!</v>
      </c>
      <c r="GD121" s="60" t="e">
        <f t="shared" si="80"/>
        <v>#NUM!</v>
      </c>
      <c r="GE121" s="60">
        <f ca="1">AVERAGE(OFFSET($GD$3,0,0,'Données projet'!$E$17+1,1))-AVERAGE(OFFSET($H$3,0,0,'Données projet'!$E$17+1,1))</f>
        <v>396.0878652679051</v>
      </c>
      <c r="GF121" s="60">
        <f t="shared" si="104"/>
        <v>327.26339199235406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>
        <f>EXP(-LN(2)/35)*GL120+(1-EXP(-LN(2)/35))/(LN(2)/35)*GH121*GI121*VLOOKUP('Données projet'!$B$17,Paramètres!$A$1:$I$89,3,0)*0.475*44/12</f>
        <v>0</v>
      </c>
      <c r="GM121" s="23">
        <f>EXP(-LN(2)/25)*GM120+(1-EXP(-LN(2)/25))/(LN(2)/25)*Calculateur!GH121*Calculateur!GJ121*VLOOKUP('Données projet'!$B$17,Paramètres!$A$1:$I$89,3,0)*0.475*44/12</f>
        <v>0</v>
      </c>
      <c r="GN121" s="23">
        <f>EXP(-LN(2)/2)*GN120+(1-EXP(-LN(2)/2))/(LN(2)/2)*GH121*GK121*VLOOKUP('Données projet'!$B$17,Paramètres!$A$1:$I$89,3,0)*0.475*44/12</f>
        <v>0</v>
      </c>
      <c r="GO121" s="23">
        <f t="shared" si="81"/>
        <v>0</v>
      </c>
      <c r="GP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-1.1368683772161603E-13</v>
      </c>
      <c r="GV121" s="18">
        <f>GU121*VLOOKUP('Données projet'!$B$18,Paramètres!$A$1:$I$89,3,0)*VLOOKUP('Données projet'!$B$18,Paramètres!$A$1:$I$89,5,0)</f>
        <v>-9.2222762759774927E-14</v>
      </c>
      <c r="GW121" s="14" t="e">
        <f t="shared" si="105"/>
        <v>#NUM!</v>
      </c>
      <c r="GX121" s="22" t="e">
        <f t="shared" si="82"/>
        <v>#NUM!</v>
      </c>
      <c r="GY121" s="60" t="e">
        <f t="shared" si="83"/>
        <v>#NUM!</v>
      </c>
      <c r="GZ121" s="60">
        <f ca="1">AVERAGE(OFFSET($GY$3,0,0,'Données projet'!$E$18+1,1))-AVERAGE(OFFSET($H$3,0,0,'Données projet'!$E$18+1,1))</f>
        <v>272.69564942740931</v>
      </c>
      <c r="HA121" s="60">
        <f t="shared" si="106"/>
        <v>316.57989180609252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>
        <f>EXP(-LN(2)/35)*HG120+(1-EXP(-LN(2)/35))/(LN(2)/35)*HC121*HD121*VLOOKUP('Données projet'!$B$18,Paramètres!$A$1:$I$89,3,0)*0.475*44/12</f>
        <v>0</v>
      </c>
      <c r="HH121" s="23">
        <f>EXP(-LN(2)/25)*HH120+(1-EXP(-LN(2)/25))/(LN(2)/25)*Calculateur!HC121*Calculateur!HE121*VLOOKUP('Données projet'!$B$18,Paramètres!$A$1:$I$89,3,0)*0.475*44/12</f>
        <v>0</v>
      </c>
      <c r="HI121" s="23">
        <f>EXP(-LN(2)/2)*HI120+(1-EXP(-LN(2)/2))/(LN(2)/2)*HC121*HF121*VLOOKUP('Données projet'!$B$18,Paramètres!$A$1:$I$89,3,0)*0.475*44/12</f>
        <v>0</v>
      </c>
      <c r="HJ121" s="24">
        <f t="shared" si="84"/>
        <v>0</v>
      </c>
    </row>
    <row r="122" spans="1:218" s="5" customFormat="1" x14ac:dyDescent="0.25">
      <c r="A122" s="11">
        <f t="shared" si="85"/>
        <v>119</v>
      </c>
      <c r="B122" s="75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8">
        <f t="shared" si="56"/>
        <v>183.33333333333334</v>
      </c>
      <c r="I122" s="7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4.5</v>
      </c>
      <c r="N122" s="14">
        <f>IF('Données projet'!$A$36&gt;35,N121+M122-V121,IF(A122&lt;'Données projet'!$A$36,$K$205^A122,IF(A122='Données projet'!$A$36,'Données projet'!$B$36,N121+M122-V121)))</f>
        <v>347.49999999999989</v>
      </c>
      <c r="O122" s="14">
        <f>N122*VLOOKUP('Données projet'!$B$9,Paramètres!$A$1:$I$89,3,0)*VLOOKUP('Données projet'!$B$9,Paramètres!$A$1:$I$89,5,0)</f>
        <v>314.41799999999989</v>
      </c>
      <c r="P122" s="14">
        <f t="shared" si="87"/>
        <v>74.190723151497338</v>
      </c>
      <c r="Q122" s="22">
        <f t="shared" si="107"/>
        <v>676.82685948885762</v>
      </c>
      <c r="R122" s="60">
        <f t="shared" si="55"/>
        <v>958.73685078678682</v>
      </c>
      <c r="S122" s="60">
        <f ca="1">AVERAGE(OFFSET($R$3,0,0,'Données projet'!$E$9+1,1))-AVERAGE(OFFSET($H$3,0,0,'Données projet'!$E$9+1,1))</f>
        <v>570.08763950759544</v>
      </c>
      <c r="T122" s="60">
        <f t="shared" si="88"/>
        <v>297.32483725004136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-5.6843418860808015E-14</v>
      </c>
      <c r="AJ122" s="14">
        <f>AI122*VLOOKUP('Données projet'!$B$10,Paramètres!$A$1:$I$89,3,0)*VLOOKUP('Données projet'!$B$10,Paramètres!$A$1:$I$89,5,0)</f>
        <v>-4.5224624045658861E-14</v>
      </c>
      <c r="AK122" s="14" t="e">
        <f t="shared" si="89"/>
        <v>#NUM!</v>
      </c>
      <c r="AL122" s="22" t="e">
        <f t="shared" si="58"/>
        <v>#NUM!</v>
      </c>
      <c r="AM122" s="60" t="e">
        <f t="shared" si="59"/>
        <v>#NUM!</v>
      </c>
      <c r="AN122" s="60">
        <f ca="1">AVERAGE(OFFSET($AM$3,0,0,'Données projet'!$E$10+1,1))-AVERAGE(OFFSET($H$3,0,0,'Données projet'!$E$10+1,1))</f>
        <v>394.49874384716014</v>
      </c>
      <c r="AO122" s="60">
        <f t="shared" si="90"/>
        <v>423.72519584013378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3.4106051316484809E-13</v>
      </c>
      <c r="BE122" s="14">
        <f>BD122*VLOOKUP('Données projet'!$B$11,Paramètres!$A$1:$I$89,3,0)*VLOOKUP('Données projet'!$B$11,Paramètres!$A$1:$I$89,5,0)</f>
        <v>2.9795046430081134E-13</v>
      </c>
      <c r="BF122" s="14">
        <f t="shared" si="91"/>
        <v>3.9419014464513778E-12</v>
      </c>
      <c r="BG122" s="22">
        <f t="shared" si="61"/>
        <v>7.384408744560063E-12</v>
      </c>
      <c r="BH122" s="60">
        <f t="shared" si="62"/>
        <v>281.90999129793653</v>
      </c>
      <c r="BI122" s="60">
        <f ca="1">AVERAGE(OFFSET($BH$3,0,0,'Données projet'!$E$11+1,1))-AVERAGE(OFFSET($H$3,0,0,'Données projet'!$E$11+1,1))</f>
        <v>363.28611056308665</v>
      </c>
      <c r="BJ122" s="60">
        <f t="shared" si="92"/>
        <v>389.43647559455974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3.141025641025641</v>
      </c>
      <c r="BY122" s="13">
        <f>IF('Données projet'!$A$114&gt;35,BY121+BX122-CG121,IF(A122&lt;'Données projet'!$A$114,$BV$205^A122,IF(A122='Données projet'!$A$114,'Données projet'!$B$114,BY121+BX122-CG121)))</f>
        <v>282.75641025641033</v>
      </c>
      <c r="BZ122" s="14">
        <f>BY122*VLOOKUP('Données projet'!$B$12,Paramètres!$A$1:$I$89,3,0)*VLOOKUP('Données projet'!$B$12,Paramètres!$A$1:$I$89,5,0)</f>
        <v>269.07100000000008</v>
      </c>
      <c r="CA122" s="14">
        <f t="shared" si="93"/>
        <v>64.652072509850228</v>
      </c>
      <c r="CB122" s="22">
        <f t="shared" si="64"/>
        <v>581.2343512879894</v>
      </c>
      <c r="CC122" s="60">
        <f t="shared" si="65"/>
        <v>863.14434258591859</v>
      </c>
      <c r="CD122" s="60">
        <f ca="1">AVERAGE(OFFSET($CC$3,0,0,'Données projet'!$E$12+1,1))-AVERAGE(OFFSET($H$3,0,0,'Données projet'!$E$12+1,1))</f>
        <v>441.15969139782891</v>
      </c>
      <c r="CE122" s="60">
        <f t="shared" si="94"/>
        <v>315.06466790224783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-5.6843418860808015E-14</v>
      </c>
      <c r="CU122" s="18">
        <f>CT122*VLOOKUP('Données projet'!$B$13,Paramètres!$A$1:$I$89,3,0)*VLOOKUP('Données projet'!$B$13,Paramètres!$A$1:$I$89,5,0)</f>
        <v>-4.1677594708744434E-14</v>
      </c>
      <c r="CV122" s="14" t="e">
        <f t="shared" si="95"/>
        <v>#NUM!</v>
      </c>
      <c r="CW122" s="22" t="e">
        <f t="shared" si="67"/>
        <v>#NUM!</v>
      </c>
      <c r="CX122" s="60" t="e">
        <f t="shared" si="68"/>
        <v>#NUM!</v>
      </c>
      <c r="CY122" s="60">
        <f ca="1">AVERAGE(OFFSET($CX$3,0,0,'Données projet'!$E$13+1,1))-AVERAGE(OFFSET($H$3,0,0,'Données projet'!$E$13+1,1))</f>
        <v>368.35775920359396</v>
      </c>
      <c r="CZ122" s="60">
        <f t="shared" si="96"/>
        <v>395.5218438652638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1.1368683772161603E-13</v>
      </c>
      <c r="DP122" s="18">
        <f>DO122*VLOOKUP('Données projet'!$B$14,Paramètres!$A$1:$I$89,3,0)*VLOOKUP('Données projet'!$B$14,Paramètres!$A$1:$I$89,5,0)</f>
        <v>8.8675733422860506E-14</v>
      </c>
      <c r="DQ122" s="14">
        <f t="shared" si="97"/>
        <v>1.3509285393066301E-12</v>
      </c>
      <c r="DR122" s="22">
        <f t="shared" si="70"/>
        <v>2.5073107750038623E-12</v>
      </c>
      <c r="DS122" s="60">
        <f t="shared" si="71"/>
        <v>281.90999129793164</v>
      </c>
      <c r="DT122" s="60">
        <f ca="1">AVERAGE(OFFSET($DS$3,0,0,'Données projet'!$E$14+1,1))-AVERAGE(OFFSET($H$3,0,0,'Données projet'!$E$14+1,1))</f>
        <v>312.59632808777332</v>
      </c>
      <c r="DU122" s="60">
        <f t="shared" si="98"/>
        <v>302.59481222418219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0</v>
      </c>
      <c r="EE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-1.1368683772161603E-13</v>
      </c>
      <c r="EK122" s="18">
        <f>EJ122*VLOOKUP('Données projet'!$B$15,Paramètres!$A$1:$I$89,3,0)*VLOOKUP('Données projet'!$B$15,Paramètres!$A$1:$I$89,5,0)</f>
        <v>-9.7543306765146564E-14</v>
      </c>
      <c r="EL122" s="14" t="e">
        <f t="shared" si="99"/>
        <v>#NUM!</v>
      </c>
      <c r="EM122" s="22" t="e">
        <f t="shared" si="73"/>
        <v>#NUM!</v>
      </c>
      <c r="EN122" s="60" t="e">
        <f t="shared" si="74"/>
        <v>#NUM!</v>
      </c>
      <c r="EO122" s="60">
        <f ca="1">AVERAGE(OFFSET($EN$3,0,0,'Données projet'!$E$15+1,1))-AVERAGE(OFFSET($H$3,0,0,'Données projet'!$E$15+1,1))</f>
        <v>478.11504516179713</v>
      </c>
      <c r="EP122" s="60">
        <f t="shared" si="100"/>
        <v>249.93713224442419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0</v>
      </c>
      <c r="EW122" s="23">
        <f>EXP(-LN(2)/25)*EW121+(1-EXP(-LN(2)/25))/(LN(2)/25)*Calculateur!ER122*Calculateur!ET122*VLOOKUP('Données projet'!$B$15,Paramètres!$A$1:$I$89,3,0)*0.475*44/12</f>
        <v>0</v>
      </c>
      <c r="EX122" s="23">
        <f>EXP(-LN(2)/2)*EX121+(1-EXP(-LN(2)/2))/(LN(2)/2)*ER122*EU122*VLOOKUP('Données projet'!$B$15,Paramètres!$A$1:$I$89,3,0)*0.475*44/12</f>
        <v>0</v>
      </c>
      <c r="EY122" s="24">
        <f t="shared" si="75"/>
        <v>0</v>
      </c>
      <c r="EZ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4.5</v>
      </c>
      <c r="FE122" s="13">
        <f>IF('Données projet'!$A$218&gt;35,FE121+FD122-FM121,IF(A122&lt;'Données projet'!$A$218,$FB$205^A122,IF(A122='Données projet'!$A$218,'Données projet'!$B$218,FE121+FD122-FM121)))</f>
        <v>347.49999999999989</v>
      </c>
      <c r="FF122" s="18">
        <f>FE122*VLOOKUP('Données projet'!$B$16,Paramètres!$A$1:$I$89,3,0)*VLOOKUP('Données projet'!$B$16,Paramètres!$A$1:$I$89,5,0)</f>
        <v>336.10199999999992</v>
      </c>
      <c r="FG122" s="14">
        <f t="shared" si="101"/>
        <v>78.694055268111313</v>
      </c>
      <c r="FH122" s="22">
        <f t="shared" si="76"/>
        <v>722.43646292529365</v>
      </c>
      <c r="FI122" s="60">
        <f t="shared" si="77"/>
        <v>1004.3464542232227</v>
      </c>
      <c r="FJ122" s="60">
        <f ca="1">AVERAGE(OFFSET($FI$3,0,0,'Données projet'!$E$16+1,1))-AVERAGE(OFFSET($H$3,0,0,'Données projet'!$E$16+1,1))</f>
        <v>603.52431522262032</v>
      </c>
      <c r="FK122" s="60">
        <f t="shared" si="102"/>
        <v>313.56299786481338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>
        <f>EXP(-LN(2)/35)*FQ121+(1-EXP(-LN(2)/35))/(LN(2)/35)*FM122*FN122*VLOOKUP('Données projet'!$B$16,Paramètres!$A$1:$I$89,3,0)*0.475*44/12</f>
        <v>0</v>
      </c>
      <c r="FR122" s="23">
        <f>EXP(-LN(2)/25)*FR121+(1-EXP(-LN(2)/25))/(LN(2)/25)*Calculateur!FM122*Calculateur!FO122*VLOOKUP('Données projet'!$B$16,Paramètres!$A$1:$I$89,3,0)*0.475*44/12</f>
        <v>0</v>
      </c>
      <c r="FS122" s="23">
        <f>EXP(-LN(2)/2)*FS121+(1-EXP(-LN(2)/2))/(LN(2)/2)*FM122*FP122*VLOOKUP('Données projet'!$B$16,Paramètres!$A$1:$I$89,3,0)*0.475*44/12</f>
        <v>0</v>
      </c>
      <c r="FT122" s="24">
        <f t="shared" si="78"/>
        <v>0</v>
      </c>
      <c r="FU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>
        <f>FZ122*VLOOKUP('Données projet'!$B$17,Paramètres!$A$1:$I$89,3,0)*VLOOKUP('Données projet'!$B$17,Paramètres!$A$1:$I$89,5,0)</f>
        <v>0</v>
      </c>
      <c r="GB122" s="14" t="e">
        <f t="shared" si="103"/>
        <v>#NUM!</v>
      </c>
      <c r="GC122" s="22" t="e">
        <f t="shared" si="79"/>
        <v>#NUM!</v>
      </c>
      <c r="GD122" s="60" t="e">
        <f t="shared" si="80"/>
        <v>#NUM!</v>
      </c>
      <c r="GE122" s="60">
        <f ca="1">AVERAGE(OFFSET($GD$3,0,0,'Données projet'!$E$17+1,1))-AVERAGE(OFFSET($H$3,0,0,'Données projet'!$E$17+1,1))</f>
        <v>396.0878652679051</v>
      </c>
      <c r="GF122" s="60">
        <f t="shared" si="104"/>
        <v>327.26339199235406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>
        <f>EXP(-LN(2)/35)*GL121+(1-EXP(-LN(2)/35))/(LN(2)/35)*GH122*GI122*VLOOKUP('Données projet'!$B$17,Paramètres!$A$1:$I$89,3,0)*0.475*44/12</f>
        <v>0</v>
      </c>
      <c r="GM122" s="23">
        <f>EXP(-LN(2)/25)*GM121+(1-EXP(-LN(2)/25))/(LN(2)/25)*Calculateur!GH122*Calculateur!GJ122*VLOOKUP('Données projet'!$B$17,Paramètres!$A$1:$I$89,3,0)*0.475*44/12</f>
        <v>0</v>
      </c>
      <c r="GN122" s="23">
        <f>EXP(-LN(2)/2)*GN121+(1-EXP(-LN(2)/2))/(LN(2)/2)*GH122*GK122*VLOOKUP('Données projet'!$B$17,Paramètres!$A$1:$I$89,3,0)*0.475*44/12</f>
        <v>0</v>
      </c>
      <c r="GO122" s="23">
        <f t="shared" si="81"/>
        <v>0</v>
      </c>
      <c r="GP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-1.1368683772161603E-13</v>
      </c>
      <c r="GV122" s="18">
        <f>GU122*VLOOKUP('Données projet'!$B$18,Paramètres!$A$1:$I$89,3,0)*VLOOKUP('Données projet'!$B$18,Paramètres!$A$1:$I$89,5,0)</f>
        <v>-9.2222762759774927E-14</v>
      </c>
      <c r="GW122" s="14" t="e">
        <f t="shared" si="105"/>
        <v>#NUM!</v>
      </c>
      <c r="GX122" s="22" t="e">
        <f t="shared" si="82"/>
        <v>#NUM!</v>
      </c>
      <c r="GY122" s="60" t="e">
        <f t="shared" si="83"/>
        <v>#NUM!</v>
      </c>
      <c r="GZ122" s="60">
        <f ca="1">AVERAGE(OFFSET($GY$3,0,0,'Données projet'!$E$18+1,1))-AVERAGE(OFFSET($H$3,0,0,'Données projet'!$E$18+1,1))</f>
        <v>272.69564942740931</v>
      </c>
      <c r="HA122" s="60">
        <f t="shared" si="106"/>
        <v>316.57989180609252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>
        <f>EXP(-LN(2)/35)*HG121+(1-EXP(-LN(2)/35))/(LN(2)/35)*HC122*HD122*VLOOKUP('Données projet'!$B$18,Paramètres!$A$1:$I$89,3,0)*0.475*44/12</f>
        <v>0</v>
      </c>
      <c r="HH122" s="23">
        <f>EXP(-LN(2)/25)*HH121+(1-EXP(-LN(2)/25))/(LN(2)/25)*Calculateur!HC122*Calculateur!HE122*VLOOKUP('Données projet'!$B$18,Paramètres!$A$1:$I$89,3,0)*0.475*44/12</f>
        <v>0</v>
      </c>
      <c r="HI122" s="23">
        <f>EXP(-LN(2)/2)*HI121+(1-EXP(-LN(2)/2))/(LN(2)/2)*HC122*HF122*VLOOKUP('Données projet'!$B$18,Paramètres!$A$1:$I$89,3,0)*0.475*44/12</f>
        <v>0</v>
      </c>
      <c r="HJ122" s="24">
        <f t="shared" si="84"/>
        <v>0</v>
      </c>
    </row>
    <row r="123" spans="1:218" s="5" customFormat="1" x14ac:dyDescent="0.25">
      <c r="A123" s="11">
        <f t="shared" si="85"/>
        <v>120</v>
      </c>
      <c r="B123" s="75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8">
        <f t="shared" si="56"/>
        <v>183.33333333333334</v>
      </c>
      <c r="I123" s="7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>
        <f>VLOOKUP(A123,'Données projet'!$A$35:$I$55,2,0)</f>
        <v>352</v>
      </c>
      <c r="L123" s="13">
        <f>VLOOKUP(A123,'Données projet'!$A$35:$I$55,9,0)</f>
        <v>4.5</v>
      </c>
      <c r="M123" s="13">
        <f t="array" ref="M123">INDEX(L:L,MIN(IF(ISNUMBER(L123:L319),ROW(L123:L319),"")))</f>
        <v>4.5</v>
      </c>
      <c r="N123" s="14">
        <f>IF('Données projet'!$A$36&gt;35,N122+M123-V122,IF(A123&lt;'Données projet'!$A$36,$K$205^A123,IF(A123='Données projet'!$A$36,'Données projet'!$B$36,N122+M123-V122)))</f>
        <v>351.99999999999989</v>
      </c>
      <c r="O123" s="14">
        <f>N123*VLOOKUP('Données projet'!$B$9,Paramètres!$A$1:$I$89,3,0)*VLOOKUP('Données projet'!$B$9,Paramètres!$A$1:$I$89,5,0)</f>
        <v>318.48959999999988</v>
      </c>
      <c r="P123" s="14">
        <f t="shared" si="87"/>
        <v>75.038999086150227</v>
      </c>
      <c r="Q123" s="22">
        <f t="shared" si="107"/>
        <v>685.39564340837808</v>
      </c>
      <c r="R123" s="60">
        <f t="shared" si="55"/>
        <v>967.50380415185464</v>
      </c>
      <c r="S123" s="60">
        <f ca="1">AVERAGE(OFFSET($R$3,0,0,'Données projet'!$E$9+1,1))-AVERAGE(OFFSET($H$3,0,0,'Données projet'!$E$9+1,1))</f>
        <v>570.08763950759544</v>
      </c>
      <c r="T123" s="60">
        <f t="shared" si="88"/>
        <v>297.32483725004136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-5.6843418860808015E-14</v>
      </c>
      <c r="AJ123" s="14">
        <f>AI123*VLOOKUP('Données projet'!$B$10,Paramètres!$A$1:$I$89,3,0)*VLOOKUP('Données projet'!$B$10,Paramètres!$A$1:$I$89,5,0)</f>
        <v>-4.5224624045658861E-14</v>
      </c>
      <c r="AK123" s="14" t="e">
        <f t="shared" si="89"/>
        <v>#NUM!</v>
      </c>
      <c r="AL123" s="22" t="e">
        <f t="shared" si="58"/>
        <v>#NUM!</v>
      </c>
      <c r="AM123" s="60" t="e">
        <f t="shared" si="59"/>
        <v>#NUM!</v>
      </c>
      <c r="AN123" s="60">
        <f ca="1">AVERAGE(OFFSET($AM$3,0,0,'Données projet'!$E$10+1,1))-AVERAGE(OFFSET($H$3,0,0,'Données projet'!$E$10+1,1))</f>
        <v>394.49874384716014</v>
      </c>
      <c r="AO123" s="60">
        <f t="shared" si="90"/>
        <v>423.72519584013378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3.4106051316484809E-13</v>
      </c>
      <c r="BE123" s="14">
        <f>BD123*VLOOKUP('Données projet'!$B$11,Paramètres!$A$1:$I$89,3,0)*VLOOKUP('Données projet'!$B$11,Paramètres!$A$1:$I$89,5,0)</f>
        <v>2.9795046430081134E-13</v>
      </c>
      <c r="BF123" s="14">
        <f t="shared" si="91"/>
        <v>3.9419014464513778E-12</v>
      </c>
      <c r="BG123" s="22">
        <f t="shared" si="61"/>
        <v>7.384408744560063E-12</v>
      </c>
      <c r="BH123" s="60">
        <f t="shared" si="62"/>
        <v>282.10816074348401</v>
      </c>
      <c r="BI123" s="60">
        <f ca="1">AVERAGE(OFFSET($BH$3,0,0,'Données projet'!$E$11+1,1))-AVERAGE(OFFSET($H$3,0,0,'Données projet'!$E$11+1,1))</f>
        <v>363.28611056308665</v>
      </c>
      <c r="BJ123" s="60">
        <f t="shared" si="92"/>
        <v>389.43647559455974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>
        <f>VLOOKUP(A123,'Données projet'!$A$113:$I$133,2,0)</f>
        <v>285.89743589743591</v>
      </c>
      <c r="BW123" s="13">
        <f>VLOOKUP(A123,'Données projet'!$A$113:$I$133,9,0)</f>
        <v>3.141025641025641</v>
      </c>
      <c r="BX123" s="13">
        <f t="array" ref="BX123">INDEX(BW:BW,MIN(IF(ISNUMBER(BW123:BW319),ROW(BW123:BW319),"")))</f>
        <v>3.141025641025641</v>
      </c>
      <c r="BY123" s="13">
        <f>IF('Données projet'!$A$114&gt;35,BY122+BX123-CG122,IF(A123&lt;'Données projet'!$A$114,$BV$205^A123,IF(A123='Données projet'!$A$114,'Données projet'!$B$114,BY122+BX123-CG122)))</f>
        <v>285.89743589743597</v>
      </c>
      <c r="BZ123" s="14">
        <f>BY123*VLOOKUP('Données projet'!$B$12,Paramètres!$A$1:$I$89,3,0)*VLOOKUP('Données projet'!$B$12,Paramètres!$A$1:$I$89,5,0)</f>
        <v>272.06000000000006</v>
      </c>
      <c r="CA123" s="14">
        <f t="shared" si="93"/>
        <v>65.286259698592175</v>
      </c>
      <c r="CB123" s="22">
        <f t="shared" si="64"/>
        <v>587.54473564171474</v>
      </c>
      <c r="CC123" s="60">
        <f t="shared" si="65"/>
        <v>869.6528963851913</v>
      </c>
      <c r="CD123" s="60">
        <f ca="1">AVERAGE(OFFSET($CC$3,0,0,'Données projet'!$E$12+1,1))-AVERAGE(OFFSET($H$3,0,0,'Données projet'!$E$12+1,1))</f>
        <v>441.15969139782891</v>
      </c>
      <c r="CE123" s="60">
        <f t="shared" si="94"/>
        <v>315.06466790224783</v>
      </c>
      <c r="CF123" s="16">
        <f>IF(ISNA(VLOOKUP(A123,'Données projet'!$A$113:$I$133,3,0)),0,VLOOKUP(A123,'Données projet'!$A$113:$I$133,3,0))</f>
        <v>10</v>
      </c>
      <c r="CG123" s="16">
        <f>IF(ISNA(VLOOKUP(A123,'Données projet'!$A$113:$I$133,4,0)),0,VLOOKUP(A123,'Données projet'!$A$113:$I$133,4,0))</f>
        <v>285.89743589743591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-5.6843418860808015E-14</v>
      </c>
      <c r="CU123" s="18">
        <f>CT123*VLOOKUP('Données projet'!$B$13,Paramètres!$A$1:$I$89,3,0)*VLOOKUP('Données projet'!$B$13,Paramètres!$A$1:$I$89,5,0)</f>
        <v>-4.1677594708744434E-14</v>
      </c>
      <c r="CV123" s="14" t="e">
        <f t="shared" si="95"/>
        <v>#NUM!</v>
      </c>
      <c r="CW123" s="22" t="e">
        <f t="shared" si="67"/>
        <v>#NUM!</v>
      </c>
      <c r="CX123" s="60" t="e">
        <f t="shared" si="68"/>
        <v>#NUM!</v>
      </c>
      <c r="CY123" s="60">
        <f ca="1">AVERAGE(OFFSET($CX$3,0,0,'Données projet'!$E$13+1,1))-AVERAGE(OFFSET($H$3,0,0,'Données projet'!$E$13+1,1))</f>
        <v>368.35775920359396</v>
      </c>
      <c r="CZ123" s="60">
        <f t="shared" si="96"/>
        <v>395.5218438652638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1.1368683772161603E-13</v>
      </c>
      <c r="DP123" s="18">
        <f>DO123*VLOOKUP('Données projet'!$B$14,Paramètres!$A$1:$I$89,3,0)*VLOOKUP('Données projet'!$B$14,Paramètres!$A$1:$I$89,5,0)</f>
        <v>8.8675733422860506E-14</v>
      </c>
      <c r="DQ123" s="14">
        <f t="shared" si="97"/>
        <v>1.3509285393066301E-12</v>
      </c>
      <c r="DR123" s="22">
        <f t="shared" si="70"/>
        <v>2.5073107750038623E-12</v>
      </c>
      <c r="DS123" s="60">
        <f t="shared" si="71"/>
        <v>282.10816074347912</v>
      </c>
      <c r="DT123" s="60">
        <f ca="1">AVERAGE(OFFSET($DS$3,0,0,'Données projet'!$E$14+1,1))-AVERAGE(OFFSET($H$3,0,0,'Données projet'!$E$14+1,1))</f>
        <v>312.59632808777332</v>
      </c>
      <c r="DU123" s="60">
        <f t="shared" si="98"/>
        <v>302.59481222418219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0</v>
      </c>
      <c r="EE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-1.1368683772161603E-13</v>
      </c>
      <c r="EK123" s="18">
        <f>EJ123*VLOOKUP('Données projet'!$B$15,Paramètres!$A$1:$I$89,3,0)*VLOOKUP('Données projet'!$B$15,Paramètres!$A$1:$I$89,5,0)</f>
        <v>-9.7543306765146564E-14</v>
      </c>
      <c r="EL123" s="14" t="e">
        <f t="shared" si="99"/>
        <v>#NUM!</v>
      </c>
      <c r="EM123" s="22" t="e">
        <f t="shared" si="73"/>
        <v>#NUM!</v>
      </c>
      <c r="EN123" s="60" t="e">
        <f t="shared" si="74"/>
        <v>#NUM!</v>
      </c>
      <c r="EO123" s="60">
        <f ca="1">AVERAGE(OFFSET($EN$3,0,0,'Données projet'!$E$15+1,1))-AVERAGE(OFFSET($H$3,0,0,'Données projet'!$E$15+1,1))</f>
        <v>478.11504516179713</v>
      </c>
      <c r="EP123" s="60">
        <f t="shared" si="100"/>
        <v>249.93713224442419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0</v>
      </c>
      <c r="EW123" s="23">
        <f>EXP(-LN(2)/25)*EW122+(1-EXP(-LN(2)/25))/(LN(2)/25)*Calculateur!ER123*Calculateur!ET123*VLOOKUP('Données projet'!$B$15,Paramètres!$A$1:$I$89,3,0)*0.475*44/12</f>
        <v>0</v>
      </c>
      <c r="EX123" s="23">
        <f>EXP(-LN(2)/2)*EX122+(1-EXP(-LN(2)/2))/(LN(2)/2)*ER123*EU123*VLOOKUP('Données projet'!$B$15,Paramètres!$A$1:$I$89,3,0)*0.475*44/12</f>
        <v>0</v>
      </c>
      <c r="EY123" s="24">
        <f t="shared" si="75"/>
        <v>0</v>
      </c>
      <c r="EZ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>
        <f>VLOOKUP(A123,'Données projet'!$A$217:$I$237,2,0)</f>
        <v>352</v>
      </c>
      <c r="FC123" s="13">
        <f>VLOOKUP(A123,'Données projet'!$A$217:$I$237,9,0)</f>
        <v>4.5</v>
      </c>
      <c r="FD123" s="13">
        <f t="array" ref="FD123">INDEX(FC:FC,MIN(IF(ISNUMBER(FC123:FC319),ROW(FC123:FC319),"")))</f>
        <v>4.5</v>
      </c>
      <c r="FE123" s="13">
        <f>IF('Données projet'!$A$218&gt;35,FE122+FD123-FM122,IF(A123&lt;'Données projet'!$A$218,$FB$205^A123,IF(A123='Données projet'!$A$218,'Données projet'!$B$218,FE122+FD123-FM122)))</f>
        <v>351.99999999999989</v>
      </c>
      <c r="FF123" s="18">
        <f>FE123*VLOOKUP('Données projet'!$B$16,Paramètres!$A$1:$I$89,3,0)*VLOOKUP('Données projet'!$B$16,Paramètres!$A$1:$I$89,5,0)</f>
        <v>340.45439999999991</v>
      </c>
      <c r="FG123" s="14">
        <f t="shared" si="101"/>
        <v>79.593821040010667</v>
      </c>
      <c r="FH123" s="22">
        <f t="shared" si="76"/>
        <v>731.58398497801829</v>
      </c>
      <c r="FI123" s="60">
        <f t="shared" si="77"/>
        <v>1013.6921457214949</v>
      </c>
      <c r="FJ123" s="60">
        <f ca="1">AVERAGE(OFFSET($FI$3,0,0,'Données projet'!$E$16+1,1))-AVERAGE(OFFSET($H$3,0,0,'Données projet'!$E$16+1,1))</f>
        <v>603.52431522262032</v>
      </c>
      <c r="FK123" s="60">
        <f t="shared" si="102"/>
        <v>313.56299786481338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>
        <f>EXP(-LN(2)/35)*FQ122+(1-EXP(-LN(2)/35))/(LN(2)/35)*FM123*FN123*VLOOKUP('Données projet'!$B$16,Paramètres!$A$1:$I$89,3,0)*0.475*44/12</f>
        <v>0</v>
      </c>
      <c r="FR123" s="23">
        <f>EXP(-LN(2)/25)*FR122+(1-EXP(-LN(2)/25))/(LN(2)/25)*Calculateur!FM123*Calculateur!FO123*VLOOKUP('Données projet'!$B$16,Paramètres!$A$1:$I$89,3,0)*0.475*44/12</f>
        <v>0</v>
      </c>
      <c r="FS123" s="23">
        <f>EXP(-LN(2)/2)*FS122+(1-EXP(-LN(2)/2))/(LN(2)/2)*FM123*FP123*VLOOKUP('Données projet'!$B$16,Paramètres!$A$1:$I$89,3,0)*0.475*44/12</f>
        <v>0</v>
      </c>
      <c r="FT123" s="24">
        <f t="shared" si="78"/>
        <v>0</v>
      </c>
      <c r="FU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>
        <f>FZ123*VLOOKUP('Données projet'!$B$17,Paramètres!$A$1:$I$89,3,0)*VLOOKUP('Données projet'!$B$17,Paramètres!$A$1:$I$89,5,0)</f>
        <v>0</v>
      </c>
      <c r="GB123" s="14" t="e">
        <f t="shared" si="103"/>
        <v>#NUM!</v>
      </c>
      <c r="GC123" s="22" t="e">
        <f t="shared" si="79"/>
        <v>#NUM!</v>
      </c>
      <c r="GD123" s="60" t="e">
        <f t="shared" si="80"/>
        <v>#NUM!</v>
      </c>
      <c r="GE123" s="60">
        <f ca="1">AVERAGE(OFFSET($GD$3,0,0,'Données projet'!$E$17+1,1))-AVERAGE(OFFSET($H$3,0,0,'Données projet'!$E$17+1,1))</f>
        <v>396.0878652679051</v>
      </c>
      <c r="GF123" s="60">
        <f t="shared" si="104"/>
        <v>327.26339199235406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>
        <f>EXP(-LN(2)/35)*GL122+(1-EXP(-LN(2)/35))/(LN(2)/35)*GH123*GI123*VLOOKUP('Données projet'!$B$17,Paramètres!$A$1:$I$89,3,0)*0.475*44/12</f>
        <v>0</v>
      </c>
      <c r="GM123" s="23">
        <f>EXP(-LN(2)/25)*GM122+(1-EXP(-LN(2)/25))/(LN(2)/25)*Calculateur!GH123*Calculateur!GJ123*VLOOKUP('Données projet'!$B$17,Paramètres!$A$1:$I$89,3,0)*0.475*44/12</f>
        <v>0</v>
      </c>
      <c r="GN123" s="23">
        <f>EXP(-LN(2)/2)*GN122+(1-EXP(-LN(2)/2))/(LN(2)/2)*GH123*GK123*VLOOKUP('Données projet'!$B$17,Paramètres!$A$1:$I$89,3,0)*0.475*44/12</f>
        <v>0</v>
      </c>
      <c r="GO123" s="23">
        <f t="shared" si="81"/>
        <v>0</v>
      </c>
      <c r="GP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-1.1368683772161603E-13</v>
      </c>
      <c r="GV123" s="18">
        <f>GU123*VLOOKUP('Données projet'!$B$18,Paramètres!$A$1:$I$89,3,0)*VLOOKUP('Données projet'!$B$18,Paramètres!$A$1:$I$89,5,0)</f>
        <v>-9.2222762759774927E-14</v>
      </c>
      <c r="GW123" s="14" t="e">
        <f t="shared" si="105"/>
        <v>#NUM!</v>
      </c>
      <c r="GX123" s="22" t="e">
        <f t="shared" si="82"/>
        <v>#NUM!</v>
      </c>
      <c r="GY123" s="60" t="e">
        <f t="shared" si="83"/>
        <v>#NUM!</v>
      </c>
      <c r="GZ123" s="60">
        <f ca="1">AVERAGE(OFFSET($GY$3,0,0,'Données projet'!$E$18+1,1))-AVERAGE(OFFSET($H$3,0,0,'Données projet'!$E$18+1,1))</f>
        <v>272.69564942740931</v>
      </c>
      <c r="HA123" s="60">
        <f t="shared" si="106"/>
        <v>316.57989180609252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>
        <f>EXP(-LN(2)/35)*HG122+(1-EXP(-LN(2)/35))/(LN(2)/35)*HC123*HD123*VLOOKUP('Données projet'!$B$18,Paramètres!$A$1:$I$89,3,0)*0.475*44/12</f>
        <v>0</v>
      </c>
      <c r="HH123" s="23">
        <f>EXP(-LN(2)/25)*HH122+(1-EXP(-LN(2)/25))/(LN(2)/25)*Calculateur!HC123*Calculateur!HE123*VLOOKUP('Données projet'!$B$18,Paramètres!$A$1:$I$89,3,0)*0.475*44/12</f>
        <v>0</v>
      </c>
      <c r="HI123" s="23">
        <f>EXP(-LN(2)/2)*HI122+(1-EXP(-LN(2)/2))/(LN(2)/2)*HC123*HF123*VLOOKUP('Données projet'!$B$18,Paramètres!$A$1:$I$89,3,0)*0.475*44/12</f>
        <v>0</v>
      </c>
      <c r="HJ123" s="24">
        <f t="shared" si="84"/>
        <v>0</v>
      </c>
    </row>
    <row r="124" spans="1:218" s="5" customFormat="1" x14ac:dyDescent="0.25">
      <c r="A124" s="11">
        <f t="shared" si="85"/>
        <v>121</v>
      </c>
      <c r="B124" s="75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8">
        <f t="shared" si="56"/>
        <v>183.33333333333334</v>
      </c>
      <c r="I124" s="7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4.2</v>
      </c>
      <c r="N124" s="14">
        <f>IF('Données projet'!$A$36&gt;35,N123+M124-V123,IF(A124&lt;'Données projet'!$A$36,$K$205^A124,IF(A124='Données projet'!$A$36,'Données projet'!$B$36,N123+M124-V123)))</f>
        <v>356.19999999999987</v>
      </c>
      <c r="O124" s="14">
        <f>N124*VLOOKUP('Données projet'!$B$9,Paramètres!$A$1:$I$89,3,0)*VLOOKUP('Données projet'!$B$9,Paramètres!$A$1:$I$89,5,0)</f>
        <v>322.28975999999989</v>
      </c>
      <c r="P124" s="14">
        <f t="shared" si="87"/>
        <v>75.829584879013211</v>
      </c>
      <c r="Q124" s="22">
        <f t="shared" si="107"/>
        <v>693.39119233094789</v>
      </c>
      <c r="R124" s="60">
        <f t="shared" si="55"/>
        <v>975.69408472313228</v>
      </c>
      <c r="S124" s="60">
        <f ca="1">AVERAGE(OFFSET($R$3,0,0,'Données projet'!$E$9+1,1))-AVERAGE(OFFSET($H$3,0,0,'Données projet'!$E$9+1,1))</f>
        <v>570.08763950759544</v>
      </c>
      <c r="T124" s="60">
        <f t="shared" si="88"/>
        <v>297.32483725004136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-5.6843418860808015E-14</v>
      </c>
      <c r="AJ124" s="14">
        <f>AI124*VLOOKUP('Données projet'!$B$10,Paramètres!$A$1:$I$89,3,0)*VLOOKUP('Données projet'!$B$10,Paramètres!$A$1:$I$89,5,0)</f>
        <v>-4.5224624045658861E-14</v>
      </c>
      <c r="AK124" s="14" t="e">
        <f t="shared" si="89"/>
        <v>#NUM!</v>
      </c>
      <c r="AL124" s="22" t="e">
        <f t="shared" si="58"/>
        <v>#NUM!</v>
      </c>
      <c r="AM124" s="60" t="e">
        <f t="shared" si="59"/>
        <v>#NUM!</v>
      </c>
      <c r="AN124" s="60">
        <f ca="1">AVERAGE(OFFSET($AM$3,0,0,'Données projet'!$E$10+1,1))-AVERAGE(OFFSET($H$3,0,0,'Données projet'!$E$10+1,1))</f>
        <v>394.49874384716014</v>
      </c>
      <c r="AO124" s="60">
        <f t="shared" si="90"/>
        <v>423.72519584013378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3.4106051316484809E-13</v>
      </c>
      <c r="BE124" s="14">
        <f>BD124*VLOOKUP('Données projet'!$B$11,Paramètres!$A$1:$I$89,3,0)*VLOOKUP('Données projet'!$B$11,Paramètres!$A$1:$I$89,5,0)</f>
        <v>2.9795046430081134E-13</v>
      </c>
      <c r="BF124" s="14">
        <f t="shared" si="91"/>
        <v>3.9419014464513778E-12</v>
      </c>
      <c r="BG124" s="22">
        <f t="shared" si="61"/>
        <v>7.384408744560063E-12</v>
      </c>
      <c r="BH124" s="60">
        <f t="shared" si="62"/>
        <v>282.30289239219178</v>
      </c>
      <c r="BI124" s="60">
        <f ca="1">AVERAGE(OFFSET($BH$3,0,0,'Données projet'!$E$11+1,1))-AVERAGE(OFFSET($H$3,0,0,'Données projet'!$E$11+1,1))</f>
        <v>363.28611056308665</v>
      </c>
      <c r="BJ124" s="60">
        <f t="shared" si="92"/>
        <v>389.43647559455974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5.6843418860808015E-14</v>
      </c>
      <c r="BZ124" s="14">
        <f>BY124*VLOOKUP('Données projet'!$B$12,Paramètres!$A$1:$I$89,3,0)*VLOOKUP('Données projet'!$B$12,Paramètres!$A$1:$I$89,5,0)</f>
        <v>5.4092197387944907E-14</v>
      </c>
      <c r="CA124" s="14">
        <f t="shared" si="93"/>
        <v>8.7287050538073676E-13</v>
      </c>
      <c r="CB124" s="22">
        <f t="shared" si="64"/>
        <v>1.6144600406554537E-12</v>
      </c>
      <c r="CC124" s="60">
        <f t="shared" si="65"/>
        <v>282.30289239218598</v>
      </c>
      <c r="CD124" s="60">
        <f ca="1">AVERAGE(OFFSET($CC$3,0,0,'Données projet'!$E$12+1,1))-AVERAGE(OFFSET($H$3,0,0,'Données projet'!$E$12+1,1))</f>
        <v>441.15969139782891</v>
      </c>
      <c r="CE124" s="60">
        <f t="shared" si="94"/>
        <v>315.06466790224783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-5.6843418860808015E-14</v>
      </c>
      <c r="CU124" s="18">
        <f>CT124*VLOOKUP('Données projet'!$B$13,Paramètres!$A$1:$I$89,3,0)*VLOOKUP('Données projet'!$B$13,Paramètres!$A$1:$I$89,5,0)</f>
        <v>-4.1677594708744434E-14</v>
      </c>
      <c r="CV124" s="14" t="e">
        <f t="shared" si="95"/>
        <v>#NUM!</v>
      </c>
      <c r="CW124" s="22" t="e">
        <f t="shared" si="67"/>
        <v>#NUM!</v>
      </c>
      <c r="CX124" s="60" t="e">
        <f t="shared" si="68"/>
        <v>#NUM!</v>
      </c>
      <c r="CY124" s="60">
        <f ca="1">AVERAGE(OFFSET($CX$3,0,0,'Données projet'!$E$13+1,1))-AVERAGE(OFFSET($H$3,0,0,'Données projet'!$E$13+1,1))</f>
        <v>368.35775920359396</v>
      </c>
      <c r="CZ124" s="60">
        <f t="shared" si="96"/>
        <v>395.5218438652638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1.1368683772161603E-13</v>
      </c>
      <c r="DP124" s="18">
        <f>DO124*VLOOKUP('Données projet'!$B$14,Paramètres!$A$1:$I$89,3,0)*VLOOKUP('Données projet'!$B$14,Paramètres!$A$1:$I$89,5,0)</f>
        <v>8.8675733422860506E-14</v>
      </c>
      <c r="DQ124" s="14">
        <f t="shared" si="97"/>
        <v>1.3509285393066301E-12</v>
      </c>
      <c r="DR124" s="22">
        <f t="shared" si="70"/>
        <v>2.5073107750038623E-12</v>
      </c>
      <c r="DS124" s="60">
        <f t="shared" si="71"/>
        <v>282.30289239218689</v>
      </c>
      <c r="DT124" s="60">
        <f ca="1">AVERAGE(OFFSET($DS$3,0,0,'Données projet'!$E$14+1,1))-AVERAGE(OFFSET($H$3,0,0,'Données projet'!$E$14+1,1))</f>
        <v>312.59632808777332</v>
      </c>
      <c r="DU124" s="60">
        <f t="shared" si="98"/>
        <v>302.59481222418219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0</v>
      </c>
      <c r="EE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-1.1368683772161603E-13</v>
      </c>
      <c r="EK124" s="18">
        <f>EJ124*VLOOKUP('Données projet'!$B$15,Paramètres!$A$1:$I$89,3,0)*VLOOKUP('Données projet'!$B$15,Paramètres!$A$1:$I$89,5,0)</f>
        <v>-9.7543306765146564E-14</v>
      </c>
      <c r="EL124" s="14" t="e">
        <f t="shared" si="99"/>
        <v>#NUM!</v>
      </c>
      <c r="EM124" s="22" t="e">
        <f t="shared" si="73"/>
        <v>#NUM!</v>
      </c>
      <c r="EN124" s="60" t="e">
        <f t="shared" si="74"/>
        <v>#NUM!</v>
      </c>
      <c r="EO124" s="60">
        <f ca="1">AVERAGE(OFFSET($EN$3,0,0,'Données projet'!$E$15+1,1))-AVERAGE(OFFSET($H$3,0,0,'Données projet'!$E$15+1,1))</f>
        <v>478.11504516179713</v>
      </c>
      <c r="EP124" s="60">
        <f t="shared" si="100"/>
        <v>249.93713224442419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0</v>
      </c>
      <c r="EW124" s="23">
        <f>EXP(-LN(2)/25)*EW123+(1-EXP(-LN(2)/25))/(LN(2)/25)*Calculateur!ER124*Calculateur!ET124*VLOOKUP('Données projet'!$B$15,Paramètres!$A$1:$I$89,3,0)*0.475*44/12</f>
        <v>0</v>
      </c>
      <c r="EX124" s="23">
        <f>EXP(-LN(2)/2)*EX123+(1-EXP(-LN(2)/2))/(LN(2)/2)*ER124*EU124*VLOOKUP('Données projet'!$B$15,Paramètres!$A$1:$I$89,3,0)*0.475*44/12</f>
        <v>0</v>
      </c>
      <c r="EY124" s="24">
        <f t="shared" si="75"/>
        <v>0</v>
      </c>
      <c r="EZ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4.2</v>
      </c>
      <c r="FE124" s="13">
        <f>IF('Données projet'!$A$218&gt;35,FE123+FD124-FM123,IF(A124&lt;'Données projet'!$A$218,$FB$205^A124,IF(A124='Données projet'!$A$218,'Données projet'!$B$218,FE123+FD124-FM123)))</f>
        <v>356.19999999999987</v>
      </c>
      <c r="FF124" s="18">
        <f>FE124*VLOOKUP('Données projet'!$B$16,Paramètres!$A$1:$I$89,3,0)*VLOOKUP('Données projet'!$B$16,Paramètres!$A$1:$I$89,5,0)</f>
        <v>344.51663999999988</v>
      </c>
      <c r="FG124" s="14">
        <f t="shared" si="101"/>
        <v>80.432394913333098</v>
      </c>
      <c r="FH124" s="22">
        <f t="shared" si="76"/>
        <v>740.11956914072152</v>
      </c>
      <c r="FI124" s="60">
        <f t="shared" si="77"/>
        <v>1022.4224615329059</v>
      </c>
      <c r="FJ124" s="60">
        <f ca="1">AVERAGE(OFFSET($FI$3,0,0,'Données projet'!$E$16+1,1))-AVERAGE(OFFSET($H$3,0,0,'Données projet'!$E$16+1,1))</f>
        <v>603.52431522262032</v>
      </c>
      <c r="FK124" s="60">
        <f t="shared" si="102"/>
        <v>313.56299786481338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>
        <f>EXP(-LN(2)/35)*FQ123+(1-EXP(-LN(2)/35))/(LN(2)/35)*FM124*FN124*VLOOKUP('Données projet'!$B$16,Paramètres!$A$1:$I$89,3,0)*0.475*44/12</f>
        <v>0</v>
      </c>
      <c r="FR124" s="23">
        <f>EXP(-LN(2)/25)*FR123+(1-EXP(-LN(2)/25))/(LN(2)/25)*Calculateur!FM124*Calculateur!FO124*VLOOKUP('Données projet'!$B$16,Paramètres!$A$1:$I$89,3,0)*0.475*44/12</f>
        <v>0</v>
      </c>
      <c r="FS124" s="23">
        <f>EXP(-LN(2)/2)*FS123+(1-EXP(-LN(2)/2))/(LN(2)/2)*FM124*FP124*VLOOKUP('Données projet'!$B$16,Paramètres!$A$1:$I$89,3,0)*0.475*44/12</f>
        <v>0</v>
      </c>
      <c r="FT124" s="24">
        <f t="shared" si="78"/>
        <v>0</v>
      </c>
      <c r="FU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>
        <f>FZ124*VLOOKUP('Données projet'!$B$17,Paramètres!$A$1:$I$89,3,0)*VLOOKUP('Données projet'!$B$17,Paramètres!$A$1:$I$89,5,0)</f>
        <v>0</v>
      </c>
      <c r="GB124" s="14" t="e">
        <f t="shared" si="103"/>
        <v>#NUM!</v>
      </c>
      <c r="GC124" s="22" t="e">
        <f t="shared" si="79"/>
        <v>#NUM!</v>
      </c>
      <c r="GD124" s="60" t="e">
        <f t="shared" si="80"/>
        <v>#NUM!</v>
      </c>
      <c r="GE124" s="60">
        <f ca="1">AVERAGE(OFFSET($GD$3,0,0,'Données projet'!$E$17+1,1))-AVERAGE(OFFSET($H$3,0,0,'Données projet'!$E$17+1,1))</f>
        <v>396.0878652679051</v>
      </c>
      <c r="GF124" s="60">
        <f t="shared" si="104"/>
        <v>327.26339199235406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>
        <f>EXP(-LN(2)/35)*GL123+(1-EXP(-LN(2)/35))/(LN(2)/35)*GH124*GI124*VLOOKUP('Données projet'!$B$17,Paramètres!$A$1:$I$89,3,0)*0.475*44/12</f>
        <v>0</v>
      </c>
      <c r="GM124" s="23">
        <f>EXP(-LN(2)/25)*GM123+(1-EXP(-LN(2)/25))/(LN(2)/25)*Calculateur!GH124*Calculateur!GJ124*VLOOKUP('Données projet'!$B$17,Paramètres!$A$1:$I$89,3,0)*0.475*44/12</f>
        <v>0</v>
      </c>
      <c r="GN124" s="23">
        <f>EXP(-LN(2)/2)*GN123+(1-EXP(-LN(2)/2))/(LN(2)/2)*GH124*GK124*VLOOKUP('Données projet'!$B$17,Paramètres!$A$1:$I$89,3,0)*0.475*44/12</f>
        <v>0</v>
      </c>
      <c r="GO124" s="23">
        <f t="shared" si="81"/>
        <v>0</v>
      </c>
      <c r="GP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-1.1368683772161603E-13</v>
      </c>
      <c r="GV124" s="18">
        <f>GU124*VLOOKUP('Données projet'!$B$18,Paramètres!$A$1:$I$89,3,0)*VLOOKUP('Données projet'!$B$18,Paramètres!$A$1:$I$89,5,0)</f>
        <v>-9.2222762759774927E-14</v>
      </c>
      <c r="GW124" s="14" t="e">
        <f t="shared" si="105"/>
        <v>#NUM!</v>
      </c>
      <c r="GX124" s="22" t="e">
        <f t="shared" si="82"/>
        <v>#NUM!</v>
      </c>
      <c r="GY124" s="60" t="e">
        <f t="shared" si="83"/>
        <v>#NUM!</v>
      </c>
      <c r="GZ124" s="60">
        <f ca="1">AVERAGE(OFFSET($GY$3,0,0,'Données projet'!$E$18+1,1))-AVERAGE(OFFSET($H$3,0,0,'Données projet'!$E$18+1,1))</f>
        <v>272.69564942740931</v>
      </c>
      <c r="HA124" s="60">
        <f t="shared" si="106"/>
        <v>316.57989180609252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>
        <f>EXP(-LN(2)/35)*HG123+(1-EXP(-LN(2)/35))/(LN(2)/35)*HC124*HD124*VLOOKUP('Données projet'!$B$18,Paramètres!$A$1:$I$89,3,0)*0.475*44/12</f>
        <v>0</v>
      </c>
      <c r="HH124" s="23">
        <f>EXP(-LN(2)/25)*HH123+(1-EXP(-LN(2)/25))/(LN(2)/25)*Calculateur!HC124*Calculateur!HE124*VLOOKUP('Données projet'!$B$18,Paramètres!$A$1:$I$89,3,0)*0.475*44/12</f>
        <v>0</v>
      </c>
      <c r="HI124" s="23">
        <f>EXP(-LN(2)/2)*HI123+(1-EXP(-LN(2)/2))/(LN(2)/2)*HC124*HF124*VLOOKUP('Données projet'!$B$18,Paramètres!$A$1:$I$89,3,0)*0.475*44/12</f>
        <v>0</v>
      </c>
      <c r="HJ124" s="24">
        <f t="shared" si="84"/>
        <v>0</v>
      </c>
    </row>
    <row r="125" spans="1:218" s="5" customFormat="1" x14ac:dyDescent="0.25">
      <c r="A125" s="11">
        <f t="shared" si="85"/>
        <v>122</v>
      </c>
      <c r="B125" s="75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8">
        <f t="shared" si="56"/>
        <v>183.33333333333334</v>
      </c>
      <c r="I125" s="7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4.2</v>
      </c>
      <c r="N125" s="14">
        <f>IF('Données projet'!$A$36&gt;35,N124+M125-V124,IF(A125&lt;'Données projet'!$A$36,$K$205^A125,IF(A125='Données projet'!$A$36,'Données projet'!$B$36,N124+M125-V124)))</f>
        <v>360.39999999999986</v>
      </c>
      <c r="O125" s="14">
        <f>N125*VLOOKUP('Données projet'!$B$9,Paramètres!$A$1:$I$89,3,0)*VLOOKUP('Données projet'!$B$9,Paramètres!$A$1:$I$89,5,0)</f>
        <v>326.08991999999984</v>
      </c>
      <c r="P125" s="14">
        <f t="shared" si="87"/>
        <v>76.619086320573132</v>
      </c>
      <c r="Q125" s="22">
        <f t="shared" si="107"/>
        <v>701.38485267499789</v>
      </c>
      <c r="R125" s="60">
        <f t="shared" si="55"/>
        <v>983.87909855713974</v>
      </c>
      <c r="S125" s="60">
        <f ca="1">AVERAGE(OFFSET($R$3,0,0,'Données projet'!$E$9+1,1))-AVERAGE(OFFSET($H$3,0,0,'Données projet'!$E$9+1,1))</f>
        <v>570.08763950759544</v>
      </c>
      <c r="T125" s="60">
        <f t="shared" si="88"/>
        <v>297.32483725004136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-5.6843418860808015E-14</v>
      </c>
      <c r="AJ125" s="14">
        <f>AI125*VLOOKUP('Données projet'!$B$10,Paramètres!$A$1:$I$89,3,0)*VLOOKUP('Données projet'!$B$10,Paramètres!$A$1:$I$89,5,0)</f>
        <v>-4.5224624045658861E-14</v>
      </c>
      <c r="AK125" s="14" t="e">
        <f t="shared" si="89"/>
        <v>#NUM!</v>
      </c>
      <c r="AL125" s="22" t="e">
        <f t="shared" si="58"/>
        <v>#NUM!</v>
      </c>
      <c r="AM125" s="60" t="e">
        <f t="shared" si="59"/>
        <v>#NUM!</v>
      </c>
      <c r="AN125" s="60">
        <f ca="1">AVERAGE(OFFSET($AM$3,0,0,'Données projet'!$E$10+1,1))-AVERAGE(OFFSET($H$3,0,0,'Données projet'!$E$10+1,1))</f>
        <v>394.49874384716014</v>
      </c>
      <c r="AO125" s="60">
        <f t="shared" si="90"/>
        <v>423.72519584013378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3.4106051316484809E-13</v>
      </c>
      <c r="BE125" s="14">
        <f>BD125*VLOOKUP('Données projet'!$B$11,Paramètres!$A$1:$I$89,3,0)*VLOOKUP('Données projet'!$B$11,Paramètres!$A$1:$I$89,5,0)</f>
        <v>2.9795046430081134E-13</v>
      </c>
      <c r="BF125" s="14">
        <f t="shared" si="91"/>
        <v>3.9419014464513778E-12</v>
      </c>
      <c r="BG125" s="22">
        <f t="shared" si="61"/>
        <v>7.384408744560063E-12</v>
      </c>
      <c r="BH125" s="60">
        <f t="shared" si="62"/>
        <v>282.49424588214919</v>
      </c>
      <c r="BI125" s="60">
        <f ca="1">AVERAGE(OFFSET($BH$3,0,0,'Données projet'!$E$11+1,1))-AVERAGE(OFFSET($H$3,0,0,'Données projet'!$E$11+1,1))</f>
        <v>363.28611056308665</v>
      </c>
      <c r="BJ125" s="60">
        <f t="shared" si="92"/>
        <v>389.43647559455974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5.6843418860808015E-14</v>
      </c>
      <c r="BZ125" s="14">
        <f>BY125*VLOOKUP('Données projet'!$B$12,Paramètres!$A$1:$I$89,3,0)*VLOOKUP('Données projet'!$B$12,Paramètres!$A$1:$I$89,5,0)</f>
        <v>5.4092197387944907E-14</v>
      </c>
      <c r="CA125" s="14">
        <f t="shared" si="93"/>
        <v>8.7287050538073676E-13</v>
      </c>
      <c r="CB125" s="22">
        <f t="shared" si="64"/>
        <v>1.6144600406554537E-12</v>
      </c>
      <c r="CC125" s="60">
        <f t="shared" si="65"/>
        <v>282.49424588214339</v>
      </c>
      <c r="CD125" s="60">
        <f ca="1">AVERAGE(OFFSET($CC$3,0,0,'Données projet'!$E$12+1,1))-AVERAGE(OFFSET($H$3,0,0,'Données projet'!$E$12+1,1))</f>
        <v>441.15969139782891</v>
      </c>
      <c r="CE125" s="60">
        <f t="shared" si="94"/>
        <v>315.06466790224783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-5.6843418860808015E-14</v>
      </c>
      <c r="CU125" s="18">
        <f>CT125*VLOOKUP('Données projet'!$B$13,Paramètres!$A$1:$I$89,3,0)*VLOOKUP('Données projet'!$B$13,Paramètres!$A$1:$I$89,5,0)</f>
        <v>-4.1677594708744434E-14</v>
      </c>
      <c r="CV125" s="14" t="e">
        <f t="shared" si="95"/>
        <v>#NUM!</v>
      </c>
      <c r="CW125" s="22" t="e">
        <f t="shared" si="67"/>
        <v>#NUM!</v>
      </c>
      <c r="CX125" s="60" t="e">
        <f t="shared" si="68"/>
        <v>#NUM!</v>
      </c>
      <c r="CY125" s="60">
        <f ca="1">AVERAGE(OFFSET($CX$3,0,0,'Données projet'!$E$13+1,1))-AVERAGE(OFFSET($H$3,0,0,'Données projet'!$E$13+1,1))</f>
        <v>368.35775920359396</v>
      </c>
      <c r="CZ125" s="60">
        <f t="shared" si="96"/>
        <v>395.5218438652638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1.1368683772161603E-13</v>
      </c>
      <c r="DP125" s="18">
        <f>DO125*VLOOKUP('Données projet'!$B$14,Paramètres!$A$1:$I$89,3,0)*VLOOKUP('Données projet'!$B$14,Paramètres!$A$1:$I$89,5,0)</f>
        <v>8.8675733422860506E-14</v>
      </c>
      <c r="DQ125" s="14">
        <f t="shared" si="97"/>
        <v>1.3509285393066301E-12</v>
      </c>
      <c r="DR125" s="22">
        <f t="shared" si="70"/>
        <v>2.5073107750038623E-12</v>
      </c>
      <c r="DS125" s="60">
        <f t="shared" si="71"/>
        <v>282.4942458821443</v>
      </c>
      <c r="DT125" s="60">
        <f ca="1">AVERAGE(OFFSET($DS$3,0,0,'Données projet'!$E$14+1,1))-AVERAGE(OFFSET($H$3,0,0,'Données projet'!$E$14+1,1))</f>
        <v>312.59632808777332</v>
      </c>
      <c r="DU125" s="60">
        <f t="shared" si="98"/>
        <v>302.59481222418219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0</v>
      </c>
      <c r="EE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-1.1368683772161603E-13</v>
      </c>
      <c r="EK125" s="18">
        <f>EJ125*VLOOKUP('Données projet'!$B$15,Paramètres!$A$1:$I$89,3,0)*VLOOKUP('Données projet'!$B$15,Paramètres!$A$1:$I$89,5,0)</f>
        <v>-9.7543306765146564E-14</v>
      </c>
      <c r="EL125" s="14" t="e">
        <f t="shared" si="99"/>
        <v>#NUM!</v>
      </c>
      <c r="EM125" s="22" t="e">
        <f t="shared" si="73"/>
        <v>#NUM!</v>
      </c>
      <c r="EN125" s="60" t="e">
        <f t="shared" si="74"/>
        <v>#NUM!</v>
      </c>
      <c r="EO125" s="60">
        <f ca="1">AVERAGE(OFFSET($EN$3,0,0,'Données projet'!$E$15+1,1))-AVERAGE(OFFSET($H$3,0,0,'Données projet'!$E$15+1,1))</f>
        <v>478.11504516179713</v>
      </c>
      <c r="EP125" s="60">
        <f t="shared" si="100"/>
        <v>249.93713224442419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0</v>
      </c>
      <c r="EW125" s="23">
        <f>EXP(-LN(2)/25)*EW124+(1-EXP(-LN(2)/25))/(LN(2)/25)*Calculateur!ER125*Calculateur!ET125*VLOOKUP('Données projet'!$B$15,Paramètres!$A$1:$I$89,3,0)*0.475*44/12</f>
        <v>0</v>
      </c>
      <c r="EX125" s="23">
        <f>EXP(-LN(2)/2)*EX124+(1-EXP(-LN(2)/2))/(LN(2)/2)*ER125*EU125*VLOOKUP('Données projet'!$B$15,Paramètres!$A$1:$I$89,3,0)*0.475*44/12</f>
        <v>0</v>
      </c>
      <c r="EY125" s="24">
        <f t="shared" si="75"/>
        <v>0</v>
      </c>
      <c r="EZ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4.2</v>
      </c>
      <c r="FE125" s="13">
        <f>IF('Données projet'!$A$218&gt;35,FE124+FD125-FM124,IF(A125&lt;'Données projet'!$A$218,$FB$205^A125,IF(A125='Données projet'!$A$218,'Données projet'!$B$218,FE124+FD125-FM124)))</f>
        <v>360.39999999999986</v>
      </c>
      <c r="FF125" s="18">
        <f>FE125*VLOOKUP('Données projet'!$B$16,Paramètres!$A$1:$I$89,3,0)*VLOOKUP('Données projet'!$B$16,Paramètres!$A$1:$I$89,5,0)</f>
        <v>348.57887999999991</v>
      </c>
      <c r="FG125" s="14">
        <f t="shared" si="101"/>
        <v>81.269818615882841</v>
      </c>
      <c r="FH125" s="22">
        <f t="shared" si="76"/>
        <v>748.65315008932919</v>
      </c>
      <c r="FI125" s="60">
        <f t="shared" si="77"/>
        <v>1031.147395971471</v>
      </c>
      <c r="FJ125" s="60">
        <f ca="1">AVERAGE(OFFSET($FI$3,0,0,'Données projet'!$E$16+1,1))-AVERAGE(OFFSET($H$3,0,0,'Données projet'!$E$16+1,1))</f>
        <v>603.52431522262032</v>
      </c>
      <c r="FK125" s="60">
        <f t="shared" si="102"/>
        <v>313.56299786481338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>
        <f>EXP(-LN(2)/35)*FQ124+(1-EXP(-LN(2)/35))/(LN(2)/35)*FM125*FN125*VLOOKUP('Données projet'!$B$16,Paramètres!$A$1:$I$89,3,0)*0.475*44/12</f>
        <v>0</v>
      </c>
      <c r="FR125" s="23">
        <f>EXP(-LN(2)/25)*FR124+(1-EXP(-LN(2)/25))/(LN(2)/25)*Calculateur!FM125*Calculateur!FO125*VLOOKUP('Données projet'!$B$16,Paramètres!$A$1:$I$89,3,0)*0.475*44/12</f>
        <v>0</v>
      </c>
      <c r="FS125" s="23">
        <f>EXP(-LN(2)/2)*FS124+(1-EXP(-LN(2)/2))/(LN(2)/2)*FM125*FP125*VLOOKUP('Données projet'!$B$16,Paramètres!$A$1:$I$89,3,0)*0.475*44/12</f>
        <v>0</v>
      </c>
      <c r="FT125" s="24">
        <f t="shared" si="78"/>
        <v>0</v>
      </c>
      <c r="FU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>
        <f>FZ125*VLOOKUP('Données projet'!$B$17,Paramètres!$A$1:$I$89,3,0)*VLOOKUP('Données projet'!$B$17,Paramètres!$A$1:$I$89,5,0)</f>
        <v>0</v>
      </c>
      <c r="GB125" s="14" t="e">
        <f t="shared" si="103"/>
        <v>#NUM!</v>
      </c>
      <c r="GC125" s="22" t="e">
        <f t="shared" si="79"/>
        <v>#NUM!</v>
      </c>
      <c r="GD125" s="60" t="e">
        <f t="shared" si="80"/>
        <v>#NUM!</v>
      </c>
      <c r="GE125" s="60">
        <f ca="1">AVERAGE(OFFSET($GD$3,0,0,'Données projet'!$E$17+1,1))-AVERAGE(OFFSET($H$3,0,0,'Données projet'!$E$17+1,1))</f>
        <v>396.0878652679051</v>
      </c>
      <c r="GF125" s="60">
        <f t="shared" si="104"/>
        <v>327.26339199235406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>
        <f>EXP(-LN(2)/35)*GL124+(1-EXP(-LN(2)/35))/(LN(2)/35)*GH125*GI125*VLOOKUP('Données projet'!$B$17,Paramètres!$A$1:$I$89,3,0)*0.475*44/12</f>
        <v>0</v>
      </c>
      <c r="GM125" s="23">
        <f>EXP(-LN(2)/25)*GM124+(1-EXP(-LN(2)/25))/(LN(2)/25)*Calculateur!GH125*Calculateur!GJ125*VLOOKUP('Données projet'!$B$17,Paramètres!$A$1:$I$89,3,0)*0.475*44/12</f>
        <v>0</v>
      </c>
      <c r="GN125" s="23">
        <f>EXP(-LN(2)/2)*GN124+(1-EXP(-LN(2)/2))/(LN(2)/2)*GH125*GK125*VLOOKUP('Données projet'!$B$17,Paramètres!$A$1:$I$89,3,0)*0.475*44/12</f>
        <v>0</v>
      </c>
      <c r="GO125" s="23">
        <f t="shared" si="81"/>
        <v>0</v>
      </c>
      <c r="GP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-1.1368683772161603E-13</v>
      </c>
      <c r="GV125" s="18">
        <f>GU125*VLOOKUP('Données projet'!$B$18,Paramètres!$A$1:$I$89,3,0)*VLOOKUP('Données projet'!$B$18,Paramètres!$A$1:$I$89,5,0)</f>
        <v>-9.2222762759774927E-14</v>
      </c>
      <c r="GW125" s="14" t="e">
        <f t="shared" si="105"/>
        <v>#NUM!</v>
      </c>
      <c r="GX125" s="22" t="e">
        <f t="shared" si="82"/>
        <v>#NUM!</v>
      </c>
      <c r="GY125" s="60" t="e">
        <f t="shared" si="83"/>
        <v>#NUM!</v>
      </c>
      <c r="GZ125" s="60">
        <f ca="1">AVERAGE(OFFSET($GY$3,0,0,'Données projet'!$E$18+1,1))-AVERAGE(OFFSET($H$3,0,0,'Données projet'!$E$18+1,1))</f>
        <v>272.69564942740931</v>
      </c>
      <c r="HA125" s="60">
        <f t="shared" si="106"/>
        <v>316.57989180609252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>
        <f>EXP(-LN(2)/35)*HG124+(1-EXP(-LN(2)/35))/(LN(2)/35)*HC125*HD125*VLOOKUP('Données projet'!$B$18,Paramètres!$A$1:$I$89,3,0)*0.475*44/12</f>
        <v>0</v>
      </c>
      <c r="HH125" s="23">
        <f>EXP(-LN(2)/25)*HH124+(1-EXP(-LN(2)/25))/(LN(2)/25)*Calculateur!HC125*Calculateur!HE125*VLOOKUP('Données projet'!$B$18,Paramètres!$A$1:$I$89,3,0)*0.475*44/12</f>
        <v>0</v>
      </c>
      <c r="HI125" s="23">
        <f>EXP(-LN(2)/2)*HI124+(1-EXP(-LN(2)/2))/(LN(2)/2)*HC125*HF125*VLOOKUP('Données projet'!$B$18,Paramètres!$A$1:$I$89,3,0)*0.475*44/12</f>
        <v>0</v>
      </c>
      <c r="HJ125" s="24">
        <f t="shared" si="84"/>
        <v>0</v>
      </c>
    </row>
    <row r="126" spans="1:218" s="5" customFormat="1" x14ac:dyDescent="0.25">
      <c r="A126" s="11">
        <f t="shared" si="85"/>
        <v>123</v>
      </c>
      <c r="B126" s="75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8">
        <f t="shared" si="56"/>
        <v>183.33333333333334</v>
      </c>
      <c r="I126" s="7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4.2</v>
      </c>
      <c r="N126" s="14">
        <f>IF('Données projet'!$A$36&gt;35,N125+M126-V125,IF(A126&lt;'Données projet'!$A$36,$K$205^A126,IF(A126='Données projet'!$A$36,'Données projet'!$B$36,N125+M126-V125)))</f>
        <v>364.59999999999985</v>
      </c>
      <c r="O126" s="14">
        <f>N126*VLOOKUP('Données projet'!$B$9,Paramètres!$A$1:$I$89,3,0)*VLOOKUP('Données projet'!$B$9,Paramètres!$A$1:$I$89,5,0)</f>
        <v>329.89007999999984</v>
      </c>
      <c r="P126" s="14">
        <f t="shared" si="87"/>
        <v>77.407517509546452</v>
      </c>
      <c r="Q126" s="22">
        <f t="shared" si="107"/>
        <v>709.37664899579306</v>
      </c>
      <c r="R126" s="60">
        <f t="shared" si="55"/>
        <v>992.05892881264367</v>
      </c>
      <c r="S126" s="60">
        <f ca="1">AVERAGE(OFFSET($R$3,0,0,'Données projet'!$E$9+1,1))-AVERAGE(OFFSET($H$3,0,0,'Données projet'!$E$9+1,1))</f>
        <v>570.08763950759544</v>
      </c>
      <c r="T126" s="60">
        <f t="shared" si="88"/>
        <v>297.32483725004136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-5.6843418860808015E-14</v>
      </c>
      <c r="AJ126" s="14">
        <f>AI126*VLOOKUP('Données projet'!$B$10,Paramètres!$A$1:$I$89,3,0)*VLOOKUP('Données projet'!$B$10,Paramètres!$A$1:$I$89,5,0)</f>
        <v>-4.5224624045658861E-14</v>
      </c>
      <c r="AK126" s="14" t="e">
        <f t="shared" si="89"/>
        <v>#NUM!</v>
      </c>
      <c r="AL126" s="22" t="e">
        <f t="shared" si="58"/>
        <v>#NUM!</v>
      </c>
      <c r="AM126" s="60" t="e">
        <f t="shared" si="59"/>
        <v>#NUM!</v>
      </c>
      <c r="AN126" s="60">
        <f ca="1">AVERAGE(OFFSET($AM$3,0,0,'Données projet'!$E$10+1,1))-AVERAGE(OFFSET($H$3,0,0,'Données projet'!$E$10+1,1))</f>
        <v>394.49874384716014</v>
      </c>
      <c r="AO126" s="60">
        <f t="shared" si="90"/>
        <v>423.72519584013378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3.4106051316484809E-13</v>
      </c>
      <c r="BE126" s="14">
        <f>BD126*VLOOKUP('Données projet'!$B$11,Paramètres!$A$1:$I$89,3,0)*VLOOKUP('Données projet'!$B$11,Paramètres!$A$1:$I$89,5,0)</f>
        <v>2.9795046430081134E-13</v>
      </c>
      <c r="BF126" s="14">
        <f t="shared" si="91"/>
        <v>3.9419014464513778E-12</v>
      </c>
      <c r="BG126" s="22">
        <f t="shared" si="61"/>
        <v>7.384408744560063E-12</v>
      </c>
      <c r="BH126" s="60">
        <f t="shared" si="62"/>
        <v>282.68227981685806</v>
      </c>
      <c r="BI126" s="60">
        <f ca="1">AVERAGE(OFFSET($BH$3,0,0,'Données projet'!$E$11+1,1))-AVERAGE(OFFSET($H$3,0,0,'Données projet'!$E$11+1,1))</f>
        <v>363.28611056308665</v>
      </c>
      <c r="BJ126" s="60">
        <f t="shared" si="92"/>
        <v>389.43647559455974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5.6843418860808015E-14</v>
      </c>
      <c r="BZ126" s="14">
        <f>BY126*VLOOKUP('Données projet'!$B$12,Paramètres!$A$1:$I$89,3,0)*VLOOKUP('Données projet'!$B$12,Paramètres!$A$1:$I$89,5,0)</f>
        <v>5.4092197387944907E-14</v>
      </c>
      <c r="CA126" s="14">
        <f t="shared" si="93"/>
        <v>8.7287050538073676E-13</v>
      </c>
      <c r="CB126" s="22">
        <f t="shared" si="64"/>
        <v>1.6144600406554537E-12</v>
      </c>
      <c r="CC126" s="60">
        <f t="shared" si="65"/>
        <v>282.68227981685226</v>
      </c>
      <c r="CD126" s="60">
        <f ca="1">AVERAGE(OFFSET($CC$3,0,0,'Données projet'!$E$12+1,1))-AVERAGE(OFFSET($H$3,0,0,'Données projet'!$E$12+1,1))</f>
        <v>441.15969139782891</v>
      </c>
      <c r="CE126" s="60">
        <f t="shared" si="94"/>
        <v>315.06466790224783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-5.6843418860808015E-14</v>
      </c>
      <c r="CU126" s="18">
        <f>CT126*VLOOKUP('Données projet'!$B$13,Paramètres!$A$1:$I$89,3,0)*VLOOKUP('Données projet'!$B$13,Paramètres!$A$1:$I$89,5,0)</f>
        <v>-4.1677594708744434E-14</v>
      </c>
      <c r="CV126" s="14" t="e">
        <f t="shared" si="95"/>
        <v>#NUM!</v>
      </c>
      <c r="CW126" s="22" t="e">
        <f t="shared" si="67"/>
        <v>#NUM!</v>
      </c>
      <c r="CX126" s="60" t="e">
        <f t="shared" si="68"/>
        <v>#NUM!</v>
      </c>
      <c r="CY126" s="60">
        <f ca="1">AVERAGE(OFFSET($CX$3,0,0,'Données projet'!$E$13+1,1))-AVERAGE(OFFSET($H$3,0,0,'Données projet'!$E$13+1,1))</f>
        <v>368.35775920359396</v>
      </c>
      <c r="CZ126" s="60">
        <f t="shared" si="96"/>
        <v>395.5218438652638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1.1368683772161603E-13</v>
      </c>
      <c r="DP126" s="18">
        <f>DO126*VLOOKUP('Données projet'!$B$14,Paramètres!$A$1:$I$89,3,0)*VLOOKUP('Données projet'!$B$14,Paramètres!$A$1:$I$89,5,0)</f>
        <v>8.8675733422860506E-14</v>
      </c>
      <c r="DQ126" s="14">
        <f t="shared" si="97"/>
        <v>1.3509285393066301E-12</v>
      </c>
      <c r="DR126" s="22">
        <f t="shared" si="70"/>
        <v>2.5073107750038623E-12</v>
      </c>
      <c r="DS126" s="60">
        <f t="shared" si="71"/>
        <v>282.68227981685317</v>
      </c>
      <c r="DT126" s="60">
        <f ca="1">AVERAGE(OFFSET($DS$3,0,0,'Données projet'!$E$14+1,1))-AVERAGE(OFFSET($H$3,0,0,'Données projet'!$E$14+1,1))</f>
        <v>312.59632808777332</v>
      </c>
      <c r="DU126" s="60">
        <f t="shared" si="98"/>
        <v>302.59481222418219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0</v>
      </c>
      <c r="EE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-1.1368683772161603E-13</v>
      </c>
      <c r="EK126" s="18">
        <f>EJ126*VLOOKUP('Données projet'!$B$15,Paramètres!$A$1:$I$89,3,0)*VLOOKUP('Données projet'!$B$15,Paramètres!$A$1:$I$89,5,0)</f>
        <v>-9.7543306765146564E-14</v>
      </c>
      <c r="EL126" s="14" t="e">
        <f t="shared" si="99"/>
        <v>#NUM!</v>
      </c>
      <c r="EM126" s="22" t="e">
        <f t="shared" si="73"/>
        <v>#NUM!</v>
      </c>
      <c r="EN126" s="60" t="e">
        <f t="shared" si="74"/>
        <v>#NUM!</v>
      </c>
      <c r="EO126" s="60">
        <f ca="1">AVERAGE(OFFSET($EN$3,0,0,'Données projet'!$E$15+1,1))-AVERAGE(OFFSET($H$3,0,0,'Données projet'!$E$15+1,1))</f>
        <v>478.11504516179713</v>
      </c>
      <c r="EP126" s="60">
        <f t="shared" si="100"/>
        <v>249.93713224442419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0</v>
      </c>
      <c r="EW126" s="23">
        <f>EXP(-LN(2)/25)*EW125+(1-EXP(-LN(2)/25))/(LN(2)/25)*Calculateur!ER126*Calculateur!ET126*VLOOKUP('Données projet'!$B$15,Paramètres!$A$1:$I$89,3,0)*0.475*44/12</f>
        <v>0</v>
      </c>
      <c r="EX126" s="23">
        <f>EXP(-LN(2)/2)*EX125+(1-EXP(-LN(2)/2))/(LN(2)/2)*ER126*EU126*VLOOKUP('Données projet'!$B$15,Paramètres!$A$1:$I$89,3,0)*0.475*44/12</f>
        <v>0</v>
      </c>
      <c r="EY126" s="24">
        <f t="shared" si="75"/>
        <v>0</v>
      </c>
      <c r="EZ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4.2</v>
      </c>
      <c r="FE126" s="13">
        <f>IF('Données projet'!$A$218&gt;35,FE125+FD126-FM125,IF(A126&lt;'Données projet'!$A$218,$FB$205^A126,IF(A126='Données projet'!$A$218,'Données projet'!$B$218,FE125+FD126-FM125)))</f>
        <v>364.59999999999985</v>
      </c>
      <c r="FF126" s="18">
        <f>FE126*VLOOKUP('Données projet'!$B$16,Paramètres!$A$1:$I$89,3,0)*VLOOKUP('Données projet'!$B$16,Paramètres!$A$1:$I$89,5,0)</f>
        <v>352.64111999999989</v>
      </c>
      <c r="FG126" s="14">
        <f t="shared" si="101"/>
        <v>82.10610710216001</v>
      </c>
      <c r="FH126" s="22">
        <f t="shared" si="76"/>
        <v>757.18475386959517</v>
      </c>
      <c r="FI126" s="60">
        <f t="shared" si="77"/>
        <v>1039.8670336864459</v>
      </c>
      <c r="FJ126" s="60">
        <f ca="1">AVERAGE(OFFSET($FI$3,0,0,'Données projet'!$E$16+1,1))-AVERAGE(OFFSET($H$3,0,0,'Données projet'!$E$16+1,1))</f>
        <v>603.52431522262032</v>
      </c>
      <c r="FK126" s="60">
        <f t="shared" si="102"/>
        <v>313.56299786481338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>
        <f>EXP(-LN(2)/35)*FQ125+(1-EXP(-LN(2)/35))/(LN(2)/35)*FM126*FN126*VLOOKUP('Données projet'!$B$16,Paramètres!$A$1:$I$89,3,0)*0.475*44/12</f>
        <v>0</v>
      </c>
      <c r="FR126" s="23">
        <f>EXP(-LN(2)/25)*FR125+(1-EXP(-LN(2)/25))/(LN(2)/25)*Calculateur!FM126*Calculateur!FO126*VLOOKUP('Données projet'!$B$16,Paramètres!$A$1:$I$89,3,0)*0.475*44/12</f>
        <v>0</v>
      </c>
      <c r="FS126" s="23">
        <f>EXP(-LN(2)/2)*FS125+(1-EXP(-LN(2)/2))/(LN(2)/2)*FM126*FP126*VLOOKUP('Données projet'!$B$16,Paramètres!$A$1:$I$89,3,0)*0.475*44/12</f>
        <v>0</v>
      </c>
      <c r="FT126" s="24">
        <f t="shared" si="78"/>
        <v>0</v>
      </c>
      <c r="FU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>
        <f>FZ126*VLOOKUP('Données projet'!$B$17,Paramètres!$A$1:$I$89,3,0)*VLOOKUP('Données projet'!$B$17,Paramètres!$A$1:$I$89,5,0)</f>
        <v>0</v>
      </c>
      <c r="GB126" s="14" t="e">
        <f t="shared" si="103"/>
        <v>#NUM!</v>
      </c>
      <c r="GC126" s="22" t="e">
        <f t="shared" si="79"/>
        <v>#NUM!</v>
      </c>
      <c r="GD126" s="60" t="e">
        <f t="shared" si="80"/>
        <v>#NUM!</v>
      </c>
      <c r="GE126" s="60">
        <f ca="1">AVERAGE(OFFSET($GD$3,0,0,'Données projet'!$E$17+1,1))-AVERAGE(OFFSET($H$3,0,0,'Données projet'!$E$17+1,1))</f>
        <v>396.0878652679051</v>
      </c>
      <c r="GF126" s="60">
        <f t="shared" si="104"/>
        <v>327.26339199235406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>
        <f>EXP(-LN(2)/35)*GL125+(1-EXP(-LN(2)/35))/(LN(2)/35)*GH126*GI126*VLOOKUP('Données projet'!$B$17,Paramètres!$A$1:$I$89,3,0)*0.475*44/12</f>
        <v>0</v>
      </c>
      <c r="GM126" s="23">
        <f>EXP(-LN(2)/25)*GM125+(1-EXP(-LN(2)/25))/(LN(2)/25)*Calculateur!GH126*Calculateur!GJ126*VLOOKUP('Données projet'!$B$17,Paramètres!$A$1:$I$89,3,0)*0.475*44/12</f>
        <v>0</v>
      </c>
      <c r="GN126" s="23">
        <f>EXP(-LN(2)/2)*GN125+(1-EXP(-LN(2)/2))/(LN(2)/2)*GH126*GK126*VLOOKUP('Données projet'!$B$17,Paramètres!$A$1:$I$89,3,0)*0.475*44/12</f>
        <v>0</v>
      </c>
      <c r="GO126" s="23">
        <f t="shared" si="81"/>
        <v>0</v>
      </c>
      <c r="GP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-1.1368683772161603E-13</v>
      </c>
      <c r="GV126" s="18">
        <f>GU126*VLOOKUP('Données projet'!$B$18,Paramètres!$A$1:$I$89,3,0)*VLOOKUP('Données projet'!$B$18,Paramètres!$A$1:$I$89,5,0)</f>
        <v>-9.2222762759774927E-14</v>
      </c>
      <c r="GW126" s="14" t="e">
        <f t="shared" si="105"/>
        <v>#NUM!</v>
      </c>
      <c r="GX126" s="22" t="e">
        <f t="shared" si="82"/>
        <v>#NUM!</v>
      </c>
      <c r="GY126" s="60" t="e">
        <f t="shared" si="83"/>
        <v>#NUM!</v>
      </c>
      <c r="GZ126" s="60">
        <f ca="1">AVERAGE(OFFSET($GY$3,0,0,'Données projet'!$E$18+1,1))-AVERAGE(OFFSET($H$3,0,0,'Données projet'!$E$18+1,1))</f>
        <v>272.69564942740931</v>
      </c>
      <c r="HA126" s="60">
        <f t="shared" si="106"/>
        <v>316.57989180609252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>
        <f>EXP(-LN(2)/35)*HG125+(1-EXP(-LN(2)/35))/(LN(2)/35)*HC126*HD126*VLOOKUP('Données projet'!$B$18,Paramètres!$A$1:$I$89,3,0)*0.475*44/12</f>
        <v>0</v>
      </c>
      <c r="HH126" s="23">
        <f>EXP(-LN(2)/25)*HH125+(1-EXP(-LN(2)/25))/(LN(2)/25)*Calculateur!HC126*Calculateur!HE126*VLOOKUP('Données projet'!$B$18,Paramètres!$A$1:$I$89,3,0)*0.475*44/12</f>
        <v>0</v>
      </c>
      <c r="HI126" s="23">
        <f>EXP(-LN(2)/2)*HI125+(1-EXP(-LN(2)/2))/(LN(2)/2)*HC126*HF126*VLOOKUP('Données projet'!$B$18,Paramètres!$A$1:$I$89,3,0)*0.475*44/12</f>
        <v>0</v>
      </c>
      <c r="HJ126" s="24">
        <f t="shared" si="84"/>
        <v>0</v>
      </c>
    </row>
    <row r="127" spans="1:218" s="5" customFormat="1" x14ac:dyDescent="0.25">
      <c r="A127" s="11">
        <f t="shared" si="85"/>
        <v>124</v>
      </c>
      <c r="B127" s="75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8">
        <f t="shared" si="56"/>
        <v>183.33333333333334</v>
      </c>
      <c r="I127" s="7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4.2</v>
      </c>
      <c r="N127" s="14">
        <f>IF('Données projet'!$A$36&gt;35,N126+M127-V126,IF(A127&lt;'Données projet'!$A$36,$K$205^A127,IF(A127='Données projet'!$A$36,'Données projet'!$B$36,N126+M127-V126)))</f>
        <v>368.79999999999984</v>
      </c>
      <c r="O127" s="14">
        <f>N127*VLOOKUP('Données projet'!$B$9,Paramètres!$A$1:$I$89,3,0)*VLOOKUP('Données projet'!$B$9,Paramètres!$A$1:$I$89,5,0)</f>
        <v>333.69023999999985</v>
      </c>
      <c r="P127" s="14">
        <f t="shared" si="87"/>
        <v>78.194892201133555</v>
      </c>
      <c r="Q127" s="22">
        <f t="shared" si="107"/>
        <v>717.36660525030732</v>
      </c>
      <c r="R127" s="60">
        <f t="shared" si="55"/>
        <v>1000.2336570334807</v>
      </c>
      <c r="S127" s="60">
        <f ca="1">AVERAGE(OFFSET($R$3,0,0,'Données projet'!$E$9+1,1))-AVERAGE(OFFSET($H$3,0,0,'Données projet'!$E$9+1,1))</f>
        <v>570.08763950759544</v>
      </c>
      <c r="T127" s="60">
        <f t="shared" si="88"/>
        <v>297.32483725004136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-5.6843418860808015E-14</v>
      </c>
      <c r="AJ127" s="14">
        <f>AI127*VLOOKUP('Données projet'!$B$10,Paramètres!$A$1:$I$89,3,0)*VLOOKUP('Données projet'!$B$10,Paramètres!$A$1:$I$89,5,0)</f>
        <v>-4.5224624045658861E-14</v>
      </c>
      <c r="AK127" s="14" t="e">
        <f t="shared" si="89"/>
        <v>#NUM!</v>
      </c>
      <c r="AL127" s="22" t="e">
        <f t="shared" si="58"/>
        <v>#NUM!</v>
      </c>
      <c r="AM127" s="60" t="e">
        <f t="shared" si="59"/>
        <v>#NUM!</v>
      </c>
      <c r="AN127" s="60">
        <f ca="1">AVERAGE(OFFSET($AM$3,0,0,'Données projet'!$E$10+1,1))-AVERAGE(OFFSET($H$3,0,0,'Données projet'!$E$10+1,1))</f>
        <v>394.49874384716014</v>
      </c>
      <c r="AO127" s="60">
        <f t="shared" si="90"/>
        <v>423.72519584013378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3.4106051316484809E-13</v>
      </c>
      <c r="BE127" s="14">
        <f>BD127*VLOOKUP('Données projet'!$B$11,Paramètres!$A$1:$I$89,3,0)*VLOOKUP('Données projet'!$B$11,Paramètres!$A$1:$I$89,5,0)</f>
        <v>2.9795046430081134E-13</v>
      </c>
      <c r="BF127" s="14">
        <f t="shared" si="91"/>
        <v>3.9419014464513778E-12</v>
      </c>
      <c r="BG127" s="22">
        <f t="shared" si="61"/>
        <v>7.384408744560063E-12</v>
      </c>
      <c r="BH127" s="60">
        <f t="shared" si="62"/>
        <v>282.86705178318073</v>
      </c>
      <c r="BI127" s="60">
        <f ca="1">AVERAGE(OFFSET($BH$3,0,0,'Données projet'!$E$11+1,1))-AVERAGE(OFFSET($H$3,0,0,'Données projet'!$E$11+1,1))</f>
        <v>363.28611056308665</v>
      </c>
      <c r="BJ127" s="60">
        <f t="shared" si="92"/>
        <v>389.43647559455974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5.6843418860808015E-14</v>
      </c>
      <c r="BZ127" s="14">
        <f>BY127*VLOOKUP('Données projet'!$B$12,Paramètres!$A$1:$I$89,3,0)*VLOOKUP('Données projet'!$B$12,Paramètres!$A$1:$I$89,5,0)</f>
        <v>5.4092197387944907E-14</v>
      </c>
      <c r="CA127" s="14">
        <f t="shared" si="93"/>
        <v>8.7287050538073676E-13</v>
      </c>
      <c r="CB127" s="22">
        <f t="shared" si="64"/>
        <v>1.6144600406554537E-12</v>
      </c>
      <c r="CC127" s="60">
        <f t="shared" si="65"/>
        <v>282.86705178317493</v>
      </c>
      <c r="CD127" s="60">
        <f ca="1">AVERAGE(OFFSET($CC$3,0,0,'Données projet'!$E$12+1,1))-AVERAGE(OFFSET($H$3,0,0,'Données projet'!$E$12+1,1))</f>
        <v>441.15969139782891</v>
      </c>
      <c r="CE127" s="60">
        <f t="shared" si="94"/>
        <v>315.06466790224783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-5.6843418860808015E-14</v>
      </c>
      <c r="CU127" s="18">
        <f>CT127*VLOOKUP('Données projet'!$B$13,Paramètres!$A$1:$I$89,3,0)*VLOOKUP('Données projet'!$B$13,Paramètres!$A$1:$I$89,5,0)</f>
        <v>-4.1677594708744434E-14</v>
      </c>
      <c r="CV127" s="14" t="e">
        <f t="shared" si="95"/>
        <v>#NUM!</v>
      </c>
      <c r="CW127" s="22" t="e">
        <f t="shared" si="67"/>
        <v>#NUM!</v>
      </c>
      <c r="CX127" s="60" t="e">
        <f t="shared" si="68"/>
        <v>#NUM!</v>
      </c>
      <c r="CY127" s="60">
        <f ca="1">AVERAGE(OFFSET($CX$3,0,0,'Données projet'!$E$13+1,1))-AVERAGE(OFFSET($H$3,0,0,'Données projet'!$E$13+1,1))</f>
        <v>368.35775920359396</v>
      </c>
      <c r="CZ127" s="60">
        <f t="shared" si="96"/>
        <v>395.5218438652638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1.1368683772161603E-13</v>
      </c>
      <c r="DP127" s="18">
        <f>DO127*VLOOKUP('Données projet'!$B$14,Paramètres!$A$1:$I$89,3,0)*VLOOKUP('Données projet'!$B$14,Paramètres!$A$1:$I$89,5,0)</f>
        <v>8.8675733422860506E-14</v>
      </c>
      <c r="DQ127" s="14">
        <f t="shared" si="97"/>
        <v>1.3509285393066301E-12</v>
      </c>
      <c r="DR127" s="22">
        <f t="shared" si="70"/>
        <v>2.5073107750038623E-12</v>
      </c>
      <c r="DS127" s="60">
        <f t="shared" si="71"/>
        <v>282.86705178317584</v>
      </c>
      <c r="DT127" s="60">
        <f ca="1">AVERAGE(OFFSET($DS$3,0,0,'Données projet'!$E$14+1,1))-AVERAGE(OFFSET($H$3,0,0,'Données projet'!$E$14+1,1))</f>
        <v>312.59632808777332</v>
      </c>
      <c r="DU127" s="60">
        <f t="shared" si="98"/>
        <v>302.59481222418219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0</v>
      </c>
      <c r="EE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-1.1368683772161603E-13</v>
      </c>
      <c r="EK127" s="18">
        <f>EJ127*VLOOKUP('Données projet'!$B$15,Paramètres!$A$1:$I$89,3,0)*VLOOKUP('Données projet'!$B$15,Paramètres!$A$1:$I$89,5,0)</f>
        <v>-9.7543306765146564E-14</v>
      </c>
      <c r="EL127" s="14" t="e">
        <f t="shared" si="99"/>
        <v>#NUM!</v>
      </c>
      <c r="EM127" s="22" t="e">
        <f t="shared" si="73"/>
        <v>#NUM!</v>
      </c>
      <c r="EN127" s="60" t="e">
        <f t="shared" si="74"/>
        <v>#NUM!</v>
      </c>
      <c r="EO127" s="60">
        <f ca="1">AVERAGE(OFFSET($EN$3,0,0,'Données projet'!$E$15+1,1))-AVERAGE(OFFSET($H$3,0,0,'Données projet'!$E$15+1,1))</f>
        <v>478.11504516179713</v>
      </c>
      <c r="EP127" s="60">
        <f t="shared" si="100"/>
        <v>249.93713224442419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0</v>
      </c>
      <c r="EW127" s="23">
        <f>EXP(-LN(2)/25)*EW126+(1-EXP(-LN(2)/25))/(LN(2)/25)*Calculateur!ER127*Calculateur!ET127*VLOOKUP('Données projet'!$B$15,Paramètres!$A$1:$I$89,3,0)*0.475*44/12</f>
        <v>0</v>
      </c>
      <c r="EX127" s="23">
        <f>EXP(-LN(2)/2)*EX126+(1-EXP(-LN(2)/2))/(LN(2)/2)*ER127*EU127*VLOOKUP('Données projet'!$B$15,Paramètres!$A$1:$I$89,3,0)*0.475*44/12</f>
        <v>0</v>
      </c>
      <c r="EY127" s="24">
        <f t="shared" si="75"/>
        <v>0</v>
      </c>
      <c r="EZ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4.2</v>
      </c>
      <c r="FE127" s="13">
        <f>IF('Données projet'!$A$218&gt;35,FE126+FD127-FM126,IF(A127&lt;'Données projet'!$A$218,$FB$205^A127,IF(A127='Données projet'!$A$218,'Données projet'!$B$218,FE126+FD127-FM126)))</f>
        <v>368.79999999999984</v>
      </c>
      <c r="FF127" s="18">
        <f>FE127*VLOOKUP('Données projet'!$B$16,Paramètres!$A$1:$I$89,3,0)*VLOOKUP('Données projet'!$B$16,Paramètres!$A$1:$I$89,5,0)</f>
        <v>356.70335999999986</v>
      </c>
      <c r="FG127" s="14">
        <f t="shared" si="101"/>
        <v>82.941274962297129</v>
      </c>
      <c r="FH127" s="22">
        <f t="shared" si="76"/>
        <v>765.71440589266729</v>
      </c>
      <c r="FI127" s="60">
        <f t="shared" si="77"/>
        <v>1048.5814576758407</v>
      </c>
      <c r="FJ127" s="60">
        <f ca="1">AVERAGE(OFFSET($FI$3,0,0,'Données projet'!$E$16+1,1))-AVERAGE(OFFSET($H$3,0,0,'Données projet'!$E$16+1,1))</f>
        <v>603.52431522262032</v>
      </c>
      <c r="FK127" s="60">
        <f t="shared" si="102"/>
        <v>313.56299786481338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>
        <f>EXP(-LN(2)/35)*FQ126+(1-EXP(-LN(2)/35))/(LN(2)/35)*FM127*FN127*VLOOKUP('Données projet'!$B$16,Paramètres!$A$1:$I$89,3,0)*0.475*44/12</f>
        <v>0</v>
      </c>
      <c r="FR127" s="23">
        <f>EXP(-LN(2)/25)*FR126+(1-EXP(-LN(2)/25))/(LN(2)/25)*Calculateur!FM127*Calculateur!FO127*VLOOKUP('Données projet'!$B$16,Paramètres!$A$1:$I$89,3,0)*0.475*44/12</f>
        <v>0</v>
      </c>
      <c r="FS127" s="23">
        <f>EXP(-LN(2)/2)*FS126+(1-EXP(-LN(2)/2))/(LN(2)/2)*FM127*FP127*VLOOKUP('Données projet'!$B$16,Paramètres!$A$1:$I$89,3,0)*0.475*44/12</f>
        <v>0</v>
      </c>
      <c r="FT127" s="24">
        <f t="shared" si="78"/>
        <v>0</v>
      </c>
      <c r="FU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>
        <f>FZ127*VLOOKUP('Données projet'!$B$17,Paramètres!$A$1:$I$89,3,0)*VLOOKUP('Données projet'!$B$17,Paramètres!$A$1:$I$89,5,0)</f>
        <v>0</v>
      </c>
      <c r="GB127" s="14" t="e">
        <f t="shared" si="103"/>
        <v>#NUM!</v>
      </c>
      <c r="GC127" s="22" t="e">
        <f t="shared" si="79"/>
        <v>#NUM!</v>
      </c>
      <c r="GD127" s="60" t="e">
        <f t="shared" si="80"/>
        <v>#NUM!</v>
      </c>
      <c r="GE127" s="60">
        <f ca="1">AVERAGE(OFFSET($GD$3,0,0,'Données projet'!$E$17+1,1))-AVERAGE(OFFSET($H$3,0,0,'Données projet'!$E$17+1,1))</f>
        <v>396.0878652679051</v>
      </c>
      <c r="GF127" s="60">
        <f t="shared" si="104"/>
        <v>327.26339199235406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>
        <f>EXP(-LN(2)/35)*GL126+(1-EXP(-LN(2)/35))/(LN(2)/35)*GH127*GI127*VLOOKUP('Données projet'!$B$17,Paramètres!$A$1:$I$89,3,0)*0.475*44/12</f>
        <v>0</v>
      </c>
      <c r="GM127" s="23">
        <f>EXP(-LN(2)/25)*GM126+(1-EXP(-LN(2)/25))/(LN(2)/25)*Calculateur!GH127*Calculateur!GJ127*VLOOKUP('Données projet'!$B$17,Paramètres!$A$1:$I$89,3,0)*0.475*44/12</f>
        <v>0</v>
      </c>
      <c r="GN127" s="23">
        <f>EXP(-LN(2)/2)*GN126+(1-EXP(-LN(2)/2))/(LN(2)/2)*GH127*GK127*VLOOKUP('Données projet'!$B$17,Paramètres!$A$1:$I$89,3,0)*0.475*44/12</f>
        <v>0</v>
      </c>
      <c r="GO127" s="23">
        <f t="shared" si="81"/>
        <v>0</v>
      </c>
      <c r="GP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-1.1368683772161603E-13</v>
      </c>
      <c r="GV127" s="18">
        <f>GU127*VLOOKUP('Données projet'!$B$18,Paramètres!$A$1:$I$89,3,0)*VLOOKUP('Données projet'!$B$18,Paramètres!$A$1:$I$89,5,0)</f>
        <v>-9.2222762759774927E-14</v>
      </c>
      <c r="GW127" s="14" t="e">
        <f t="shared" si="105"/>
        <v>#NUM!</v>
      </c>
      <c r="GX127" s="22" t="e">
        <f t="shared" si="82"/>
        <v>#NUM!</v>
      </c>
      <c r="GY127" s="60" t="e">
        <f t="shared" si="83"/>
        <v>#NUM!</v>
      </c>
      <c r="GZ127" s="60">
        <f ca="1">AVERAGE(OFFSET($GY$3,0,0,'Données projet'!$E$18+1,1))-AVERAGE(OFFSET($H$3,0,0,'Données projet'!$E$18+1,1))</f>
        <v>272.69564942740931</v>
      </c>
      <c r="HA127" s="60">
        <f t="shared" si="106"/>
        <v>316.57989180609252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>
        <f>EXP(-LN(2)/35)*HG126+(1-EXP(-LN(2)/35))/(LN(2)/35)*HC127*HD127*VLOOKUP('Données projet'!$B$18,Paramètres!$A$1:$I$89,3,0)*0.475*44/12</f>
        <v>0</v>
      </c>
      <c r="HH127" s="23">
        <f>EXP(-LN(2)/25)*HH126+(1-EXP(-LN(2)/25))/(LN(2)/25)*Calculateur!HC127*Calculateur!HE127*VLOOKUP('Données projet'!$B$18,Paramètres!$A$1:$I$89,3,0)*0.475*44/12</f>
        <v>0</v>
      </c>
      <c r="HI127" s="23">
        <f>EXP(-LN(2)/2)*HI126+(1-EXP(-LN(2)/2))/(LN(2)/2)*HC127*HF127*VLOOKUP('Données projet'!$B$18,Paramètres!$A$1:$I$89,3,0)*0.475*44/12</f>
        <v>0</v>
      </c>
      <c r="HJ127" s="24">
        <f t="shared" si="84"/>
        <v>0</v>
      </c>
    </row>
    <row r="128" spans="1:218" s="5" customFormat="1" x14ac:dyDescent="0.25">
      <c r="A128" s="11">
        <f t="shared" si="85"/>
        <v>125</v>
      </c>
      <c r="B128" s="75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8">
        <f t="shared" si="56"/>
        <v>183.33333333333334</v>
      </c>
      <c r="I128" s="7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4.2</v>
      </c>
      <c r="N128" s="14">
        <f>IF('Données projet'!$A$36&gt;35,N127+M128-V127,IF(A128&lt;'Données projet'!$A$36,$K$205^A128,IF(A128='Données projet'!$A$36,'Données projet'!$B$36,N127+M128-V127)))</f>
        <v>372.99999999999983</v>
      </c>
      <c r="O128" s="14">
        <f>N128*VLOOKUP('Données projet'!$B$9,Paramètres!$A$1:$I$89,3,0)*VLOOKUP('Données projet'!$B$9,Paramètres!$A$1:$I$89,5,0)</f>
        <v>337.49039999999985</v>
      </c>
      <c r="P128" s="14">
        <f t="shared" si="87"/>
        <v>78.981223819202711</v>
      </c>
      <c r="Q128" s="22">
        <f t="shared" si="107"/>
        <v>725.35474481844449</v>
      </c>
      <c r="R128" s="60">
        <f t="shared" si="55"/>
        <v>1008.403363187413</v>
      </c>
      <c r="S128" s="60">
        <f ca="1">AVERAGE(OFFSET($R$3,0,0,'Données projet'!$E$9+1,1))-AVERAGE(OFFSET($H$3,0,0,'Données projet'!$E$9+1,1))</f>
        <v>570.08763950759544</v>
      </c>
      <c r="T128" s="60">
        <f t="shared" si="88"/>
        <v>297.32483725004136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-5.6843418860808015E-14</v>
      </c>
      <c r="AJ128" s="14">
        <f>AI128*VLOOKUP('Données projet'!$B$10,Paramètres!$A$1:$I$89,3,0)*VLOOKUP('Données projet'!$B$10,Paramètres!$A$1:$I$89,5,0)</f>
        <v>-4.5224624045658861E-14</v>
      </c>
      <c r="AK128" s="14" t="e">
        <f t="shared" si="89"/>
        <v>#NUM!</v>
      </c>
      <c r="AL128" s="22" t="e">
        <f t="shared" si="58"/>
        <v>#NUM!</v>
      </c>
      <c r="AM128" s="60" t="e">
        <f t="shared" si="59"/>
        <v>#NUM!</v>
      </c>
      <c r="AN128" s="60">
        <f ca="1">AVERAGE(OFFSET($AM$3,0,0,'Données projet'!$E$10+1,1))-AVERAGE(OFFSET($H$3,0,0,'Données projet'!$E$10+1,1))</f>
        <v>394.49874384716014</v>
      </c>
      <c r="AO128" s="60">
        <f t="shared" si="90"/>
        <v>423.72519584013378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3.4106051316484809E-13</v>
      </c>
      <c r="BE128" s="14">
        <f>BD128*VLOOKUP('Données projet'!$B$11,Paramètres!$A$1:$I$89,3,0)*VLOOKUP('Données projet'!$B$11,Paramètres!$A$1:$I$89,5,0)</f>
        <v>2.9795046430081134E-13</v>
      </c>
      <c r="BF128" s="14">
        <f t="shared" si="91"/>
        <v>3.9419014464513778E-12</v>
      </c>
      <c r="BG128" s="22">
        <f t="shared" si="61"/>
        <v>7.384408744560063E-12</v>
      </c>
      <c r="BH128" s="60">
        <f t="shared" si="62"/>
        <v>283.04861836897589</v>
      </c>
      <c r="BI128" s="60">
        <f ca="1">AVERAGE(OFFSET($BH$3,0,0,'Données projet'!$E$11+1,1))-AVERAGE(OFFSET($H$3,0,0,'Données projet'!$E$11+1,1))</f>
        <v>363.28611056308665</v>
      </c>
      <c r="BJ128" s="60">
        <f t="shared" si="92"/>
        <v>389.43647559455974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5.6843418860808015E-14</v>
      </c>
      <c r="BZ128" s="14">
        <f>BY128*VLOOKUP('Données projet'!$B$12,Paramètres!$A$1:$I$89,3,0)*VLOOKUP('Données projet'!$B$12,Paramètres!$A$1:$I$89,5,0)</f>
        <v>5.4092197387944907E-14</v>
      </c>
      <c r="CA128" s="14">
        <f t="shared" si="93"/>
        <v>8.7287050538073676E-13</v>
      </c>
      <c r="CB128" s="22">
        <f t="shared" si="64"/>
        <v>1.6144600406554537E-12</v>
      </c>
      <c r="CC128" s="60">
        <f t="shared" si="65"/>
        <v>283.0486183689701</v>
      </c>
      <c r="CD128" s="60">
        <f ca="1">AVERAGE(OFFSET($CC$3,0,0,'Données projet'!$E$12+1,1))-AVERAGE(OFFSET($H$3,0,0,'Données projet'!$E$12+1,1))</f>
        <v>441.15969139782891</v>
      </c>
      <c r="CE128" s="60">
        <f t="shared" si="94"/>
        <v>315.06466790224783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-5.6843418860808015E-14</v>
      </c>
      <c r="CU128" s="18">
        <f>CT128*VLOOKUP('Données projet'!$B$13,Paramètres!$A$1:$I$89,3,0)*VLOOKUP('Données projet'!$B$13,Paramètres!$A$1:$I$89,5,0)</f>
        <v>-4.1677594708744434E-14</v>
      </c>
      <c r="CV128" s="14" t="e">
        <f t="shared" si="95"/>
        <v>#NUM!</v>
      </c>
      <c r="CW128" s="22" t="e">
        <f t="shared" si="67"/>
        <v>#NUM!</v>
      </c>
      <c r="CX128" s="60" t="e">
        <f t="shared" si="68"/>
        <v>#NUM!</v>
      </c>
      <c r="CY128" s="60">
        <f ca="1">AVERAGE(OFFSET($CX$3,0,0,'Données projet'!$E$13+1,1))-AVERAGE(OFFSET($H$3,0,0,'Données projet'!$E$13+1,1))</f>
        <v>368.35775920359396</v>
      </c>
      <c r="CZ128" s="60">
        <f t="shared" si="96"/>
        <v>395.5218438652638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1.1368683772161603E-13</v>
      </c>
      <c r="DP128" s="18">
        <f>DO128*VLOOKUP('Données projet'!$B$14,Paramètres!$A$1:$I$89,3,0)*VLOOKUP('Données projet'!$B$14,Paramètres!$A$1:$I$89,5,0)</f>
        <v>8.8675733422860506E-14</v>
      </c>
      <c r="DQ128" s="14">
        <f t="shared" si="97"/>
        <v>1.3509285393066301E-12</v>
      </c>
      <c r="DR128" s="22">
        <f t="shared" si="70"/>
        <v>2.5073107750038623E-12</v>
      </c>
      <c r="DS128" s="60">
        <f t="shared" si="71"/>
        <v>283.04861836897101</v>
      </c>
      <c r="DT128" s="60">
        <f ca="1">AVERAGE(OFFSET($DS$3,0,0,'Données projet'!$E$14+1,1))-AVERAGE(OFFSET($H$3,0,0,'Données projet'!$E$14+1,1))</f>
        <v>312.59632808777332</v>
      </c>
      <c r="DU128" s="60">
        <f t="shared" si="98"/>
        <v>302.59481222418219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0</v>
      </c>
      <c r="EE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-1.1368683772161603E-13</v>
      </c>
      <c r="EK128" s="18">
        <f>EJ128*VLOOKUP('Données projet'!$B$15,Paramètres!$A$1:$I$89,3,0)*VLOOKUP('Données projet'!$B$15,Paramètres!$A$1:$I$89,5,0)</f>
        <v>-9.7543306765146564E-14</v>
      </c>
      <c r="EL128" s="14" t="e">
        <f t="shared" si="99"/>
        <v>#NUM!</v>
      </c>
      <c r="EM128" s="22" t="e">
        <f t="shared" si="73"/>
        <v>#NUM!</v>
      </c>
      <c r="EN128" s="60" t="e">
        <f t="shared" si="74"/>
        <v>#NUM!</v>
      </c>
      <c r="EO128" s="60">
        <f ca="1">AVERAGE(OFFSET($EN$3,0,0,'Données projet'!$E$15+1,1))-AVERAGE(OFFSET($H$3,0,0,'Données projet'!$E$15+1,1))</f>
        <v>478.11504516179713</v>
      </c>
      <c r="EP128" s="60">
        <f t="shared" si="100"/>
        <v>249.93713224442419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0</v>
      </c>
      <c r="EW128" s="23">
        <f>EXP(-LN(2)/25)*EW127+(1-EXP(-LN(2)/25))/(LN(2)/25)*Calculateur!ER128*Calculateur!ET128*VLOOKUP('Données projet'!$B$15,Paramètres!$A$1:$I$89,3,0)*0.475*44/12</f>
        <v>0</v>
      </c>
      <c r="EX128" s="23">
        <f>EXP(-LN(2)/2)*EX127+(1-EXP(-LN(2)/2))/(LN(2)/2)*ER128*EU128*VLOOKUP('Données projet'!$B$15,Paramètres!$A$1:$I$89,3,0)*0.475*44/12</f>
        <v>0</v>
      </c>
      <c r="EY128" s="24">
        <f t="shared" si="75"/>
        <v>0</v>
      </c>
      <c r="EZ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4.2</v>
      </c>
      <c r="FE128" s="13">
        <f>IF('Données projet'!$A$218&gt;35,FE127+FD128-FM127,IF(A128&lt;'Données projet'!$A$218,$FB$205^A128,IF(A128='Données projet'!$A$218,'Données projet'!$B$218,FE127+FD128-FM127)))</f>
        <v>372.99999999999983</v>
      </c>
      <c r="FF128" s="18">
        <f>FE128*VLOOKUP('Données projet'!$B$16,Paramètres!$A$1:$I$89,3,0)*VLOOKUP('Données projet'!$B$16,Paramètres!$A$1:$I$89,5,0)</f>
        <v>360.76559999999989</v>
      </c>
      <c r="FG128" s="14">
        <f t="shared" si="101"/>
        <v>83.775336434983416</v>
      </c>
      <c r="FH128" s="22">
        <f t="shared" si="76"/>
        <v>774.24213095759603</v>
      </c>
      <c r="FI128" s="60">
        <f t="shared" si="77"/>
        <v>1057.2907493265645</v>
      </c>
      <c r="FJ128" s="60">
        <f ca="1">AVERAGE(OFFSET($FI$3,0,0,'Données projet'!$E$16+1,1))-AVERAGE(OFFSET($H$3,0,0,'Données projet'!$E$16+1,1))</f>
        <v>603.52431522262032</v>
      </c>
      <c r="FK128" s="60">
        <f t="shared" si="102"/>
        <v>313.56299786481338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>
        <f>EXP(-LN(2)/35)*FQ127+(1-EXP(-LN(2)/35))/(LN(2)/35)*FM128*FN128*VLOOKUP('Données projet'!$B$16,Paramètres!$A$1:$I$89,3,0)*0.475*44/12</f>
        <v>0</v>
      </c>
      <c r="FR128" s="23">
        <f>EXP(-LN(2)/25)*FR127+(1-EXP(-LN(2)/25))/(LN(2)/25)*Calculateur!FM128*Calculateur!FO128*VLOOKUP('Données projet'!$B$16,Paramètres!$A$1:$I$89,3,0)*0.475*44/12</f>
        <v>0</v>
      </c>
      <c r="FS128" s="23">
        <f>EXP(-LN(2)/2)*FS127+(1-EXP(-LN(2)/2))/(LN(2)/2)*FM128*FP128*VLOOKUP('Données projet'!$B$16,Paramètres!$A$1:$I$89,3,0)*0.475*44/12</f>
        <v>0</v>
      </c>
      <c r="FT128" s="24">
        <f t="shared" si="78"/>
        <v>0</v>
      </c>
      <c r="FU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>
        <f>FZ128*VLOOKUP('Données projet'!$B$17,Paramètres!$A$1:$I$89,3,0)*VLOOKUP('Données projet'!$B$17,Paramètres!$A$1:$I$89,5,0)</f>
        <v>0</v>
      </c>
      <c r="GB128" s="14" t="e">
        <f t="shared" si="103"/>
        <v>#NUM!</v>
      </c>
      <c r="GC128" s="22" t="e">
        <f t="shared" si="79"/>
        <v>#NUM!</v>
      </c>
      <c r="GD128" s="60" t="e">
        <f t="shared" si="80"/>
        <v>#NUM!</v>
      </c>
      <c r="GE128" s="60">
        <f ca="1">AVERAGE(OFFSET($GD$3,0,0,'Données projet'!$E$17+1,1))-AVERAGE(OFFSET($H$3,0,0,'Données projet'!$E$17+1,1))</f>
        <v>396.0878652679051</v>
      </c>
      <c r="GF128" s="60">
        <f t="shared" si="104"/>
        <v>327.26339199235406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>
        <f>EXP(-LN(2)/35)*GL127+(1-EXP(-LN(2)/35))/(LN(2)/35)*GH128*GI128*VLOOKUP('Données projet'!$B$17,Paramètres!$A$1:$I$89,3,0)*0.475*44/12</f>
        <v>0</v>
      </c>
      <c r="GM128" s="23">
        <f>EXP(-LN(2)/25)*GM127+(1-EXP(-LN(2)/25))/(LN(2)/25)*Calculateur!GH128*Calculateur!GJ128*VLOOKUP('Données projet'!$B$17,Paramètres!$A$1:$I$89,3,0)*0.475*44/12</f>
        <v>0</v>
      </c>
      <c r="GN128" s="23">
        <f>EXP(-LN(2)/2)*GN127+(1-EXP(-LN(2)/2))/(LN(2)/2)*GH128*GK128*VLOOKUP('Données projet'!$B$17,Paramètres!$A$1:$I$89,3,0)*0.475*44/12</f>
        <v>0</v>
      </c>
      <c r="GO128" s="23">
        <f t="shared" si="81"/>
        <v>0</v>
      </c>
      <c r="GP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-1.1368683772161603E-13</v>
      </c>
      <c r="GV128" s="18">
        <f>GU128*VLOOKUP('Données projet'!$B$18,Paramètres!$A$1:$I$89,3,0)*VLOOKUP('Données projet'!$B$18,Paramètres!$A$1:$I$89,5,0)</f>
        <v>-9.2222762759774927E-14</v>
      </c>
      <c r="GW128" s="14" t="e">
        <f t="shared" si="105"/>
        <v>#NUM!</v>
      </c>
      <c r="GX128" s="22" t="e">
        <f t="shared" si="82"/>
        <v>#NUM!</v>
      </c>
      <c r="GY128" s="60" t="e">
        <f t="shared" si="83"/>
        <v>#NUM!</v>
      </c>
      <c r="GZ128" s="60">
        <f ca="1">AVERAGE(OFFSET($GY$3,0,0,'Données projet'!$E$18+1,1))-AVERAGE(OFFSET($H$3,0,0,'Données projet'!$E$18+1,1))</f>
        <v>272.69564942740931</v>
      </c>
      <c r="HA128" s="60">
        <f t="shared" si="106"/>
        <v>316.57989180609252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>
        <f>EXP(-LN(2)/35)*HG127+(1-EXP(-LN(2)/35))/(LN(2)/35)*HC128*HD128*VLOOKUP('Données projet'!$B$18,Paramètres!$A$1:$I$89,3,0)*0.475*44/12</f>
        <v>0</v>
      </c>
      <c r="HH128" s="23">
        <f>EXP(-LN(2)/25)*HH127+(1-EXP(-LN(2)/25))/(LN(2)/25)*Calculateur!HC128*Calculateur!HE128*VLOOKUP('Données projet'!$B$18,Paramètres!$A$1:$I$89,3,0)*0.475*44/12</f>
        <v>0</v>
      </c>
      <c r="HI128" s="23">
        <f>EXP(-LN(2)/2)*HI127+(1-EXP(-LN(2)/2))/(LN(2)/2)*HC128*HF128*VLOOKUP('Données projet'!$B$18,Paramètres!$A$1:$I$89,3,0)*0.475*44/12</f>
        <v>0</v>
      </c>
      <c r="HJ128" s="24">
        <f t="shared" si="84"/>
        <v>0</v>
      </c>
    </row>
    <row r="129" spans="1:218" s="5" customFormat="1" x14ac:dyDescent="0.25">
      <c r="A129" s="11">
        <f t="shared" si="85"/>
        <v>126</v>
      </c>
      <c r="B129" s="75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8">
        <f t="shared" si="56"/>
        <v>183.33333333333334</v>
      </c>
      <c r="I129" s="7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4.2</v>
      </c>
      <c r="N129" s="14">
        <f>IF('Données projet'!$A$36&gt;35,N128+M129-V128,IF(A129&lt;'Données projet'!$A$36,$K$205^A129,IF(A129='Données projet'!$A$36,'Données projet'!$B$36,N128+M129-V128)))</f>
        <v>377.19999999999982</v>
      </c>
      <c r="O129" s="14">
        <f>N129*VLOOKUP('Données projet'!$B$9,Paramètres!$A$1:$I$89,3,0)*VLOOKUP('Données projet'!$B$9,Paramètres!$A$1:$I$89,5,0)</f>
        <v>341.2905599999998</v>
      </c>
      <c r="P129" s="14">
        <f t="shared" si="87"/>
        <v>79.766525467910597</v>
      </c>
      <c r="Q129" s="22">
        <f t="shared" si="107"/>
        <v>733.34109052327722</v>
      </c>
      <c r="R129" s="60">
        <f t="shared" si="55"/>
        <v>1016.5681257036995</v>
      </c>
      <c r="S129" s="60">
        <f ca="1">AVERAGE(OFFSET($R$3,0,0,'Données projet'!$E$9+1,1))-AVERAGE(OFFSET($H$3,0,0,'Données projet'!$E$9+1,1))</f>
        <v>570.08763950759544</v>
      </c>
      <c r="T129" s="60">
        <f t="shared" si="88"/>
        <v>297.32483725004136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-5.6843418860808015E-14</v>
      </c>
      <c r="AJ129" s="14">
        <f>AI129*VLOOKUP('Données projet'!$B$10,Paramètres!$A$1:$I$89,3,0)*VLOOKUP('Données projet'!$B$10,Paramètres!$A$1:$I$89,5,0)</f>
        <v>-4.5224624045658861E-14</v>
      </c>
      <c r="AK129" s="14" t="e">
        <f t="shared" si="89"/>
        <v>#NUM!</v>
      </c>
      <c r="AL129" s="22" t="e">
        <f t="shared" si="58"/>
        <v>#NUM!</v>
      </c>
      <c r="AM129" s="60" t="e">
        <f t="shared" si="59"/>
        <v>#NUM!</v>
      </c>
      <c r="AN129" s="60">
        <f ca="1">AVERAGE(OFFSET($AM$3,0,0,'Données projet'!$E$10+1,1))-AVERAGE(OFFSET($H$3,0,0,'Données projet'!$E$10+1,1))</f>
        <v>394.49874384716014</v>
      </c>
      <c r="AO129" s="60">
        <f t="shared" si="90"/>
        <v>423.72519584013378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3.4106051316484809E-13</v>
      </c>
      <c r="BE129" s="14">
        <f>BD129*VLOOKUP('Données projet'!$B$11,Paramètres!$A$1:$I$89,3,0)*VLOOKUP('Données projet'!$B$11,Paramètres!$A$1:$I$89,5,0)</f>
        <v>2.9795046430081134E-13</v>
      </c>
      <c r="BF129" s="14">
        <f t="shared" si="91"/>
        <v>3.9419014464513778E-12</v>
      </c>
      <c r="BG129" s="22">
        <f t="shared" si="61"/>
        <v>7.384408744560063E-12</v>
      </c>
      <c r="BH129" s="60">
        <f t="shared" si="62"/>
        <v>283.2270351804296</v>
      </c>
      <c r="BI129" s="60">
        <f ca="1">AVERAGE(OFFSET($BH$3,0,0,'Données projet'!$E$11+1,1))-AVERAGE(OFFSET($H$3,0,0,'Données projet'!$E$11+1,1))</f>
        <v>363.28611056308665</v>
      </c>
      <c r="BJ129" s="60">
        <f t="shared" si="92"/>
        <v>389.43647559455974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5.6843418860808015E-14</v>
      </c>
      <c r="BZ129" s="14">
        <f>BY129*VLOOKUP('Données projet'!$B$12,Paramètres!$A$1:$I$89,3,0)*VLOOKUP('Données projet'!$B$12,Paramètres!$A$1:$I$89,5,0)</f>
        <v>5.4092197387944907E-14</v>
      </c>
      <c r="CA129" s="14">
        <f t="shared" si="93"/>
        <v>8.7287050538073676E-13</v>
      </c>
      <c r="CB129" s="22">
        <f t="shared" si="64"/>
        <v>1.6144600406554537E-12</v>
      </c>
      <c r="CC129" s="60">
        <f t="shared" si="65"/>
        <v>283.2270351804238</v>
      </c>
      <c r="CD129" s="60">
        <f ca="1">AVERAGE(OFFSET($CC$3,0,0,'Données projet'!$E$12+1,1))-AVERAGE(OFFSET($H$3,0,0,'Données projet'!$E$12+1,1))</f>
        <v>441.15969139782891</v>
      </c>
      <c r="CE129" s="60">
        <f t="shared" si="94"/>
        <v>315.06466790224783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-5.6843418860808015E-14</v>
      </c>
      <c r="CU129" s="18">
        <f>CT129*VLOOKUP('Données projet'!$B$13,Paramètres!$A$1:$I$89,3,0)*VLOOKUP('Données projet'!$B$13,Paramètres!$A$1:$I$89,5,0)</f>
        <v>-4.1677594708744434E-14</v>
      </c>
      <c r="CV129" s="14" t="e">
        <f t="shared" si="95"/>
        <v>#NUM!</v>
      </c>
      <c r="CW129" s="22" t="e">
        <f t="shared" si="67"/>
        <v>#NUM!</v>
      </c>
      <c r="CX129" s="60" t="e">
        <f t="shared" si="68"/>
        <v>#NUM!</v>
      </c>
      <c r="CY129" s="60">
        <f ca="1">AVERAGE(OFFSET($CX$3,0,0,'Données projet'!$E$13+1,1))-AVERAGE(OFFSET($H$3,0,0,'Données projet'!$E$13+1,1))</f>
        <v>368.35775920359396</v>
      </c>
      <c r="CZ129" s="60">
        <f t="shared" si="96"/>
        <v>395.5218438652638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1.1368683772161603E-13</v>
      </c>
      <c r="DP129" s="18">
        <f>DO129*VLOOKUP('Données projet'!$B$14,Paramètres!$A$1:$I$89,3,0)*VLOOKUP('Données projet'!$B$14,Paramètres!$A$1:$I$89,5,0)</f>
        <v>8.8675733422860506E-14</v>
      </c>
      <c r="DQ129" s="14">
        <f t="shared" si="97"/>
        <v>1.3509285393066301E-12</v>
      </c>
      <c r="DR129" s="22">
        <f t="shared" si="70"/>
        <v>2.5073107750038623E-12</v>
      </c>
      <c r="DS129" s="60">
        <f t="shared" si="71"/>
        <v>283.22703518042471</v>
      </c>
      <c r="DT129" s="60">
        <f ca="1">AVERAGE(OFFSET($DS$3,0,0,'Données projet'!$E$14+1,1))-AVERAGE(OFFSET($H$3,0,0,'Données projet'!$E$14+1,1))</f>
        <v>312.59632808777332</v>
      </c>
      <c r="DU129" s="60">
        <f t="shared" si="98"/>
        <v>302.59481222418219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0</v>
      </c>
      <c r="EE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-1.1368683772161603E-13</v>
      </c>
      <c r="EK129" s="18">
        <f>EJ129*VLOOKUP('Données projet'!$B$15,Paramètres!$A$1:$I$89,3,0)*VLOOKUP('Données projet'!$B$15,Paramètres!$A$1:$I$89,5,0)</f>
        <v>-9.7543306765146564E-14</v>
      </c>
      <c r="EL129" s="14" t="e">
        <f t="shared" si="99"/>
        <v>#NUM!</v>
      </c>
      <c r="EM129" s="22" t="e">
        <f t="shared" si="73"/>
        <v>#NUM!</v>
      </c>
      <c r="EN129" s="60" t="e">
        <f t="shared" si="74"/>
        <v>#NUM!</v>
      </c>
      <c r="EO129" s="60">
        <f ca="1">AVERAGE(OFFSET($EN$3,0,0,'Données projet'!$E$15+1,1))-AVERAGE(OFFSET($H$3,0,0,'Données projet'!$E$15+1,1))</f>
        <v>478.11504516179713</v>
      </c>
      <c r="EP129" s="60">
        <f t="shared" si="100"/>
        <v>249.93713224442419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0</v>
      </c>
      <c r="EW129" s="23">
        <f>EXP(-LN(2)/25)*EW128+(1-EXP(-LN(2)/25))/(LN(2)/25)*Calculateur!ER129*Calculateur!ET129*VLOOKUP('Données projet'!$B$15,Paramètres!$A$1:$I$89,3,0)*0.475*44/12</f>
        <v>0</v>
      </c>
      <c r="EX129" s="23">
        <f>EXP(-LN(2)/2)*EX128+(1-EXP(-LN(2)/2))/(LN(2)/2)*ER129*EU129*VLOOKUP('Données projet'!$B$15,Paramètres!$A$1:$I$89,3,0)*0.475*44/12</f>
        <v>0</v>
      </c>
      <c r="EY129" s="24">
        <f t="shared" si="75"/>
        <v>0</v>
      </c>
      <c r="EZ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4.2</v>
      </c>
      <c r="FE129" s="13">
        <f>IF('Données projet'!$A$218&gt;35,FE128+FD129-FM128,IF(A129&lt;'Données projet'!$A$218,$FB$205^A129,IF(A129='Données projet'!$A$218,'Données projet'!$B$218,FE128+FD129-FM128)))</f>
        <v>377.19999999999982</v>
      </c>
      <c r="FF129" s="18">
        <f>FE129*VLOOKUP('Données projet'!$B$16,Paramètres!$A$1:$I$89,3,0)*VLOOKUP('Données projet'!$B$16,Paramètres!$A$1:$I$89,5,0)</f>
        <v>364.82783999999987</v>
      </c>
      <c r="FG129" s="14">
        <f t="shared" si="101"/>
        <v>84.608305419789914</v>
      </c>
      <c r="FH129" s="22">
        <f t="shared" si="76"/>
        <v>782.76795327280058</v>
      </c>
      <c r="FI129" s="60">
        <f t="shared" si="77"/>
        <v>1065.9949884532227</v>
      </c>
      <c r="FJ129" s="60">
        <f ca="1">AVERAGE(OFFSET($FI$3,0,0,'Données projet'!$E$16+1,1))-AVERAGE(OFFSET($H$3,0,0,'Données projet'!$E$16+1,1))</f>
        <v>603.52431522262032</v>
      </c>
      <c r="FK129" s="60">
        <f t="shared" si="102"/>
        <v>313.56299786481338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>
        <f>EXP(-LN(2)/35)*FQ128+(1-EXP(-LN(2)/35))/(LN(2)/35)*FM129*FN129*VLOOKUP('Données projet'!$B$16,Paramètres!$A$1:$I$89,3,0)*0.475*44/12</f>
        <v>0</v>
      </c>
      <c r="FR129" s="23">
        <f>EXP(-LN(2)/25)*FR128+(1-EXP(-LN(2)/25))/(LN(2)/25)*Calculateur!FM129*Calculateur!FO129*VLOOKUP('Données projet'!$B$16,Paramètres!$A$1:$I$89,3,0)*0.475*44/12</f>
        <v>0</v>
      </c>
      <c r="FS129" s="23">
        <f>EXP(-LN(2)/2)*FS128+(1-EXP(-LN(2)/2))/(LN(2)/2)*FM129*FP129*VLOOKUP('Données projet'!$B$16,Paramètres!$A$1:$I$89,3,0)*0.475*44/12</f>
        <v>0</v>
      </c>
      <c r="FT129" s="24">
        <f t="shared" si="78"/>
        <v>0</v>
      </c>
      <c r="FU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>
        <f>FZ129*VLOOKUP('Données projet'!$B$17,Paramètres!$A$1:$I$89,3,0)*VLOOKUP('Données projet'!$B$17,Paramètres!$A$1:$I$89,5,0)</f>
        <v>0</v>
      </c>
      <c r="GB129" s="14" t="e">
        <f t="shared" si="103"/>
        <v>#NUM!</v>
      </c>
      <c r="GC129" s="22" t="e">
        <f t="shared" si="79"/>
        <v>#NUM!</v>
      </c>
      <c r="GD129" s="60" t="e">
        <f t="shared" si="80"/>
        <v>#NUM!</v>
      </c>
      <c r="GE129" s="60">
        <f ca="1">AVERAGE(OFFSET($GD$3,0,0,'Données projet'!$E$17+1,1))-AVERAGE(OFFSET($H$3,0,0,'Données projet'!$E$17+1,1))</f>
        <v>396.0878652679051</v>
      </c>
      <c r="GF129" s="60">
        <f t="shared" si="104"/>
        <v>327.26339199235406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>
        <f>EXP(-LN(2)/35)*GL128+(1-EXP(-LN(2)/35))/(LN(2)/35)*GH129*GI129*VLOOKUP('Données projet'!$B$17,Paramètres!$A$1:$I$89,3,0)*0.475*44/12</f>
        <v>0</v>
      </c>
      <c r="GM129" s="23">
        <f>EXP(-LN(2)/25)*GM128+(1-EXP(-LN(2)/25))/(LN(2)/25)*Calculateur!GH129*Calculateur!GJ129*VLOOKUP('Données projet'!$B$17,Paramètres!$A$1:$I$89,3,0)*0.475*44/12</f>
        <v>0</v>
      </c>
      <c r="GN129" s="23">
        <f>EXP(-LN(2)/2)*GN128+(1-EXP(-LN(2)/2))/(LN(2)/2)*GH129*GK129*VLOOKUP('Données projet'!$B$17,Paramètres!$A$1:$I$89,3,0)*0.475*44/12</f>
        <v>0</v>
      </c>
      <c r="GO129" s="23">
        <f t="shared" si="81"/>
        <v>0</v>
      </c>
      <c r="GP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-1.1368683772161603E-13</v>
      </c>
      <c r="GV129" s="18">
        <f>GU129*VLOOKUP('Données projet'!$B$18,Paramètres!$A$1:$I$89,3,0)*VLOOKUP('Données projet'!$B$18,Paramètres!$A$1:$I$89,5,0)</f>
        <v>-9.2222762759774927E-14</v>
      </c>
      <c r="GW129" s="14" t="e">
        <f t="shared" si="105"/>
        <v>#NUM!</v>
      </c>
      <c r="GX129" s="22" t="e">
        <f t="shared" si="82"/>
        <v>#NUM!</v>
      </c>
      <c r="GY129" s="60" t="e">
        <f t="shared" si="83"/>
        <v>#NUM!</v>
      </c>
      <c r="GZ129" s="60">
        <f ca="1">AVERAGE(OFFSET($GY$3,0,0,'Données projet'!$E$18+1,1))-AVERAGE(OFFSET($H$3,0,0,'Données projet'!$E$18+1,1))</f>
        <v>272.69564942740931</v>
      </c>
      <c r="HA129" s="60">
        <f t="shared" si="106"/>
        <v>316.57989180609252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>
        <f>EXP(-LN(2)/35)*HG128+(1-EXP(-LN(2)/35))/(LN(2)/35)*HC129*HD129*VLOOKUP('Données projet'!$B$18,Paramètres!$A$1:$I$89,3,0)*0.475*44/12</f>
        <v>0</v>
      </c>
      <c r="HH129" s="23">
        <f>EXP(-LN(2)/25)*HH128+(1-EXP(-LN(2)/25))/(LN(2)/25)*Calculateur!HC129*Calculateur!HE129*VLOOKUP('Données projet'!$B$18,Paramètres!$A$1:$I$89,3,0)*0.475*44/12</f>
        <v>0</v>
      </c>
      <c r="HI129" s="23">
        <f>EXP(-LN(2)/2)*HI128+(1-EXP(-LN(2)/2))/(LN(2)/2)*HC129*HF129*VLOOKUP('Données projet'!$B$18,Paramètres!$A$1:$I$89,3,0)*0.475*44/12</f>
        <v>0</v>
      </c>
      <c r="HJ129" s="24">
        <f t="shared" si="84"/>
        <v>0</v>
      </c>
    </row>
    <row r="130" spans="1:218" s="5" customFormat="1" x14ac:dyDescent="0.25">
      <c r="A130" s="11">
        <f t="shared" si="85"/>
        <v>127</v>
      </c>
      <c r="B130" s="75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8">
        <f t="shared" si="56"/>
        <v>183.33333333333334</v>
      </c>
      <c r="I130" s="7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4.2</v>
      </c>
      <c r="N130" s="14">
        <f>IF('Données projet'!$A$36&gt;35,N129+M130-V129,IF(A130&lt;'Données projet'!$A$36,$K$205^A130,IF(A130='Données projet'!$A$36,'Données projet'!$B$36,N129+M130-V129)))</f>
        <v>381.39999999999981</v>
      </c>
      <c r="O130" s="14">
        <f>N130*VLOOKUP('Données projet'!$B$9,Paramètres!$A$1:$I$89,3,0)*VLOOKUP('Données projet'!$B$9,Paramètres!$A$1:$I$89,5,0)</f>
        <v>345.09071999999981</v>
      </c>
      <c r="P130" s="14">
        <f t="shared" si="87"/>
        <v>80.550809942790039</v>
      </c>
      <c r="Q130" s="22">
        <f t="shared" si="107"/>
        <v>741.32566465035904</v>
      </c>
      <c r="R130" s="60">
        <f t="shared" si="55"/>
        <v>1024.7280215094365</v>
      </c>
      <c r="S130" s="60">
        <f ca="1">AVERAGE(OFFSET($R$3,0,0,'Données projet'!$E$9+1,1))-AVERAGE(OFFSET($H$3,0,0,'Données projet'!$E$9+1,1))</f>
        <v>570.08763950759544</v>
      </c>
      <c r="T130" s="60">
        <f t="shared" si="88"/>
        <v>297.32483725004136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-5.6843418860808015E-14</v>
      </c>
      <c r="AJ130" s="14">
        <f>AI130*VLOOKUP('Données projet'!$B$10,Paramètres!$A$1:$I$89,3,0)*VLOOKUP('Données projet'!$B$10,Paramètres!$A$1:$I$89,5,0)</f>
        <v>-4.5224624045658861E-14</v>
      </c>
      <c r="AK130" s="14" t="e">
        <f t="shared" si="89"/>
        <v>#NUM!</v>
      </c>
      <c r="AL130" s="22" t="e">
        <f t="shared" si="58"/>
        <v>#NUM!</v>
      </c>
      <c r="AM130" s="60" t="e">
        <f t="shared" si="59"/>
        <v>#NUM!</v>
      </c>
      <c r="AN130" s="60">
        <f ca="1">AVERAGE(OFFSET($AM$3,0,0,'Données projet'!$E$10+1,1))-AVERAGE(OFFSET($H$3,0,0,'Données projet'!$E$10+1,1))</f>
        <v>394.49874384716014</v>
      </c>
      <c r="AO130" s="60">
        <f t="shared" si="90"/>
        <v>423.72519584013378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3.4106051316484809E-13</v>
      </c>
      <c r="BE130" s="14">
        <f>BD130*VLOOKUP('Données projet'!$B$11,Paramètres!$A$1:$I$89,3,0)*VLOOKUP('Données projet'!$B$11,Paramètres!$A$1:$I$89,5,0)</f>
        <v>2.9795046430081134E-13</v>
      </c>
      <c r="BF130" s="14">
        <f t="shared" si="91"/>
        <v>3.9419014464513778E-12</v>
      </c>
      <c r="BG130" s="22">
        <f t="shared" si="61"/>
        <v>7.384408744560063E-12</v>
      </c>
      <c r="BH130" s="60">
        <f t="shared" si="62"/>
        <v>283.40235685908482</v>
      </c>
      <c r="BI130" s="60">
        <f ca="1">AVERAGE(OFFSET($BH$3,0,0,'Données projet'!$E$11+1,1))-AVERAGE(OFFSET($H$3,0,0,'Données projet'!$E$11+1,1))</f>
        <v>363.28611056308665</v>
      </c>
      <c r="BJ130" s="60">
        <f t="shared" si="92"/>
        <v>389.43647559455974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5.6843418860808015E-14</v>
      </c>
      <c r="BZ130" s="14">
        <f>BY130*VLOOKUP('Données projet'!$B$12,Paramètres!$A$1:$I$89,3,0)*VLOOKUP('Données projet'!$B$12,Paramètres!$A$1:$I$89,5,0)</f>
        <v>5.4092197387944907E-14</v>
      </c>
      <c r="CA130" s="14">
        <f t="shared" si="93"/>
        <v>8.7287050538073676E-13</v>
      </c>
      <c r="CB130" s="22">
        <f t="shared" si="64"/>
        <v>1.6144600406554537E-12</v>
      </c>
      <c r="CC130" s="60">
        <f t="shared" si="65"/>
        <v>283.40235685907902</v>
      </c>
      <c r="CD130" s="60">
        <f ca="1">AVERAGE(OFFSET($CC$3,0,0,'Données projet'!$E$12+1,1))-AVERAGE(OFFSET($H$3,0,0,'Données projet'!$E$12+1,1))</f>
        <v>441.15969139782891</v>
      </c>
      <c r="CE130" s="60">
        <f t="shared" si="94"/>
        <v>315.06466790224783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-5.6843418860808015E-14</v>
      </c>
      <c r="CU130" s="18">
        <f>CT130*VLOOKUP('Données projet'!$B$13,Paramètres!$A$1:$I$89,3,0)*VLOOKUP('Données projet'!$B$13,Paramètres!$A$1:$I$89,5,0)</f>
        <v>-4.1677594708744434E-14</v>
      </c>
      <c r="CV130" s="14" t="e">
        <f t="shared" si="95"/>
        <v>#NUM!</v>
      </c>
      <c r="CW130" s="22" t="e">
        <f t="shared" si="67"/>
        <v>#NUM!</v>
      </c>
      <c r="CX130" s="60" t="e">
        <f t="shared" si="68"/>
        <v>#NUM!</v>
      </c>
      <c r="CY130" s="60">
        <f ca="1">AVERAGE(OFFSET($CX$3,0,0,'Données projet'!$E$13+1,1))-AVERAGE(OFFSET($H$3,0,0,'Données projet'!$E$13+1,1))</f>
        <v>368.35775920359396</v>
      </c>
      <c r="CZ130" s="60">
        <f t="shared" si="96"/>
        <v>395.5218438652638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1.1368683772161603E-13</v>
      </c>
      <c r="DP130" s="18">
        <f>DO130*VLOOKUP('Données projet'!$B$14,Paramètres!$A$1:$I$89,3,0)*VLOOKUP('Données projet'!$B$14,Paramètres!$A$1:$I$89,5,0)</f>
        <v>8.8675733422860506E-14</v>
      </c>
      <c r="DQ130" s="14">
        <f t="shared" si="97"/>
        <v>1.3509285393066301E-12</v>
      </c>
      <c r="DR130" s="22">
        <f t="shared" si="70"/>
        <v>2.5073107750038623E-12</v>
      </c>
      <c r="DS130" s="60">
        <f t="shared" si="71"/>
        <v>283.40235685907993</v>
      </c>
      <c r="DT130" s="60">
        <f ca="1">AVERAGE(OFFSET($DS$3,0,0,'Données projet'!$E$14+1,1))-AVERAGE(OFFSET($H$3,0,0,'Données projet'!$E$14+1,1))</f>
        <v>312.59632808777332</v>
      </c>
      <c r="DU130" s="60">
        <f t="shared" si="98"/>
        <v>302.59481222418219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0</v>
      </c>
      <c r="EE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-1.1368683772161603E-13</v>
      </c>
      <c r="EK130" s="18">
        <f>EJ130*VLOOKUP('Données projet'!$B$15,Paramètres!$A$1:$I$89,3,0)*VLOOKUP('Données projet'!$B$15,Paramètres!$A$1:$I$89,5,0)</f>
        <v>-9.7543306765146564E-14</v>
      </c>
      <c r="EL130" s="14" t="e">
        <f t="shared" si="99"/>
        <v>#NUM!</v>
      </c>
      <c r="EM130" s="22" t="e">
        <f t="shared" si="73"/>
        <v>#NUM!</v>
      </c>
      <c r="EN130" s="60" t="e">
        <f t="shared" si="74"/>
        <v>#NUM!</v>
      </c>
      <c r="EO130" s="60">
        <f ca="1">AVERAGE(OFFSET($EN$3,0,0,'Données projet'!$E$15+1,1))-AVERAGE(OFFSET($H$3,0,0,'Données projet'!$E$15+1,1))</f>
        <v>478.11504516179713</v>
      </c>
      <c r="EP130" s="60">
        <f t="shared" si="100"/>
        <v>249.93713224442419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0</v>
      </c>
      <c r="EW130" s="23">
        <f>EXP(-LN(2)/25)*EW129+(1-EXP(-LN(2)/25))/(LN(2)/25)*Calculateur!ER130*Calculateur!ET130*VLOOKUP('Données projet'!$B$15,Paramètres!$A$1:$I$89,3,0)*0.475*44/12</f>
        <v>0</v>
      </c>
      <c r="EX130" s="23">
        <f>EXP(-LN(2)/2)*EX129+(1-EXP(-LN(2)/2))/(LN(2)/2)*ER130*EU130*VLOOKUP('Données projet'!$B$15,Paramètres!$A$1:$I$89,3,0)*0.475*44/12</f>
        <v>0</v>
      </c>
      <c r="EY130" s="24">
        <f t="shared" si="75"/>
        <v>0</v>
      </c>
      <c r="EZ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4.2</v>
      </c>
      <c r="FE130" s="13">
        <f>IF('Données projet'!$A$218&gt;35,FE129+FD130-FM129,IF(A130&lt;'Données projet'!$A$218,$FB$205^A130,IF(A130='Données projet'!$A$218,'Données projet'!$B$218,FE129+FD130-FM129)))</f>
        <v>381.39999999999981</v>
      </c>
      <c r="FF130" s="18">
        <f>FE130*VLOOKUP('Données projet'!$B$16,Paramètres!$A$1:$I$89,3,0)*VLOOKUP('Données projet'!$B$16,Paramètres!$A$1:$I$89,5,0)</f>
        <v>368.89007999999984</v>
      </c>
      <c r="FG130" s="14">
        <f t="shared" si="101"/>
        <v>85.440195488930357</v>
      </c>
      <c r="FH130" s="22">
        <f t="shared" si="76"/>
        <v>791.29189647655346</v>
      </c>
      <c r="FI130" s="60">
        <f t="shared" si="77"/>
        <v>1074.6942533356309</v>
      </c>
      <c r="FJ130" s="60">
        <f ca="1">AVERAGE(OFFSET($FI$3,0,0,'Données projet'!$E$16+1,1))-AVERAGE(OFFSET($H$3,0,0,'Données projet'!$E$16+1,1))</f>
        <v>603.52431522262032</v>
      </c>
      <c r="FK130" s="60">
        <f t="shared" si="102"/>
        <v>313.56299786481338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>
        <f>EXP(-LN(2)/35)*FQ129+(1-EXP(-LN(2)/35))/(LN(2)/35)*FM130*FN130*VLOOKUP('Données projet'!$B$16,Paramètres!$A$1:$I$89,3,0)*0.475*44/12</f>
        <v>0</v>
      </c>
      <c r="FR130" s="23">
        <f>EXP(-LN(2)/25)*FR129+(1-EXP(-LN(2)/25))/(LN(2)/25)*Calculateur!FM130*Calculateur!FO130*VLOOKUP('Données projet'!$B$16,Paramètres!$A$1:$I$89,3,0)*0.475*44/12</f>
        <v>0</v>
      </c>
      <c r="FS130" s="23">
        <f>EXP(-LN(2)/2)*FS129+(1-EXP(-LN(2)/2))/(LN(2)/2)*FM130*FP130*VLOOKUP('Données projet'!$B$16,Paramètres!$A$1:$I$89,3,0)*0.475*44/12</f>
        <v>0</v>
      </c>
      <c r="FT130" s="24">
        <f t="shared" si="78"/>
        <v>0</v>
      </c>
      <c r="FU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>
        <f>FZ130*VLOOKUP('Données projet'!$B$17,Paramètres!$A$1:$I$89,3,0)*VLOOKUP('Données projet'!$B$17,Paramètres!$A$1:$I$89,5,0)</f>
        <v>0</v>
      </c>
      <c r="GB130" s="14" t="e">
        <f t="shared" si="103"/>
        <v>#NUM!</v>
      </c>
      <c r="GC130" s="22" t="e">
        <f t="shared" si="79"/>
        <v>#NUM!</v>
      </c>
      <c r="GD130" s="60" t="e">
        <f t="shared" si="80"/>
        <v>#NUM!</v>
      </c>
      <c r="GE130" s="60">
        <f ca="1">AVERAGE(OFFSET($GD$3,0,0,'Données projet'!$E$17+1,1))-AVERAGE(OFFSET($H$3,0,0,'Données projet'!$E$17+1,1))</f>
        <v>396.0878652679051</v>
      </c>
      <c r="GF130" s="60">
        <f t="shared" si="104"/>
        <v>327.26339199235406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>
        <f>EXP(-LN(2)/35)*GL129+(1-EXP(-LN(2)/35))/(LN(2)/35)*GH130*GI130*VLOOKUP('Données projet'!$B$17,Paramètres!$A$1:$I$89,3,0)*0.475*44/12</f>
        <v>0</v>
      </c>
      <c r="GM130" s="23">
        <f>EXP(-LN(2)/25)*GM129+(1-EXP(-LN(2)/25))/(LN(2)/25)*Calculateur!GH130*Calculateur!GJ130*VLOOKUP('Données projet'!$B$17,Paramètres!$A$1:$I$89,3,0)*0.475*44/12</f>
        <v>0</v>
      </c>
      <c r="GN130" s="23">
        <f>EXP(-LN(2)/2)*GN129+(1-EXP(-LN(2)/2))/(LN(2)/2)*GH130*GK130*VLOOKUP('Données projet'!$B$17,Paramètres!$A$1:$I$89,3,0)*0.475*44/12</f>
        <v>0</v>
      </c>
      <c r="GO130" s="23">
        <f t="shared" si="81"/>
        <v>0</v>
      </c>
      <c r="GP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-1.1368683772161603E-13</v>
      </c>
      <c r="GV130" s="18">
        <f>GU130*VLOOKUP('Données projet'!$B$18,Paramètres!$A$1:$I$89,3,0)*VLOOKUP('Données projet'!$B$18,Paramètres!$A$1:$I$89,5,0)</f>
        <v>-9.2222762759774927E-14</v>
      </c>
      <c r="GW130" s="14" t="e">
        <f t="shared" si="105"/>
        <v>#NUM!</v>
      </c>
      <c r="GX130" s="22" t="e">
        <f t="shared" si="82"/>
        <v>#NUM!</v>
      </c>
      <c r="GY130" s="60" t="e">
        <f t="shared" si="83"/>
        <v>#NUM!</v>
      </c>
      <c r="GZ130" s="60">
        <f ca="1">AVERAGE(OFFSET($GY$3,0,0,'Données projet'!$E$18+1,1))-AVERAGE(OFFSET($H$3,0,0,'Données projet'!$E$18+1,1))</f>
        <v>272.69564942740931</v>
      </c>
      <c r="HA130" s="60">
        <f t="shared" si="106"/>
        <v>316.57989180609252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>
        <f>EXP(-LN(2)/35)*HG129+(1-EXP(-LN(2)/35))/(LN(2)/35)*HC130*HD130*VLOOKUP('Données projet'!$B$18,Paramètres!$A$1:$I$89,3,0)*0.475*44/12</f>
        <v>0</v>
      </c>
      <c r="HH130" s="23">
        <f>EXP(-LN(2)/25)*HH129+(1-EXP(-LN(2)/25))/(LN(2)/25)*Calculateur!HC130*Calculateur!HE130*VLOOKUP('Données projet'!$B$18,Paramètres!$A$1:$I$89,3,0)*0.475*44/12</f>
        <v>0</v>
      </c>
      <c r="HI130" s="23">
        <f>EXP(-LN(2)/2)*HI129+(1-EXP(-LN(2)/2))/(LN(2)/2)*HC130*HF130*VLOOKUP('Données projet'!$B$18,Paramètres!$A$1:$I$89,3,0)*0.475*44/12</f>
        <v>0</v>
      </c>
      <c r="HJ130" s="24">
        <f t="shared" si="84"/>
        <v>0</v>
      </c>
    </row>
    <row r="131" spans="1:218" s="5" customFormat="1" x14ac:dyDescent="0.25">
      <c r="A131" s="11">
        <f t="shared" si="85"/>
        <v>128</v>
      </c>
      <c r="B131" s="75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8">
        <f t="shared" si="56"/>
        <v>183.33333333333334</v>
      </c>
      <c r="I131" s="7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4.2</v>
      </c>
      <c r="N131" s="14">
        <f>IF('Données projet'!$A$36&gt;35,N130+M131-V130,IF(A131&lt;'Données projet'!$A$36,$K$205^A131,IF(A131='Données projet'!$A$36,'Données projet'!$B$36,N130+M131-V130)))</f>
        <v>385.5999999999998</v>
      </c>
      <c r="O131" s="14">
        <f>N131*VLOOKUP('Données projet'!$B$9,Paramètres!$A$1:$I$89,3,0)*VLOOKUP('Données projet'!$B$9,Paramètres!$A$1:$I$89,5,0)</f>
        <v>348.89087999999981</v>
      </c>
      <c r="P131" s="14">
        <f t="shared" si="87"/>
        <v>81.33408974133495</v>
      </c>
      <c r="Q131" s="22">
        <f t="shared" ref="Q131:Q153" si="108">(O131+P131)*0.475*44/12</f>
        <v>749.30848896615805</v>
      </c>
      <c r="R131" s="60">
        <f t="shared" ref="R131:R194" si="109">Q131+(I131+J131)*44/12</f>
        <v>1032.8831260647266</v>
      </c>
      <c r="S131" s="60">
        <f ca="1">AVERAGE(OFFSET($R$3,0,0,'Données projet'!$E$9+1,1))-AVERAGE(OFFSET($H$3,0,0,'Données projet'!$E$9+1,1))</f>
        <v>570.08763950759544</v>
      </c>
      <c r="T131" s="60">
        <f t="shared" si="88"/>
        <v>297.32483725004136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-5.6843418860808015E-14</v>
      </c>
      <c r="AJ131" s="14">
        <f>AI131*VLOOKUP('Données projet'!$B$10,Paramètres!$A$1:$I$89,3,0)*VLOOKUP('Données projet'!$B$10,Paramètres!$A$1:$I$89,5,0)</f>
        <v>-4.5224624045658861E-14</v>
      </c>
      <c r="AK131" s="14" t="e">
        <f t="shared" si="89"/>
        <v>#NUM!</v>
      </c>
      <c r="AL131" s="22" t="e">
        <f t="shared" si="58"/>
        <v>#NUM!</v>
      </c>
      <c r="AM131" s="60" t="e">
        <f t="shared" si="59"/>
        <v>#NUM!</v>
      </c>
      <c r="AN131" s="60">
        <f ca="1">AVERAGE(OFFSET($AM$3,0,0,'Données projet'!$E$10+1,1))-AVERAGE(OFFSET($H$3,0,0,'Données projet'!$E$10+1,1))</f>
        <v>394.49874384716014</v>
      </c>
      <c r="AO131" s="60">
        <f t="shared" si="90"/>
        <v>423.72519584013378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3.4106051316484809E-13</v>
      </c>
      <c r="BE131" s="14">
        <f>BD131*VLOOKUP('Données projet'!$B$11,Paramètres!$A$1:$I$89,3,0)*VLOOKUP('Données projet'!$B$11,Paramètres!$A$1:$I$89,5,0)</f>
        <v>2.9795046430081134E-13</v>
      </c>
      <c r="BF131" s="14">
        <f t="shared" si="91"/>
        <v>3.9419014464513778E-12</v>
      </c>
      <c r="BG131" s="22">
        <f t="shared" si="61"/>
        <v>7.384408744560063E-12</v>
      </c>
      <c r="BH131" s="60">
        <f t="shared" si="62"/>
        <v>283.57463709857592</v>
      </c>
      <c r="BI131" s="60">
        <f ca="1">AVERAGE(OFFSET($BH$3,0,0,'Données projet'!$E$11+1,1))-AVERAGE(OFFSET($H$3,0,0,'Données projet'!$E$11+1,1))</f>
        <v>363.28611056308665</v>
      </c>
      <c r="BJ131" s="60">
        <f t="shared" si="92"/>
        <v>389.43647559455974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5.6843418860808015E-14</v>
      </c>
      <c r="BZ131" s="14">
        <f>BY131*VLOOKUP('Données projet'!$B$12,Paramètres!$A$1:$I$89,3,0)*VLOOKUP('Données projet'!$B$12,Paramètres!$A$1:$I$89,5,0)</f>
        <v>5.4092197387944907E-14</v>
      </c>
      <c r="CA131" s="14">
        <f t="shared" si="93"/>
        <v>8.7287050538073676E-13</v>
      </c>
      <c r="CB131" s="22">
        <f t="shared" si="64"/>
        <v>1.6144600406554537E-12</v>
      </c>
      <c r="CC131" s="60">
        <f t="shared" si="65"/>
        <v>283.57463709857012</v>
      </c>
      <c r="CD131" s="60">
        <f ca="1">AVERAGE(OFFSET($CC$3,0,0,'Données projet'!$E$12+1,1))-AVERAGE(OFFSET($H$3,0,0,'Données projet'!$E$12+1,1))</f>
        <v>441.15969139782891</v>
      </c>
      <c r="CE131" s="60">
        <f t="shared" si="94"/>
        <v>315.06466790224783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-5.6843418860808015E-14</v>
      </c>
      <c r="CU131" s="18">
        <f>CT131*VLOOKUP('Données projet'!$B$13,Paramètres!$A$1:$I$89,3,0)*VLOOKUP('Données projet'!$B$13,Paramètres!$A$1:$I$89,5,0)</f>
        <v>-4.1677594708744434E-14</v>
      </c>
      <c r="CV131" s="14" t="e">
        <f t="shared" si="95"/>
        <v>#NUM!</v>
      </c>
      <c r="CW131" s="22" t="e">
        <f t="shared" si="67"/>
        <v>#NUM!</v>
      </c>
      <c r="CX131" s="60" t="e">
        <f t="shared" si="68"/>
        <v>#NUM!</v>
      </c>
      <c r="CY131" s="60">
        <f ca="1">AVERAGE(OFFSET($CX$3,0,0,'Données projet'!$E$13+1,1))-AVERAGE(OFFSET($H$3,0,0,'Données projet'!$E$13+1,1))</f>
        <v>368.35775920359396</v>
      </c>
      <c r="CZ131" s="60">
        <f t="shared" si="96"/>
        <v>395.5218438652638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1.1368683772161603E-13</v>
      </c>
      <c r="DP131" s="18">
        <f>DO131*VLOOKUP('Données projet'!$B$14,Paramètres!$A$1:$I$89,3,0)*VLOOKUP('Données projet'!$B$14,Paramètres!$A$1:$I$89,5,0)</f>
        <v>8.8675733422860506E-14</v>
      </c>
      <c r="DQ131" s="14">
        <f t="shared" si="97"/>
        <v>1.3509285393066301E-12</v>
      </c>
      <c r="DR131" s="22">
        <f t="shared" si="70"/>
        <v>2.5073107750038623E-12</v>
      </c>
      <c r="DS131" s="60">
        <f t="shared" si="71"/>
        <v>283.57463709857103</v>
      </c>
      <c r="DT131" s="60">
        <f ca="1">AVERAGE(OFFSET($DS$3,0,0,'Données projet'!$E$14+1,1))-AVERAGE(OFFSET($H$3,0,0,'Données projet'!$E$14+1,1))</f>
        <v>312.59632808777332</v>
      </c>
      <c r="DU131" s="60">
        <f t="shared" si="98"/>
        <v>302.59481222418219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0</v>
      </c>
      <c r="EE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-1.1368683772161603E-13</v>
      </c>
      <c r="EK131" s="18">
        <f>EJ131*VLOOKUP('Données projet'!$B$15,Paramètres!$A$1:$I$89,3,0)*VLOOKUP('Données projet'!$B$15,Paramètres!$A$1:$I$89,5,0)</f>
        <v>-9.7543306765146564E-14</v>
      </c>
      <c r="EL131" s="14" t="e">
        <f t="shared" si="99"/>
        <v>#NUM!</v>
      </c>
      <c r="EM131" s="22" t="e">
        <f t="shared" si="73"/>
        <v>#NUM!</v>
      </c>
      <c r="EN131" s="60" t="e">
        <f t="shared" si="74"/>
        <v>#NUM!</v>
      </c>
      <c r="EO131" s="60">
        <f ca="1">AVERAGE(OFFSET($EN$3,0,0,'Données projet'!$E$15+1,1))-AVERAGE(OFFSET($H$3,0,0,'Données projet'!$E$15+1,1))</f>
        <v>478.11504516179713</v>
      </c>
      <c r="EP131" s="60">
        <f t="shared" si="100"/>
        <v>249.93713224442419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0</v>
      </c>
      <c r="EW131" s="23">
        <f>EXP(-LN(2)/25)*EW130+(1-EXP(-LN(2)/25))/(LN(2)/25)*Calculateur!ER131*Calculateur!ET131*VLOOKUP('Données projet'!$B$15,Paramètres!$A$1:$I$89,3,0)*0.475*44/12</f>
        <v>0</v>
      </c>
      <c r="EX131" s="23">
        <f>EXP(-LN(2)/2)*EX130+(1-EXP(-LN(2)/2))/(LN(2)/2)*ER131*EU131*VLOOKUP('Données projet'!$B$15,Paramètres!$A$1:$I$89,3,0)*0.475*44/12</f>
        <v>0</v>
      </c>
      <c r="EY131" s="24">
        <f t="shared" si="75"/>
        <v>0</v>
      </c>
      <c r="EZ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4.2</v>
      </c>
      <c r="FE131" s="13">
        <f>IF('Données projet'!$A$218&gt;35,FE130+FD131-FM130,IF(A131&lt;'Données projet'!$A$218,$FB$205^A131,IF(A131='Données projet'!$A$218,'Données projet'!$B$218,FE130+FD131-FM130)))</f>
        <v>385.5999999999998</v>
      </c>
      <c r="FF131" s="18">
        <f>FE131*VLOOKUP('Données projet'!$B$16,Paramètres!$A$1:$I$89,3,0)*VLOOKUP('Données projet'!$B$16,Paramètres!$A$1:$I$89,5,0)</f>
        <v>372.95231999999982</v>
      </c>
      <c r="FG131" s="14">
        <f t="shared" si="101"/>
        <v>86.271019898489143</v>
      </c>
      <c r="FH131" s="22">
        <f t="shared" si="76"/>
        <v>799.81398365653479</v>
      </c>
      <c r="FI131" s="60">
        <f t="shared" si="77"/>
        <v>1083.3886207551034</v>
      </c>
      <c r="FJ131" s="60">
        <f ca="1">AVERAGE(OFFSET($FI$3,0,0,'Données projet'!$E$16+1,1))-AVERAGE(OFFSET($H$3,0,0,'Données projet'!$E$16+1,1))</f>
        <v>603.52431522262032</v>
      </c>
      <c r="FK131" s="60">
        <f t="shared" si="102"/>
        <v>313.56299786481338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>
        <f>EXP(-LN(2)/35)*FQ130+(1-EXP(-LN(2)/35))/(LN(2)/35)*FM131*FN131*VLOOKUP('Données projet'!$B$16,Paramètres!$A$1:$I$89,3,0)*0.475*44/12</f>
        <v>0</v>
      </c>
      <c r="FR131" s="23">
        <f>EXP(-LN(2)/25)*FR130+(1-EXP(-LN(2)/25))/(LN(2)/25)*Calculateur!FM131*Calculateur!FO131*VLOOKUP('Données projet'!$B$16,Paramètres!$A$1:$I$89,3,0)*0.475*44/12</f>
        <v>0</v>
      </c>
      <c r="FS131" s="23">
        <f>EXP(-LN(2)/2)*FS130+(1-EXP(-LN(2)/2))/(LN(2)/2)*FM131*FP131*VLOOKUP('Données projet'!$B$16,Paramètres!$A$1:$I$89,3,0)*0.475*44/12</f>
        <v>0</v>
      </c>
      <c r="FT131" s="24">
        <f t="shared" si="78"/>
        <v>0</v>
      </c>
      <c r="FU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>
        <f>FZ131*VLOOKUP('Données projet'!$B$17,Paramètres!$A$1:$I$89,3,0)*VLOOKUP('Données projet'!$B$17,Paramètres!$A$1:$I$89,5,0)</f>
        <v>0</v>
      </c>
      <c r="GB131" s="14" t="e">
        <f t="shared" si="103"/>
        <v>#NUM!</v>
      </c>
      <c r="GC131" s="22" t="e">
        <f t="shared" si="79"/>
        <v>#NUM!</v>
      </c>
      <c r="GD131" s="60" t="e">
        <f t="shared" si="80"/>
        <v>#NUM!</v>
      </c>
      <c r="GE131" s="60">
        <f ca="1">AVERAGE(OFFSET($GD$3,0,0,'Données projet'!$E$17+1,1))-AVERAGE(OFFSET($H$3,0,0,'Données projet'!$E$17+1,1))</f>
        <v>396.0878652679051</v>
      </c>
      <c r="GF131" s="60">
        <f t="shared" si="104"/>
        <v>327.26339199235406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>
        <f>EXP(-LN(2)/35)*GL130+(1-EXP(-LN(2)/35))/(LN(2)/35)*GH131*GI131*VLOOKUP('Données projet'!$B$17,Paramètres!$A$1:$I$89,3,0)*0.475*44/12</f>
        <v>0</v>
      </c>
      <c r="GM131" s="23">
        <f>EXP(-LN(2)/25)*GM130+(1-EXP(-LN(2)/25))/(LN(2)/25)*Calculateur!GH131*Calculateur!GJ131*VLOOKUP('Données projet'!$B$17,Paramètres!$A$1:$I$89,3,0)*0.475*44/12</f>
        <v>0</v>
      </c>
      <c r="GN131" s="23">
        <f>EXP(-LN(2)/2)*GN130+(1-EXP(-LN(2)/2))/(LN(2)/2)*GH131*GK131*VLOOKUP('Données projet'!$B$17,Paramètres!$A$1:$I$89,3,0)*0.475*44/12</f>
        <v>0</v>
      </c>
      <c r="GO131" s="23">
        <f t="shared" si="81"/>
        <v>0</v>
      </c>
      <c r="GP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-1.1368683772161603E-13</v>
      </c>
      <c r="GV131" s="18">
        <f>GU131*VLOOKUP('Données projet'!$B$18,Paramètres!$A$1:$I$89,3,0)*VLOOKUP('Données projet'!$B$18,Paramètres!$A$1:$I$89,5,0)</f>
        <v>-9.2222762759774927E-14</v>
      </c>
      <c r="GW131" s="14" t="e">
        <f t="shared" si="105"/>
        <v>#NUM!</v>
      </c>
      <c r="GX131" s="22" t="e">
        <f t="shared" si="82"/>
        <v>#NUM!</v>
      </c>
      <c r="GY131" s="60" t="e">
        <f t="shared" si="83"/>
        <v>#NUM!</v>
      </c>
      <c r="GZ131" s="60">
        <f ca="1">AVERAGE(OFFSET($GY$3,0,0,'Données projet'!$E$18+1,1))-AVERAGE(OFFSET($H$3,0,0,'Données projet'!$E$18+1,1))</f>
        <v>272.69564942740931</v>
      </c>
      <c r="HA131" s="60">
        <f t="shared" si="106"/>
        <v>316.57989180609252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>
        <f>EXP(-LN(2)/35)*HG130+(1-EXP(-LN(2)/35))/(LN(2)/35)*HC131*HD131*VLOOKUP('Données projet'!$B$18,Paramètres!$A$1:$I$89,3,0)*0.475*44/12</f>
        <v>0</v>
      </c>
      <c r="HH131" s="23">
        <f>EXP(-LN(2)/25)*HH130+(1-EXP(-LN(2)/25))/(LN(2)/25)*Calculateur!HC131*Calculateur!HE131*VLOOKUP('Données projet'!$B$18,Paramètres!$A$1:$I$89,3,0)*0.475*44/12</f>
        <v>0</v>
      </c>
      <c r="HI131" s="23">
        <f>EXP(-LN(2)/2)*HI130+(1-EXP(-LN(2)/2))/(LN(2)/2)*HC131*HF131*VLOOKUP('Données projet'!$B$18,Paramètres!$A$1:$I$89,3,0)*0.475*44/12</f>
        <v>0</v>
      </c>
      <c r="HJ131" s="24">
        <f t="shared" si="84"/>
        <v>0</v>
      </c>
    </row>
    <row r="132" spans="1:218" s="5" customFormat="1" x14ac:dyDescent="0.25">
      <c r="A132" s="11">
        <f t="shared" si="85"/>
        <v>129</v>
      </c>
      <c r="B132" s="75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8">
        <f t="shared" ref="H132:H195" si="110">(B132+E132+F132)*44/12+(C132+D132)*0.475*44/12</f>
        <v>183.33333333333334</v>
      </c>
      <c r="I132" s="7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4.2</v>
      </c>
      <c r="N132" s="14">
        <f>IF('Données projet'!$A$36&gt;35,N131+M132-V131,IF(A132&lt;'Données projet'!$A$36,$K$205^A132,IF(A132='Données projet'!$A$36,'Données projet'!$B$36,N131+M132-V131)))</f>
        <v>389.79999999999978</v>
      </c>
      <c r="O132" s="14">
        <f>N132*VLOOKUP('Données projet'!$B$9,Paramètres!$A$1:$I$89,3,0)*VLOOKUP('Données projet'!$B$9,Paramètres!$A$1:$I$89,5,0)</f>
        <v>352.69103999999982</v>
      </c>
      <c r="P132" s="14">
        <f t="shared" si="87"/>
        <v>82.116377073111735</v>
      </c>
      <c r="Q132" s="22">
        <f t="shared" si="108"/>
        <v>757.28958473566934</v>
      </c>
      <c r="R132" s="60">
        <f t="shared" si="109"/>
        <v>1041.0335133967346</v>
      </c>
      <c r="S132" s="60">
        <f ca="1">AVERAGE(OFFSET($R$3,0,0,'Données projet'!$E$9+1,1))-AVERAGE(OFFSET($H$3,0,0,'Données projet'!$E$9+1,1))</f>
        <v>570.08763950759544</v>
      </c>
      <c r="T132" s="60">
        <f t="shared" si="88"/>
        <v>297.32483725004136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-5.6843418860808015E-14</v>
      </c>
      <c r="AJ132" s="14">
        <f>AI132*VLOOKUP('Données projet'!$B$10,Paramètres!$A$1:$I$89,3,0)*VLOOKUP('Données projet'!$B$10,Paramètres!$A$1:$I$89,5,0)</f>
        <v>-4.5224624045658861E-14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0" t="e">
        <f t="shared" ref="AM132:AM195" si="113">AL132+(AD132+AE132)*44/12</f>
        <v>#NUM!</v>
      </c>
      <c r="AN132" s="60">
        <f ca="1">AVERAGE(OFFSET($AM$3,0,0,'Données projet'!$E$10+1,1))-AVERAGE(OFFSET($H$3,0,0,'Données projet'!$E$10+1,1))</f>
        <v>394.49874384716014</v>
      </c>
      <c r="AO132" s="60">
        <f t="shared" si="90"/>
        <v>423.72519584013378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3.4106051316484809E-13</v>
      </c>
      <c r="BE132" s="14">
        <f>BD132*VLOOKUP('Données projet'!$B$11,Paramètres!$A$1:$I$89,3,0)*VLOOKUP('Données projet'!$B$11,Paramètres!$A$1:$I$89,5,0)</f>
        <v>2.9795046430081134E-13</v>
      </c>
      <c r="BF132" s="14">
        <f t="shared" si="91"/>
        <v>3.9419014464513778E-12</v>
      </c>
      <c r="BG132" s="22">
        <f t="shared" ref="BG132:BG153" si="115">(BE132+BF132)*0.475*44/12</f>
        <v>7.384408744560063E-12</v>
      </c>
      <c r="BH132" s="60">
        <f t="shared" ref="BH132:BH195" si="116">BG132+(AY132+AZ132)*44/12</f>
        <v>283.74392866107274</v>
      </c>
      <c r="BI132" s="60">
        <f ca="1">AVERAGE(OFFSET($BH$3,0,0,'Données projet'!$E$11+1,1))-AVERAGE(OFFSET($H$3,0,0,'Données projet'!$E$11+1,1))</f>
        <v>363.28611056308665</v>
      </c>
      <c r="BJ132" s="60">
        <f t="shared" si="92"/>
        <v>389.43647559455974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5.6843418860808015E-14</v>
      </c>
      <c r="BZ132" s="14">
        <f>BY132*VLOOKUP('Données projet'!$B$12,Paramètres!$A$1:$I$89,3,0)*VLOOKUP('Données projet'!$B$12,Paramètres!$A$1:$I$89,5,0)</f>
        <v>5.4092197387944907E-14</v>
      </c>
      <c r="CA132" s="14">
        <f t="shared" si="93"/>
        <v>8.7287050538073676E-13</v>
      </c>
      <c r="CB132" s="22">
        <f t="shared" ref="CB132:CB153" si="118">(BZ132+CA132)*0.475*44/12</f>
        <v>1.6144600406554537E-12</v>
      </c>
      <c r="CC132" s="60">
        <f t="shared" ref="CC132:CC195" si="119">CB132+(BT132+BU132)*44/12</f>
        <v>283.74392866106695</v>
      </c>
      <c r="CD132" s="60">
        <f ca="1">AVERAGE(OFFSET($CC$3,0,0,'Données projet'!$E$12+1,1))-AVERAGE(OFFSET($H$3,0,0,'Données projet'!$E$12+1,1))</f>
        <v>441.15969139782891</v>
      </c>
      <c r="CE132" s="60">
        <f t="shared" si="94"/>
        <v>315.06466790224783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-5.6843418860808015E-14</v>
      </c>
      <c r="CU132" s="18">
        <f>CT132*VLOOKUP('Données projet'!$B$13,Paramètres!$A$1:$I$89,3,0)*VLOOKUP('Données projet'!$B$13,Paramètres!$A$1:$I$89,5,0)</f>
        <v>-4.1677594708744434E-14</v>
      </c>
      <c r="CV132" s="14" t="e">
        <f t="shared" si="95"/>
        <v>#NUM!</v>
      </c>
      <c r="CW132" s="22" t="e">
        <f t="shared" ref="CW132:CW153" si="121">(CU132+CV132)*0.475*44/12</f>
        <v>#NUM!</v>
      </c>
      <c r="CX132" s="60" t="e">
        <f t="shared" ref="CX132:CX195" si="122">CW132+(CO132+CP132)*44/12</f>
        <v>#NUM!</v>
      </c>
      <c r="CY132" s="60">
        <f ca="1">AVERAGE(OFFSET($CX$3,0,0,'Données projet'!$E$13+1,1))-AVERAGE(OFFSET($H$3,0,0,'Données projet'!$E$13+1,1))</f>
        <v>368.35775920359396</v>
      </c>
      <c r="CZ132" s="60">
        <f t="shared" si="96"/>
        <v>395.5218438652638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1.1368683772161603E-13</v>
      </c>
      <c r="DP132" s="18">
        <f>DO132*VLOOKUP('Données projet'!$B$14,Paramètres!$A$1:$I$89,3,0)*VLOOKUP('Données projet'!$B$14,Paramètres!$A$1:$I$89,5,0)</f>
        <v>8.8675733422860506E-14</v>
      </c>
      <c r="DQ132" s="14">
        <f t="shared" si="97"/>
        <v>1.3509285393066301E-12</v>
      </c>
      <c r="DR132" s="22">
        <f t="shared" ref="DR132:DR153" si="124">(DP132+DQ132)*0.475*44/12</f>
        <v>2.5073107750038623E-12</v>
      </c>
      <c r="DS132" s="60">
        <f t="shared" ref="DS132:DS195" si="125">DR132+(DJ132+DK132)*44/12</f>
        <v>283.74392866106786</v>
      </c>
      <c r="DT132" s="60">
        <f ca="1">AVERAGE(OFFSET($DS$3,0,0,'Données projet'!$E$14+1,1))-AVERAGE(OFFSET($H$3,0,0,'Données projet'!$E$14+1,1))</f>
        <v>312.59632808777332</v>
      </c>
      <c r="DU132" s="60">
        <f t="shared" si="98"/>
        <v>302.59481222418219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0</v>
      </c>
      <c r="EE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-1.1368683772161603E-13</v>
      </c>
      <c r="EK132" s="18">
        <f>EJ132*VLOOKUP('Données projet'!$B$15,Paramètres!$A$1:$I$89,3,0)*VLOOKUP('Données projet'!$B$15,Paramètres!$A$1:$I$89,5,0)</f>
        <v>-9.7543306765146564E-14</v>
      </c>
      <c r="EL132" s="14" t="e">
        <f t="shared" si="99"/>
        <v>#NUM!</v>
      </c>
      <c r="EM132" s="22" t="e">
        <f t="shared" ref="EM132:EM153" si="127">(EK132+EL132)*0.475*44/12</f>
        <v>#NUM!</v>
      </c>
      <c r="EN132" s="60" t="e">
        <f t="shared" ref="EN132:EN195" si="128">EM132+(EE132+EF132)*44/12</f>
        <v>#NUM!</v>
      </c>
      <c r="EO132" s="60">
        <f ca="1">AVERAGE(OFFSET($EN$3,0,0,'Données projet'!$E$15+1,1))-AVERAGE(OFFSET($H$3,0,0,'Données projet'!$E$15+1,1))</f>
        <v>478.11504516179713</v>
      </c>
      <c r="EP132" s="60">
        <f t="shared" si="100"/>
        <v>249.93713224442419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0</v>
      </c>
      <c r="EW132" s="23">
        <f>EXP(-LN(2)/25)*EW131+(1-EXP(-LN(2)/25))/(LN(2)/25)*Calculateur!ER132*Calculateur!ET132*VLOOKUP('Données projet'!$B$15,Paramètres!$A$1:$I$89,3,0)*0.475*44/12</f>
        <v>0</v>
      </c>
      <c r="EX132" s="23">
        <f>EXP(-LN(2)/2)*EX131+(1-EXP(-LN(2)/2))/(LN(2)/2)*ER132*EU132*VLOOKUP('Données projet'!$B$15,Paramètres!$A$1:$I$89,3,0)*0.475*44/12</f>
        <v>0</v>
      </c>
      <c r="EY132" s="24">
        <f t="shared" ref="EY132:EY153" si="129">SUM(EV132:EX132)</f>
        <v>0</v>
      </c>
      <c r="EZ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4.2</v>
      </c>
      <c r="FE132" s="13">
        <f>IF('Données projet'!$A$218&gt;35,FE131+FD132-FM131,IF(A132&lt;'Données projet'!$A$218,$FB$205^A132,IF(A132='Données projet'!$A$218,'Données projet'!$B$218,FE131+FD132-FM131)))</f>
        <v>389.79999999999978</v>
      </c>
      <c r="FF132" s="18">
        <f>FE132*VLOOKUP('Données projet'!$B$16,Paramètres!$A$1:$I$89,3,0)*VLOOKUP('Données projet'!$B$16,Paramètres!$A$1:$I$89,5,0)</f>
        <v>377.01455999999979</v>
      </c>
      <c r="FG132" s="14">
        <f t="shared" si="101"/>
        <v>87.100791599146149</v>
      </c>
      <c r="FH132" s="22">
        <f t="shared" ref="FH132:FH153" si="130">(FF132+FG132)*0.475*44/12</f>
        <v>808.33423736851239</v>
      </c>
      <c r="FI132" s="60">
        <f t="shared" ref="FI132:FI195" si="131">FH132+(EZ132+FA132)*44/12</f>
        <v>1092.0781660295777</v>
      </c>
      <c r="FJ132" s="60">
        <f ca="1">AVERAGE(OFFSET($FI$3,0,0,'Données projet'!$E$16+1,1))-AVERAGE(OFFSET($H$3,0,0,'Données projet'!$E$16+1,1))</f>
        <v>603.52431522262032</v>
      </c>
      <c r="FK132" s="60">
        <f t="shared" si="102"/>
        <v>313.56299786481338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>
        <f>EXP(-LN(2)/35)*FQ131+(1-EXP(-LN(2)/35))/(LN(2)/35)*FM132*FN132*VLOOKUP('Données projet'!$B$16,Paramètres!$A$1:$I$89,3,0)*0.475*44/12</f>
        <v>0</v>
      </c>
      <c r="FR132" s="23">
        <f>EXP(-LN(2)/25)*FR131+(1-EXP(-LN(2)/25))/(LN(2)/25)*Calculateur!FM132*Calculateur!FO132*VLOOKUP('Données projet'!$B$16,Paramètres!$A$1:$I$89,3,0)*0.475*44/12</f>
        <v>0</v>
      </c>
      <c r="FS132" s="23">
        <f>EXP(-LN(2)/2)*FS131+(1-EXP(-LN(2)/2))/(LN(2)/2)*FM132*FP132*VLOOKUP('Données projet'!$B$16,Paramètres!$A$1:$I$89,3,0)*0.475*44/12</f>
        <v>0</v>
      </c>
      <c r="FT132" s="24">
        <f t="shared" ref="FT132:FT153" si="132">SUM(FQ132:FS132)</f>
        <v>0</v>
      </c>
      <c r="FU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>
        <f>FZ132*VLOOKUP('Données projet'!$B$17,Paramètres!$A$1:$I$89,3,0)*VLOOKUP('Données projet'!$B$17,Paramètres!$A$1:$I$89,5,0)</f>
        <v>0</v>
      </c>
      <c r="GB132" s="14" t="e">
        <f t="shared" si="103"/>
        <v>#NUM!</v>
      </c>
      <c r="GC132" s="22" t="e">
        <f t="shared" ref="GC132:GC153" si="133">(GA132+GB132)*0.475*44/12</f>
        <v>#NUM!</v>
      </c>
      <c r="GD132" s="60" t="e">
        <f t="shared" ref="GD132:GD195" si="134">GC132+(FU132+FV132)*44/12</f>
        <v>#NUM!</v>
      </c>
      <c r="GE132" s="60">
        <f ca="1">AVERAGE(OFFSET($GD$3,0,0,'Données projet'!$E$17+1,1))-AVERAGE(OFFSET($H$3,0,0,'Données projet'!$E$17+1,1))</f>
        <v>396.0878652679051</v>
      </c>
      <c r="GF132" s="60">
        <f t="shared" si="104"/>
        <v>327.26339199235406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>
        <f>EXP(-LN(2)/35)*GL131+(1-EXP(-LN(2)/35))/(LN(2)/35)*GH132*GI132*VLOOKUP('Données projet'!$B$17,Paramètres!$A$1:$I$89,3,0)*0.475*44/12</f>
        <v>0</v>
      </c>
      <c r="GM132" s="23">
        <f>EXP(-LN(2)/25)*GM131+(1-EXP(-LN(2)/25))/(LN(2)/25)*Calculateur!GH132*Calculateur!GJ132*VLOOKUP('Données projet'!$B$17,Paramètres!$A$1:$I$89,3,0)*0.475*44/12</f>
        <v>0</v>
      </c>
      <c r="GN132" s="23">
        <f>EXP(-LN(2)/2)*GN131+(1-EXP(-LN(2)/2))/(LN(2)/2)*GH132*GK132*VLOOKUP('Données projet'!$B$17,Paramètres!$A$1:$I$89,3,0)*0.475*44/12</f>
        <v>0</v>
      </c>
      <c r="GO132" s="23">
        <f t="shared" ref="GO132:GO153" si="135">SUM(GL132:GN132)</f>
        <v>0</v>
      </c>
      <c r="GP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-1.1368683772161603E-13</v>
      </c>
      <c r="GV132" s="18">
        <f>GU132*VLOOKUP('Données projet'!$B$18,Paramètres!$A$1:$I$89,3,0)*VLOOKUP('Données projet'!$B$18,Paramètres!$A$1:$I$89,5,0)</f>
        <v>-9.2222762759774927E-14</v>
      </c>
      <c r="GW132" s="14" t="e">
        <f t="shared" si="105"/>
        <v>#NUM!</v>
      </c>
      <c r="GX132" s="22" t="e">
        <f t="shared" ref="GX132:GX153" si="136">(GV132+GW132)*0.475*44/12</f>
        <v>#NUM!</v>
      </c>
      <c r="GY132" s="60" t="e">
        <f t="shared" ref="GY132:GY195" si="137">GX132+(GP132+GQ132)*44/12</f>
        <v>#NUM!</v>
      </c>
      <c r="GZ132" s="60">
        <f ca="1">AVERAGE(OFFSET($GY$3,0,0,'Données projet'!$E$18+1,1))-AVERAGE(OFFSET($H$3,0,0,'Données projet'!$E$18+1,1))</f>
        <v>272.69564942740931</v>
      </c>
      <c r="HA132" s="60">
        <f t="shared" si="106"/>
        <v>316.57989180609252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>
        <f>EXP(-LN(2)/35)*HG131+(1-EXP(-LN(2)/35))/(LN(2)/35)*HC132*HD132*VLOOKUP('Données projet'!$B$18,Paramètres!$A$1:$I$89,3,0)*0.475*44/12</f>
        <v>0</v>
      </c>
      <c r="HH132" s="23">
        <f>EXP(-LN(2)/25)*HH131+(1-EXP(-LN(2)/25))/(LN(2)/25)*Calculateur!HC132*Calculateur!HE132*VLOOKUP('Données projet'!$B$18,Paramètres!$A$1:$I$89,3,0)*0.475*44/12</f>
        <v>0</v>
      </c>
      <c r="HI132" s="23">
        <f>EXP(-LN(2)/2)*HI131+(1-EXP(-LN(2)/2))/(LN(2)/2)*HC132*HF132*VLOOKUP('Données projet'!$B$18,Paramètres!$A$1:$I$89,3,0)*0.475*44/12</f>
        <v>0</v>
      </c>
      <c r="HJ132" s="24">
        <f t="shared" ref="HJ132:HJ153" si="138">SUM(HG132:HI132)</f>
        <v>0</v>
      </c>
    </row>
    <row r="133" spans="1:218" s="5" customFormat="1" x14ac:dyDescent="0.25">
      <c r="A133" s="11">
        <f t="shared" ref="A133:A152" si="139">A132+1</f>
        <v>130</v>
      </c>
      <c r="B133" s="75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8">
        <f t="shared" si="110"/>
        <v>183.33333333333334</v>
      </c>
      <c r="I133" s="7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>
        <f>VLOOKUP(A133,'Données projet'!$A$35:$I$55,2,0)</f>
        <v>394</v>
      </c>
      <c r="L133" s="13">
        <f>VLOOKUP(A133,'Données projet'!$A$35:$I$55,9,0)</f>
        <v>4.2</v>
      </c>
      <c r="M133" s="13">
        <f t="array" ref="M133">INDEX(L:L,MIN(IF(ISNUMBER(L133:L329),ROW(L133:L329),"")))</f>
        <v>4.2</v>
      </c>
      <c r="N133" s="14">
        <f>IF('Données projet'!$A$36&gt;35,N132+M133-V132,IF(A133&lt;'Données projet'!$A$36,$K$205^A133,IF(A133='Données projet'!$A$36,'Données projet'!$B$36,N132+M133-V132)))</f>
        <v>393.99999999999977</v>
      </c>
      <c r="O133" s="14">
        <f>N133*VLOOKUP('Données projet'!$B$9,Paramètres!$A$1:$I$89,3,0)*VLOOKUP('Données projet'!$B$9,Paramètres!$A$1:$I$89,5,0)</f>
        <v>356.49119999999976</v>
      </c>
      <c r="P133" s="14">
        <f t="shared" ref="P133:P196" si="141">EXP(-1.0587+0.8836*LN(O133)+0.284)</f>
        <v>82.897683869422281</v>
      </c>
      <c r="Q133" s="22">
        <f t="shared" si="108"/>
        <v>765.2689727392434</v>
      </c>
      <c r="R133" s="60">
        <f t="shared" si="109"/>
        <v>1049.1792561326756</v>
      </c>
      <c r="S133" s="60">
        <f ca="1">AVERAGE(OFFSET($R$3,0,0,'Données projet'!$E$9+1,1))-AVERAGE(OFFSET($H$3,0,0,'Données projet'!$E$9+1,1))</f>
        <v>570.08763950759544</v>
      </c>
      <c r="T133" s="60">
        <f t="shared" ref="T133:T196" si="142">$T$3</f>
        <v>297.32483725004136</v>
      </c>
      <c r="U133" s="16">
        <f>IF(ISNA(VLOOKUP(A133,'Données projet'!$A$35:$I$55,3,0)),0,VLOOKUP(A133,'Données projet'!$A$35:$I$55,3,0))</f>
        <v>9</v>
      </c>
      <c r="V133" s="16">
        <f>IF(ISNA(VLOOKUP(A133,'Données projet'!$A$35:$I$55,4,0)),0,VLOOKUP(A133,'Données projet'!$A$35:$I$55,4,0))</f>
        <v>91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-5.6843418860808015E-14</v>
      </c>
      <c r="AJ133" s="14">
        <f>AI133*VLOOKUP('Données projet'!$B$10,Paramètres!$A$1:$I$89,3,0)*VLOOKUP('Données projet'!$B$10,Paramètres!$A$1:$I$89,5,0)</f>
        <v>-4.5224624045658861E-14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0" t="e">
        <f t="shared" si="113"/>
        <v>#NUM!</v>
      </c>
      <c r="AN133" s="60">
        <f ca="1">AVERAGE(OFFSET($AM$3,0,0,'Données projet'!$E$10+1,1))-AVERAGE(OFFSET($H$3,0,0,'Données projet'!$E$10+1,1))</f>
        <v>394.49874384716014</v>
      </c>
      <c r="AO133" s="60">
        <f t="shared" ref="AO133:AO196" si="144">$AO$3</f>
        <v>423.72519584013378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3.4106051316484809E-13</v>
      </c>
      <c r="BE133" s="14">
        <f>BD133*VLOOKUP('Données projet'!$B$11,Paramètres!$A$1:$I$89,3,0)*VLOOKUP('Données projet'!$B$11,Paramètres!$A$1:$I$89,5,0)</f>
        <v>2.9795046430081134E-13</v>
      </c>
      <c r="BF133" s="14">
        <f t="shared" ref="BF133:BF153" si="145">EXP(-1.0587+0.8836*LN(BE133)+0.284)</f>
        <v>3.9419014464513778E-12</v>
      </c>
      <c r="BG133" s="22">
        <f t="shared" si="115"/>
        <v>7.384408744560063E-12</v>
      </c>
      <c r="BH133" s="60">
        <f t="shared" si="116"/>
        <v>283.9102833934395</v>
      </c>
      <c r="BI133" s="60">
        <f ca="1">AVERAGE(OFFSET($BH$3,0,0,'Données projet'!$E$11+1,1))-AVERAGE(OFFSET($H$3,0,0,'Données projet'!$E$11+1,1))</f>
        <v>363.28611056308665</v>
      </c>
      <c r="BJ133" s="60">
        <f t="shared" ref="BJ133:BJ196" si="146">$BJ$3</f>
        <v>389.43647559455974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5.6843418860808015E-14</v>
      </c>
      <c r="BZ133" s="14">
        <f>BY133*VLOOKUP('Données projet'!$B$12,Paramètres!$A$1:$I$89,3,0)*VLOOKUP('Données projet'!$B$12,Paramètres!$A$1:$I$89,5,0)</f>
        <v>5.4092197387944907E-14</v>
      </c>
      <c r="CA133" s="14">
        <f t="shared" ref="CA133:CA153" si="147">EXP(-1.0587+0.8836*LN(BZ133)+0.284)</f>
        <v>8.7287050538073676E-13</v>
      </c>
      <c r="CB133" s="22">
        <f t="shared" si="118"/>
        <v>1.6144600406554537E-12</v>
      </c>
      <c r="CC133" s="60">
        <f t="shared" si="119"/>
        <v>283.9102833934337</v>
      </c>
      <c r="CD133" s="60">
        <f ca="1">AVERAGE(OFFSET($CC$3,0,0,'Données projet'!$E$12+1,1))-AVERAGE(OFFSET($H$3,0,0,'Données projet'!$E$12+1,1))</f>
        <v>441.15969139782891</v>
      </c>
      <c r="CE133" s="60">
        <f t="shared" ref="CE133:CE196" si="148">$CE$3</f>
        <v>315.06466790224783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-5.6843418860808015E-14</v>
      </c>
      <c r="CU133" s="18">
        <f>CT133*VLOOKUP('Données projet'!$B$13,Paramètres!$A$1:$I$89,3,0)*VLOOKUP('Données projet'!$B$13,Paramètres!$A$1:$I$89,5,0)</f>
        <v>-4.1677594708744434E-14</v>
      </c>
      <c r="CV133" s="14" t="e">
        <f t="shared" ref="CV133:CV153" si="149">EXP(-1.0587+0.8836*LN(CU133)+0.284)</f>
        <v>#NUM!</v>
      </c>
      <c r="CW133" s="22" t="e">
        <f t="shared" si="121"/>
        <v>#NUM!</v>
      </c>
      <c r="CX133" s="60" t="e">
        <f t="shared" si="122"/>
        <v>#NUM!</v>
      </c>
      <c r="CY133" s="60">
        <f ca="1">AVERAGE(OFFSET($CX$3,0,0,'Données projet'!$E$13+1,1))-AVERAGE(OFFSET($H$3,0,0,'Données projet'!$E$13+1,1))</f>
        <v>368.35775920359396</v>
      </c>
      <c r="CZ133" s="60">
        <f t="shared" ref="CZ133:CZ196" si="150">$CZ$3</f>
        <v>395.5218438652638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1.1368683772161603E-13</v>
      </c>
      <c r="DP133" s="18">
        <f>DO133*VLOOKUP('Données projet'!$B$14,Paramètres!$A$1:$I$89,3,0)*VLOOKUP('Données projet'!$B$14,Paramètres!$A$1:$I$89,5,0)</f>
        <v>8.8675733422860506E-14</v>
      </c>
      <c r="DQ133" s="14">
        <f t="shared" ref="DQ133:DQ153" si="151">EXP(-1.0587+0.8836*LN(DP133)+0.284)</f>
        <v>1.3509285393066301E-12</v>
      </c>
      <c r="DR133" s="22">
        <f t="shared" si="124"/>
        <v>2.5073107750038623E-12</v>
      </c>
      <c r="DS133" s="60">
        <f t="shared" si="125"/>
        <v>283.91028339343461</v>
      </c>
      <c r="DT133" s="60">
        <f ca="1">AVERAGE(OFFSET($DS$3,0,0,'Données projet'!$E$14+1,1))-AVERAGE(OFFSET($H$3,0,0,'Données projet'!$E$14+1,1))</f>
        <v>312.59632808777332</v>
      </c>
      <c r="DU133" s="60">
        <f t="shared" ref="DU133:DU196" si="152">$DU$3</f>
        <v>302.59481222418219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0</v>
      </c>
      <c r="EE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-1.1368683772161603E-13</v>
      </c>
      <c r="EK133" s="18">
        <f>EJ133*VLOOKUP('Données projet'!$B$15,Paramètres!$A$1:$I$89,3,0)*VLOOKUP('Données projet'!$B$15,Paramètres!$A$1:$I$89,5,0)</f>
        <v>-9.7543306765146564E-14</v>
      </c>
      <c r="EL133" s="14" t="e">
        <f t="shared" ref="EL133:EL153" si="153">EXP(-1.0587+0.8836*LN(EK133)+0.284)</f>
        <v>#NUM!</v>
      </c>
      <c r="EM133" s="22" t="e">
        <f t="shared" si="127"/>
        <v>#NUM!</v>
      </c>
      <c r="EN133" s="60" t="e">
        <f t="shared" si="128"/>
        <v>#NUM!</v>
      </c>
      <c r="EO133" s="60">
        <f ca="1">AVERAGE(OFFSET($EN$3,0,0,'Données projet'!$E$15+1,1))-AVERAGE(OFFSET($H$3,0,0,'Données projet'!$E$15+1,1))</f>
        <v>478.11504516179713</v>
      </c>
      <c r="EP133" s="60">
        <f t="shared" ref="EP133:EP196" si="154">$EP$3</f>
        <v>249.93713224442419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0</v>
      </c>
      <c r="EW133" s="23">
        <f>EXP(-LN(2)/25)*EW132+(1-EXP(-LN(2)/25))/(LN(2)/25)*Calculateur!ER133*Calculateur!ET133*VLOOKUP('Données projet'!$B$15,Paramètres!$A$1:$I$89,3,0)*0.475*44/12</f>
        <v>0</v>
      </c>
      <c r="EX133" s="23">
        <f>EXP(-LN(2)/2)*EX132+(1-EXP(-LN(2)/2))/(LN(2)/2)*ER133*EU133*VLOOKUP('Données projet'!$B$15,Paramètres!$A$1:$I$89,3,0)*0.475*44/12</f>
        <v>0</v>
      </c>
      <c r="EY133" s="24">
        <f t="shared" si="129"/>
        <v>0</v>
      </c>
      <c r="EZ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>
        <f>VLOOKUP(A133,'Données projet'!$A$217:$I$237,2,0)</f>
        <v>394</v>
      </c>
      <c r="FC133" s="13">
        <f>VLOOKUP(A133,'Données projet'!$A$217:$I$237,9,0)</f>
        <v>4.2</v>
      </c>
      <c r="FD133" s="13">
        <f t="array" ref="FD133">INDEX(FC:FC,MIN(IF(ISNUMBER(FC133:FC329),ROW(FC133:FC329),"")))</f>
        <v>4.2</v>
      </c>
      <c r="FE133" s="13">
        <f>IF('Données projet'!$A$218&gt;35,FE132+FD133-FM132,IF(A133&lt;'Données projet'!$A$218,$FB$205^A133,IF(A133='Données projet'!$A$218,'Données projet'!$B$218,FE132+FD133-FM132)))</f>
        <v>393.99999999999977</v>
      </c>
      <c r="FF133" s="18">
        <f>FE133*VLOOKUP('Données projet'!$B$16,Paramètres!$A$1:$I$89,3,0)*VLOOKUP('Données projet'!$B$16,Paramètres!$A$1:$I$89,5,0)</f>
        <v>381.07679999999982</v>
      </c>
      <c r="FG133" s="14">
        <f t="shared" ref="FG133:FG153" si="155">EXP(-1.0587+0.8836*LN(FF133)+0.284)</f>
        <v>87.929523246425944</v>
      </c>
      <c r="FH133" s="22">
        <f t="shared" si="130"/>
        <v>816.85267965419155</v>
      </c>
      <c r="FI133" s="60">
        <f t="shared" si="131"/>
        <v>1100.7629630476235</v>
      </c>
      <c r="FJ133" s="60">
        <f ca="1">AVERAGE(OFFSET($FI$3,0,0,'Données projet'!$E$16+1,1))-AVERAGE(OFFSET($H$3,0,0,'Données projet'!$E$16+1,1))</f>
        <v>603.52431522262032</v>
      </c>
      <c r="FK133" s="60">
        <f t="shared" ref="FK133:FK196" si="156">$FK$3</f>
        <v>313.56299786481338</v>
      </c>
      <c r="FL133" s="16">
        <f>IF(ISNA(VLOOKUP(A133,'Données projet'!$A$217:$I$237,3,0)),0,VLOOKUP(A133,'Données projet'!$A$217:$I$237,3,0))</f>
        <v>9</v>
      </c>
      <c r="FM133" s="16">
        <f>IF(ISNA(VLOOKUP(A133,'Données projet'!$A$217:$I$237,4,0)),0,VLOOKUP(A133,'Données projet'!$A$217:$I$237,4,0))</f>
        <v>91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>
        <f>EXP(-LN(2)/35)*FQ132+(1-EXP(-LN(2)/35))/(LN(2)/35)*FM133*FN133*VLOOKUP('Données projet'!$B$16,Paramètres!$A$1:$I$89,3,0)*0.475*44/12</f>
        <v>0</v>
      </c>
      <c r="FR133" s="23">
        <f>EXP(-LN(2)/25)*FR132+(1-EXP(-LN(2)/25))/(LN(2)/25)*Calculateur!FM133*Calculateur!FO133*VLOOKUP('Données projet'!$B$16,Paramètres!$A$1:$I$89,3,0)*0.475*44/12</f>
        <v>0</v>
      </c>
      <c r="FS133" s="23">
        <f>EXP(-LN(2)/2)*FS132+(1-EXP(-LN(2)/2))/(LN(2)/2)*FM133*FP133*VLOOKUP('Données projet'!$B$16,Paramètres!$A$1:$I$89,3,0)*0.475*44/12</f>
        <v>0</v>
      </c>
      <c r="FT133" s="24">
        <f t="shared" si="132"/>
        <v>0</v>
      </c>
      <c r="FU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>
        <f>FZ133*VLOOKUP('Données projet'!$B$17,Paramètres!$A$1:$I$89,3,0)*VLOOKUP('Données projet'!$B$17,Paramètres!$A$1:$I$89,5,0)</f>
        <v>0</v>
      </c>
      <c r="GB133" s="14" t="e">
        <f t="shared" ref="GB133:GB153" si="157">EXP(-1.0587+0.8836*LN(GA133)+0.284)</f>
        <v>#NUM!</v>
      </c>
      <c r="GC133" s="22" t="e">
        <f t="shared" si="133"/>
        <v>#NUM!</v>
      </c>
      <c r="GD133" s="60" t="e">
        <f t="shared" si="134"/>
        <v>#NUM!</v>
      </c>
      <c r="GE133" s="60">
        <f ca="1">AVERAGE(OFFSET($GD$3,0,0,'Données projet'!$E$17+1,1))-AVERAGE(OFFSET($H$3,0,0,'Données projet'!$E$17+1,1))</f>
        <v>396.0878652679051</v>
      </c>
      <c r="GF133" s="60">
        <f t="shared" ref="GF133:GF196" si="158">$GF$3</f>
        <v>327.26339199235406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>
        <f>EXP(-LN(2)/35)*GL132+(1-EXP(-LN(2)/35))/(LN(2)/35)*GH133*GI133*VLOOKUP('Données projet'!$B$17,Paramètres!$A$1:$I$89,3,0)*0.475*44/12</f>
        <v>0</v>
      </c>
      <c r="GM133" s="23">
        <f>EXP(-LN(2)/25)*GM132+(1-EXP(-LN(2)/25))/(LN(2)/25)*Calculateur!GH133*Calculateur!GJ133*VLOOKUP('Données projet'!$B$17,Paramètres!$A$1:$I$89,3,0)*0.475*44/12</f>
        <v>0</v>
      </c>
      <c r="GN133" s="23">
        <f>EXP(-LN(2)/2)*GN132+(1-EXP(-LN(2)/2))/(LN(2)/2)*GH133*GK133*VLOOKUP('Données projet'!$B$17,Paramètres!$A$1:$I$89,3,0)*0.475*44/12</f>
        <v>0</v>
      </c>
      <c r="GO133" s="23">
        <f t="shared" si="135"/>
        <v>0</v>
      </c>
      <c r="GP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-1.1368683772161603E-13</v>
      </c>
      <c r="GV133" s="18">
        <f>GU133*VLOOKUP('Données projet'!$B$18,Paramètres!$A$1:$I$89,3,0)*VLOOKUP('Données projet'!$B$18,Paramètres!$A$1:$I$89,5,0)</f>
        <v>-9.2222762759774927E-14</v>
      </c>
      <c r="GW133" s="14" t="e">
        <f t="shared" ref="GW133:GW153" si="159">EXP(-1.0587+0.8836*LN(GV133)+0.284)</f>
        <v>#NUM!</v>
      </c>
      <c r="GX133" s="22" t="e">
        <f t="shared" si="136"/>
        <v>#NUM!</v>
      </c>
      <c r="GY133" s="60" t="e">
        <f t="shared" si="137"/>
        <v>#NUM!</v>
      </c>
      <c r="GZ133" s="60">
        <f ca="1">AVERAGE(OFFSET($GY$3,0,0,'Données projet'!$E$18+1,1))-AVERAGE(OFFSET($H$3,0,0,'Données projet'!$E$18+1,1))</f>
        <v>272.69564942740931</v>
      </c>
      <c r="HA133" s="60">
        <f t="shared" ref="HA133:HA196" si="160">$HA$3</f>
        <v>316.57989180609252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>
        <f>EXP(-LN(2)/35)*HG132+(1-EXP(-LN(2)/35))/(LN(2)/35)*HC133*HD133*VLOOKUP('Données projet'!$B$18,Paramètres!$A$1:$I$89,3,0)*0.475*44/12</f>
        <v>0</v>
      </c>
      <c r="HH133" s="23">
        <f>EXP(-LN(2)/25)*HH132+(1-EXP(-LN(2)/25))/(LN(2)/25)*Calculateur!HC133*Calculateur!HE133*VLOOKUP('Données projet'!$B$18,Paramètres!$A$1:$I$89,3,0)*0.475*44/12</f>
        <v>0</v>
      </c>
      <c r="HI133" s="23">
        <f>EXP(-LN(2)/2)*HI132+(1-EXP(-LN(2)/2))/(LN(2)/2)*HC133*HF133*VLOOKUP('Données projet'!$B$18,Paramètres!$A$1:$I$89,3,0)*0.475*44/12</f>
        <v>0</v>
      </c>
      <c r="HJ133" s="24">
        <f t="shared" si="138"/>
        <v>0</v>
      </c>
    </row>
    <row r="134" spans="1:218" s="5" customFormat="1" x14ac:dyDescent="0.25">
      <c r="A134" s="11">
        <f t="shared" si="139"/>
        <v>131</v>
      </c>
      <c r="B134" s="75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8">
        <f t="shared" si="110"/>
        <v>183.33333333333334</v>
      </c>
      <c r="I134" s="7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3.8</v>
      </c>
      <c r="N134" s="14">
        <f>IF('Données projet'!$A$36&gt;35,N133+M134-V133,IF(A134&lt;'Données projet'!$A$36,$K$205^A134,IF(A134='Données projet'!$A$36,'Données projet'!$B$36,N133+M134-V133)))</f>
        <v>306.79999999999978</v>
      </c>
      <c r="O134" s="14">
        <f>N134*VLOOKUP('Données projet'!$B$9,Paramètres!$A$1:$I$89,3,0)*VLOOKUP('Données projet'!$B$9,Paramètres!$A$1:$I$89,5,0)</f>
        <v>277.59263999999979</v>
      </c>
      <c r="P134" s="14">
        <f t="shared" si="141"/>
        <v>66.458009122425523</v>
      </c>
      <c r="Q134" s="22">
        <f t="shared" si="108"/>
        <v>599.22154722155733</v>
      </c>
      <c r="R134" s="60">
        <f t="shared" si="109"/>
        <v>883.295299464663</v>
      </c>
      <c r="S134" s="60">
        <f ca="1">AVERAGE(OFFSET($R$3,0,0,'Données projet'!$E$9+1,1))-AVERAGE(OFFSET($H$3,0,0,'Données projet'!$E$9+1,1))</f>
        <v>570.08763950759544</v>
      </c>
      <c r="T134" s="60">
        <f t="shared" si="142"/>
        <v>297.32483725004136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-5.6843418860808015E-14</v>
      </c>
      <c r="AJ134" s="14">
        <f>AI134*VLOOKUP('Données projet'!$B$10,Paramètres!$A$1:$I$89,3,0)*VLOOKUP('Données projet'!$B$10,Paramètres!$A$1:$I$89,5,0)</f>
        <v>-4.5224624045658861E-14</v>
      </c>
      <c r="AK134" s="14" t="e">
        <f t="shared" si="143"/>
        <v>#NUM!</v>
      </c>
      <c r="AL134" s="22" t="e">
        <f t="shared" si="112"/>
        <v>#NUM!</v>
      </c>
      <c r="AM134" s="60" t="e">
        <f t="shared" si="113"/>
        <v>#NUM!</v>
      </c>
      <c r="AN134" s="60">
        <f ca="1">AVERAGE(OFFSET($AM$3,0,0,'Données projet'!$E$10+1,1))-AVERAGE(OFFSET($H$3,0,0,'Données projet'!$E$10+1,1))</f>
        <v>394.49874384716014</v>
      </c>
      <c r="AO134" s="60">
        <f t="shared" si="144"/>
        <v>423.72519584013378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3.4106051316484809E-13</v>
      </c>
      <c r="BE134" s="14">
        <f>BD134*VLOOKUP('Données projet'!$B$11,Paramètres!$A$1:$I$89,3,0)*VLOOKUP('Données projet'!$B$11,Paramètres!$A$1:$I$89,5,0)</f>
        <v>2.9795046430081134E-13</v>
      </c>
      <c r="BF134" s="14">
        <f t="shared" si="145"/>
        <v>3.9419014464513778E-12</v>
      </c>
      <c r="BG134" s="22">
        <f t="shared" si="115"/>
        <v>7.384408744560063E-12</v>
      </c>
      <c r="BH134" s="60">
        <f t="shared" si="116"/>
        <v>284.07375224311312</v>
      </c>
      <c r="BI134" s="60">
        <f ca="1">AVERAGE(OFFSET($BH$3,0,0,'Données projet'!$E$11+1,1))-AVERAGE(OFFSET($H$3,0,0,'Données projet'!$E$11+1,1))</f>
        <v>363.28611056308665</v>
      </c>
      <c r="BJ134" s="60">
        <f t="shared" si="146"/>
        <v>389.43647559455974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5.6843418860808015E-14</v>
      </c>
      <c r="BZ134" s="14">
        <f>BY134*VLOOKUP('Données projet'!$B$12,Paramètres!$A$1:$I$89,3,0)*VLOOKUP('Données projet'!$B$12,Paramètres!$A$1:$I$89,5,0)</f>
        <v>5.4092197387944907E-14</v>
      </c>
      <c r="CA134" s="14">
        <f t="shared" si="147"/>
        <v>8.7287050538073676E-13</v>
      </c>
      <c r="CB134" s="22">
        <f t="shared" si="118"/>
        <v>1.6144600406554537E-12</v>
      </c>
      <c r="CC134" s="60">
        <f t="shared" si="119"/>
        <v>284.07375224310732</v>
      </c>
      <c r="CD134" s="60">
        <f ca="1">AVERAGE(OFFSET($CC$3,0,0,'Données projet'!$E$12+1,1))-AVERAGE(OFFSET($H$3,0,0,'Données projet'!$E$12+1,1))</f>
        <v>441.15969139782891</v>
      </c>
      <c r="CE134" s="60">
        <f t="shared" si="148"/>
        <v>315.06466790224783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-5.6843418860808015E-14</v>
      </c>
      <c r="CU134" s="18">
        <f>CT134*VLOOKUP('Données projet'!$B$13,Paramètres!$A$1:$I$89,3,0)*VLOOKUP('Données projet'!$B$13,Paramètres!$A$1:$I$89,5,0)</f>
        <v>-4.1677594708744434E-14</v>
      </c>
      <c r="CV134" s="14" t="e">
        <f t="shared" si="149"/>
        <v>#NUM!</v>
      </c>
      <c r="CW134" s="22" t="e">
        <f t="shared" si="121"/>
        <v>#NUM!</v>
      </c>
      <c r="CX134" s="60" t="e">
        <f t="shared" si="122"/>
        <v>#NUM!</v>
      </c>
      <c r="CY134" s="60">
        <f ca="1">AVERAGE(OFFSET($CX$3,0,0,'Données projet'!$E$13+1,1))-AVERAGE(OFFSET($H$3,0,0,'Données projet'!$E$13+1,1))</f>
        <v>368.35775920359396</v>
      </c>
      <c r="CZ134" s="60">
        <f t="shared" si="150"/>
        <v>395.5218438652638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1.1368683772161603E-13</v>
      </c>
      <c r="DP134" s="18">
        <f>DO134*VLOOKUP('Données projet'!$B$14,Paramètres!$A$1:$I$89,3,0)*VLOOKUP('Données projet'!$B$14,Paramètres!$A$1:$I$89,5,0)</f>
        <v>8.8675733422860506E-14</v>
      </c>
      <c r="DQ134" s="14">
        <f t="shared" si="151"/>
        <v>1.3509285393066301E-12</v>
      </c>
      <c r="DR134" s="22">
        <f t="shared" si="124"/>
        <v>2.5073107750038623E-12</v>
      </c>
      <c r="DS134" s="60">
        <f t="shared" si="125"/>
        <v>284.07375224310823</v>
      </c>
      <c r="DT134" s="60">
        <f ca="1">AVERAGE(OFFSET($DS$3,0,0,'Données projet'!$E$14+1,1))-AVERAGE(OFFSET($H$3,0,0,'Données projet'!$E$14+1,1))</f>
        <v>312.59632808777332</v>
      </c>
      <c r="DU134" s="60">
        <f t="shared" si="152"/>
        <v>302.59481222418219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0</v>
      </c>
      <c r="EE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-1.1368683772161603E-13</v>
      </c>
      <c r="EK134" s="18">
        <f>EJ134*VLOOKUP('Données projet'!$B$15,Paramètres!$A$1:$I$89,3,0)*VLOOKUP('Données projet'!$B$15,Paramètres!$A$1:$I$89,5,0)</f>
        <v>-9.7543306765146564E-14</v>
      </c>
      <c r="EL134" s="14" t="e">
        <f t="shared" si="153"/>
        <v>#NUM!</v>
      </c>
      <c r="EM134" s="22" t="e">
        <f t="shared" si="127"/>
        <v>#NUM!</v>
      </c>
      <c r="EN134" s="60" t="e">
        <f t="shared" si="128"/>
        <v>#NUM!</v>
      </c>
      <c r="EO134" s="60">
        <f ca="1">AVERAGE(OFFSET($EN$3,0,0,'Données projet'!$E$15+1,1))-AVERAGE(OFFSET($H$3,0,0,'Données projet'!$E$15+1,1))</f>
        <v>478.11504516179713</v>
      </c>
      <c r="EP134" s="60">
        <f t="shared" si="154"/>
        <v>249.93713224442419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0</v>
      </c>
      <c r="EW134" s="23">
        <f>EXP(-LN(2)/25)*EW133+(1-EXP(-LN(2)/25))/(LN(2)/25)*Calculateur!ER134*Calculateur!ET134*VLOOKUP('Données projet'!$B$15,Paramètres!$A$1:$I$89,3,0)*0.475*44/12</f>
        <v>0</v>
      </c>
      <c r="EX134" s="23">
        <f>EXP(-LN(2)/2)*EX133+(1-EXP(-LN(2)/2))/(LN(2)/2)*ER134*EU134*VLOOKUP('Données projet'!$B$15,Paramètres!$A$1:$I$89,3,0)*0.475*44/12</f>
        <v>0</v>
      </c>
      <c r="EY134" s="24">
        <f t="shared" si="129"/>
        <v>0</v>
      </c>
      <c r="EZ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3.8</v>
      </c>
      <c r="FE134" s="13">
        <f>IF('Données projet'!$A$218&gt;35,FE133+FD134-FM133,IF(A134&lt;'Données projet'!$A$218,$FB$205^A134,IF(A134='Données projet'!$A$218,'Données projet'!$B$218,FE133+FD134-FM133)))</f>
        <v>306.79999999999978</v>
      </c>
      <c r="FF134" s="18">
        <f>FE134*VLOOKUP('Données projet'!$B$16,Paramètres!$A$1:$I$89,3,0)*VLOOKUP('Données projet'!$B$16,Paramètres!$A$1:$I$89,5,0)</f>
        <v>296.73695999999978</v>
      </c>
      <c r="FG134" s="14">
        <f t="shared" si="155"/>
        <v>70.491970164645096</v>
      </c>
      <c r="FH134" s="22">
        <f t="shared" si="130"/>
        <v>639.59038670342318</v>
      </c>
      <c r="FI134" s="60">
        <f t="shared" si="131"/>
        <v>923.66413894652896</v>
      </c>
      <c r="FJ134" s="60">
        <f ca="1">AVERAGE(OFFSET($FI$3,0,0,'Données projet'!$E$16+1,1))-AVERAGE(OFFSET($H$3,0,0,'Données projet'!$E$16+1,1))</f>
        <v>603.52431522262032</v>
      </c>
      <c r="FK134" s="60">
        <f t="shared" si="156"/>
        <v>313.56299786481338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>
        <f>EXP(-LN(2)/35)*FQ133+(1-EXP(-LN(2)/35))/(LN(2)/35)*FM134*FN134*VLOOKUP('Données projet'!$B$16,Paramètres!$A$1:$I$89,3,0)*0.475*44/12</f>
        <v>0</v>
      </c>
      <c r="FR134" s="23">
        <f>EXP(-LN(2)/25)*FR133+(1-EXP(-LN(2)/25))/(LN(2)/25)*Calculateur!FM134*Calculateur!FO134*VLOOKUP('Données projet'!$B$16,Paramètres!$A$1:$I$89,3,0)*0.475*44/12</f>
        <v>0</v>
      </c>
      <c r="FS134" s="23">
        <f>EXP(-LN(2)/2)*FS133+(1-EXP(-LN(2)/2))/(LN(2)/2)*FM134*FP134*VLOOKUP('Données projet'!$B$16,Paramètres!$A$1:$I$89,3,0)*0.475*44/12</f>
        <v>0</v>
      </c>
      <c r="FT134" s="24">
        <f t="shared" si="132"/>
        <v>0</v>
      </c>
      <c r="FU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>
        <f>FZ134*VLOOKUP('Données projet'!$B$17,Paramètres!$A$1:$I$89,3,0)*VLOOKUP('Données projet'!$B$17,Paramètres!$A$1:$I$89,5,0)</f>
        <v>0</v>
      </c>
      <c r="GB134" s="14" t="e">
        <f t="shared" si="157"/>
        <v>#NUM!</v>
      </c>
      <c r="GC134" s="22" t="e">
        <f t="shared" si="133"/>
        <v>#NUM!</v>
      </c>
      <c r="GD134" s="60" t="e">
        <f t="shared" si="134"/>
        <v>#NUM!</v>
      </c>
      <c r="GE134" s="60">
        <f ca="1">AVERAGE(OFFSET($GD$3,0,0,'Données projet'!$E$17+1,1))-AVERAGE(OFFSET($H$3,0,0,'Données projet'!$E$17+1,1))</f>
        <v>396.0878652679051</v>
      </c>
      <c r="GF134" s="60">
        <f t="shared" si="158"/>
        <v>327.26339199235406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>
        <f>EXP(-LN(2)/35)*GL133+(1-EXP(-LN(2)/35))/(LN(2)/35)*GH134*GI134*VLOOKUP('Données projet'!$B$17,Paramètres!$A$1:$I$89,3,0)*0.475*44/12</f>
        <v>0</v>
      </c>
      <c r="GM134" s="23">
        <f>EXP(-LN(2)/25)*GM133+(1-EXP(-LN(2)/25))/(LN(2)/25)*Calculateur!GH134*Calculateur!GJ134*VLOOKUP('Données projet'!$B$17,Paramètres!$A$1:$I$89,3,0)*0.475*44/12</f>
        <v>0</v>
      </c>
      <c r="GN134" s="23">
        <f>EXP(-LN(2)/2)*GN133+(1-EXP(-LN(2)/2))/(LN(2)/2)*GH134*GK134*VLOOKUP('Données projet'!$B$17,Paramètres!$A$1:$I$89,3,0)*0.475*44/12</f>
        <v>0</v>
      </c>
      <c r="GO134" s="23">
        <f t="shared" si="135"/>
        <v>0</v>
      </c>
      <c r="GP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-1.1368683772161603E-13</v>
      </c>
      <c r="GV134" s="18">
        <f>GU134*VLOOKUP('Données projet'!$B$18,Paramètres!$A$1:$I$89,3,0)*VLOOKUP('Données projet'!$B$18,Paramètres!$A$1:$I$89,5,0)</f>
        <v>-9.2222762759774927E-14</v>
      </c>
      <c r="GW134" s="14" t="e">
        <f t="shared" si="159"/>
        <v>#NUM!</v>
      </c>
      <c r="GX134" s="22" t="e">
        <f t="shared" si="136"/>
        <v>#NUM!</v>
      </c>
      <c r="GY134" s="60" t="e">
        <f t="shared" si="137"/>
        <v>#NUM!</v>
      </c>
      <c r="GZ134" s="60">
        <f ca="1">AVERAGE(OFFSET($GY$3,0,0,'Données projet'!$E$18+1,1))-AVERAGE(OFFSET($H$3,0,0,'Données projet'!$E$18+1,1))</f>
        <v>272.69564942740931</v>
      </c>
      <c r="HA134" s="60">
        <f t="shared" si="160"/>
        <v>316.57989180609252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>
        <f>EXP(-LN(2)/35)*HG133+(1-EXP(-LN(2)/35))/(LN(2)/35)*HC134*HD134*VLOOKUP('Données projet'!$B$18,Paramètres!$A$1:$I$89,3,0)*0.475*44/12</f>
        <v>0</v>
      </c>
      <c r="HH134" s="23">
        <f>EXP(-LN(2)/25)*HH133+(1-EXP(-LN(2)/25))/(LN(2)/25)*Calculateur!HC134*Calculateur!HE134*VLOOKUP('Données projet'!$B$18,Paramètres!$A$1:$I$89,3,0)*0.475*44/12</f>
        <v>0</v>
      </c>
      <c r="HI134" s="23">
        <f>EXP(-LN(2)/2)*HI133+(1-EXP(-LN(2)/2))/(LN(2)/2)*HC134*HF134*VLOOKUP('Données projet'!$B$18,Paramètres!$A$1:$I$89,3,0)*0.475*44/12</f>
        <v>0</v>
      </c>
      <c r="HJ134" s="24">
        <f t="shared" si="138"/>
        <v>0</v>
      </c>
    </row>
    <row r="135" spans="1:218" s="5" customFormat="1" x14ac:dyDescent="0.25">
      <c r="A135" s="11">
        <f t="shared" si="139"/>
        <v>132</v>
      </c>
      <c r="B135" s="75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8">
        <f t="shared" si="110"/>
        <v>183.33333333333334</v>
      </c>
      <c r="I135" s="7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3.8</v>
      </c>
      <c r="N135" s="14">
        <f>IF('Données projet'!$A$36&gt;35,N134+M135-V134,IF(A135&lt;'Données projet'!$A$36,$K$205^A135,IF(A135='Données projet'!$A$36,'Données projet'!$B$36,N134+M135-V134)))</f>
        <v>310.5999999999998</v>
      </c>
      <c r="O135" s="14">
        <f>N135*VLOOKUP('Données projet'!$B$9,Paramètres!$A$1:$I$89,3,0)*VLOOKUP('Données projet'!$B$9,Paramètres!$A$1:$I$89,5,0)</f>
        <v>281.03087999999985</v>
      </c>
      <c r="P135" s="14">
        <f t="shared" si="141"/>
        <v>67.184816842275467</v>
      </c>
      <c r="Q135" s="22">
        <f t="shared" si="108"/>
        <v>606.47567200029607</v>
      </c>
      <c r="R135" s="60">
        <f t="shared" si="109"/>
        <v>890.71005727399529</v>
      </c>
      <c r="S135" s="60">
        <f ca="1">AVERAGE(OFFSET($R$3,0,0,'Données projet'!$E$9+1,1))-AVERAGE(OFFSET($H$3,0,0,'Données projet'!$E$9+1,1))</f>
        <v>570.08763950759544</v>
      </c>
      <c r="T135" s="60">
        <f t="shared" si="142"/>
        <v>297.32483725004136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-5.6843418860808015E-14</v>
      </c>
      <c r="AJ135" s="14">
        <f>AI135*VLOOKUP('Données projet'!$B$10,Paramètres!$A$1:$I$89,3,0)*VLOOKUP('Données projet'!$B$10,Paramètres!$A$1:$I$89,5,0)</f>
        <v>-4.5224624045658861E-14</v>
      </c>
      <c r="AK135" s="14" t="e">
        <f t="shared" si="143"/>
        <v>#NUM!</v>
      </c>
      <c r="AL135" s="22" t="e">
        <f t="shared" si="112"/>
        <v>#NUM!</v>
      </c>
      <c r="AM135" s="60" t="e">
        <f t="shared" si="113"/>
        <v>#NUM!</v>
      </c>
      <c r="AN135" s="60">
        <f ca="1">AVERAGE(OFFSET($AM$3,0,0,'Données projet'!$E$10+1,1))-AVERAGE(OFFSET($H$3,0,0,'Données projet'!$E$10+1,1))</f>
        <v>394.49874384716014</v>
      </c>
      <c r="AO135" s="60">
        <f t="shared" si="144"/>
        <v>423.72519584013378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3.4106051316484809E-13</v>
      </c>
      <c r="BE135" s="14">
        <f>BD135*VLOOKUP('Données projet'!$B$11,Paramètres!$A$1:$I$89,3,0)*VLOOKUP('Données projet'!$B$11,Paramètres!$A$1:$I$89,5,0)</f>
        <v>2.9795046430081134E-13</v>
      </c>
      <c r="BF135" s="14">
        <f t="shared" si="145"/>
        <v>3.9419014464513778E-12</v>
      </c>
      <c r="BG135" s="22">
        <f t="shared" si="115"/>
        <v>7.384408744560063E-12</v>
      </c>
      <c r="BH135" s="60">
        <f t="shared" si="116"/>
        <v>284.23438527370655</v>
      </c>
      <c r="BI135" s="60">
        <f ca="1">AVERAGE(OFFSET($BH$3,0,0,'Données projet'!$E$11+1,1))-AVERAGE(OFFSET($H$3,0,0,'Données projet'!$E$11+1,1))</f>
        <v>363.28611056308665</v>
      </c>
      <c r="BJ135" s="60">
        <f t="shared" si="146"/>
        <v>389.43647559455974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5.6843418860808015E-14</v>
      </c>
      <c r="BZ135" s="14">
        <f>BY135*VLOOKUP('Données projet'!$B$12,Paramètres!$A$1:$I$89,3,0)*VLOOKUP('Données projet'!$B$12,Paramètres!$A$1:$I$89,5,0)</f>
        <v>5.4092197387944907E-14</v>
      </c>
      <c r="CA135" s="14">
        <f t="shared" si="147"/>
        <v>8.7287050538073676E-13</v>
      </c>
      <c r="CB135" s="22">
        <f t="shared" si="118"/>
        <v>1.6144600406554537E-12</v>
      </c>
      <c r="CC135" s="60">
        <f t="shared" si="119"/>
        <v>284.23438527370075</v>
      </c>
      <c r="CD135" s="60">
        <f ca="1">AVERAGE(OFFSET($CC$3,0,0,'Données projet'!$E$12+1,1))-AVERAGE(OFFSET($H$3,0,0,'Données projet'!$E$12+1,1))</f>
        <v>441.15969139782891</v>
      </c>
      <c r="CE135" s="60">
        <f t="shared" si="148"/>
        <v>315.06466790224783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-5.6843418860808015E-14</v>
      </c>
      <c r="CU135" s="18">
        <f>CT135*VLOOKUP('Données projet'!$B$13,Paramètres!$A$1:$I$89,3,0)*VLOOKUP('Données projet'!$B$13,Paramètres!$A$1:$I$89,5,0)</f>
        <v>-4.1677594708744434E-14</v>
      </c>
      <c r="CV135" s="14" t="e">
        <f t="shared" si="149"/>
        <v>#NUM!</v>
      </c>
      <c r="CW135" s="22" t="e">
        <f t="shared" si="121"/>
        <v>#NUM!</v>
      </c>
      <c r="CX135" s="60" t="e">
        <f t="shared" si="122"/>
        <v>#NUM!</v>
      </c>
      <c r="CY135" s="60">
        <f ca="1">AVERAGE(OFFSET($CX$3,0,0,'Données projet'!$E$13+1,1))-AVERAGE(OFFSET($H$3,0,0,'Données projet'!$E$13+1,1))</f>
        <v>368.35775920359396</v>
      </c>
      <c r="CZ135" s="60">
        <f t="shared" si="150"/>
        <v>395.5218438652638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1.1368683772161603E-13</v>
      </c>
      <c r="DP135" s="18">
        <f>DO135*VLOOKUP('Données projet'!$B$14,Paramètres!$A$1:$I$89,3,0)*VLOOKUP('Données projet'!$B$14,Paramètres!$A$1:$I$89,5,0)</f>
        <v>8.8675733422860506E-14</v>
      </c>
      <c r="DQ135" s="14">
        <f t="shared" si="151"/>
        <v>1.3509285393066301E-12</v>
      </c>
      <c r="DR135" s="22">
        <f t="shared" si="124"/>
        <v>2.5073107750038623E-12</v>
      </c>
      <c r="DS135" s="60">
        <f t="shared" si="125"/>
        <v>284.23438527370166</v>
      </c>
      <c r="DT135" s="60">
        <f ca="1">AVERAGE(OFFSET($DS$3,0,0,'Données projet'!$E$14+1,1))-AVERAGE(OFFSET($H$3,0,0,'Données projet'!$E$14+1,1))</f>
        <v>312.59632808777332</v>
      </c>
      <c r="DU135" s="60">
        <f t="shared" si="152"/>
        <v>302.59481222418219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0</v>
      </c>
      <c r="EE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-1.1368683772161603E-13</v>
      </c>
      <c r="EK135" s="18">
        <f>EJ135*VLOOKUP('Données projet'!$B$15,Paramètres!$A$1:$I$89,3,0)*VLOOKUP('Données projet'!$B$15,Paramètres!$A$1:$I$89,5,0)</f>
        <v>-9.7543306765146564E-14</v>
      </c>
      <c r="EL135" s="14" t="e">
        <f t="shared" si="153"/>
        <v>#NUM!</v>
      </c>
      <c r="EM135" s="22" t="e">
        <f t="shared" si="127"/>
        <v>#NUM!</v>
      </c>
      <c r="EN135" s="60" t="e">
        <f t="shared" si="128"/>
        <v>#NUM!</v>
      </c>
      <c r="EO135" s="60">
        <f ca="1">AVERAGE(OFFSET($EN$3,0,0,'Données projet'!$E$15+1,1))-AVERAGE(OFFSET($H$3,0,0,'Données projet'!$E$15+1,1))</f>
        <v>478.11504516179713</v>
      </c>
      <c r="EP135" s="60">
        <f t="shared" si="154"/>
        <v>249.93713224442419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0</v>
      </c>
      <c r="EW135" s="23">
        <f>EXP(-LN(2)/25)*EW134+(1-EXP(-LN(2)/25))/(LN(2)/25)*Calculateur!ER135*Calculateur!ET135*VLOOKUP('Données projet'!$B$15,Paramètres!$A$1:$I$89,3,0)*0.475*44/12</f>
        <v>0</v>
      </c>
      <c r="EX135" s="23">
        <f>EXP(-LN(2)/2)*EX134+(1-EXP(-LN(2)/2))/(LN(2)/2)*ER135*EU135*VLOOKUP('Données projet'!$B$15,Paramètres!$A$1:$I$89,3,0)*0.475*44/12</f>
        <v>0</v>
      </c>
      <c r="EY135" s="24">
        <f t="shared" si="129"/>
        <v>0</v>
      </c>
      <c r="EZ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3.8</v>
      </c>
      <c r="FE135" s="13">
        <f>IF('Données projet'!$A$218&gt;35,FE134+FD135-FM134,IF(A135&lt;'Données projet'!$A$218,$FB$205^A135,IF(A135='Données projet'!$A$218,'Données projet'!$B$218,FE134+FD135-FM134)))</f>
        <v>310.5999999999998</v>
      </c>
      <c r="FF135" s="18">
        <f>FE135*VLOOKUP('Données projet'!$B$16,Paramètres!$A$1:$I$89,3,0)*VLOOKUP('Données projet'!$B$16,Paramètres!$A$1:$I$89,5,0)</f>
        <v>300.4123199999998</v>
      </c>
      <c r="FG135" s="14">
        <f t="shared" si="155"/>
        <v>71.262894674416614</v>
      </c>
      <c r="FH135" s="22">
        <f t="shared" si="130"/>
        <v>647.33433222460849</v>
      </c>
      <c r="FI135" s="60">
        <f t="shared" si="131"/>
        <v>931.56871749830771</v>
      </c>
      <c r="FJ135" s="60">
        <f ca="1">AVERAGE(OFFSET($FI$3,0,0,'Données projet'!$E$16+1,1))-AVERAGE(OFFSET($H$3,0,0,'Données projet'!$E$16+1,1))</f>
        <v>603.52431522262032</v>
      </c>
      <c r="FK135" s="60">
        <f t="shared" si="156"/>
        <v>313.56299786481338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>
        <f>EXP(-LN(2)/35)*FQ134+(1-EXP(-LN(2)/35))/(LN(2)/35)*FM135*FN135*VLOOKUP('Données projet'!$B$16,Paramètres!$A$1:$I$89,3,0)*0.475*44/12</f>
        <v>0</v>
      </c>
      <c r="FR135" s="23">
        <f>EXP(-LN(2)/25)*FR134+(1-EXP(-LN(2)/25))/(LN(2)/25)*Calculateur!FM135*Calculateur!FO135*VLOOKUP('Données projet'!$B$16,Paramètres!$A$1:$I$89,3,0)*0.475*44/12</f>
        <v>0</v>
      </c>
      <c r="FS135" s="23">
        <f>EXP(-LN(2)/2)*FS134+(1-EXP(-LN(2)/2))/(LN(2)/2)*FM135*FP135*VLOOKUP('Données projet'!$B$16,Paramètres!$A$1:$I$89,3,0)*0.475*44/12</f>
        <v>0</v>
      </c>
      <c r="FT135" s="24">
        <f t="shared" si="132"/>
        <v>0</v>
      </c>
      <c r="FU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>
        <f>FZ135*VLOOKUP('Données projet'!$B$17,Paramètres!$A$1:$I$89,3,0)*VLOOKUP('Données projet'!$B$17,Paramètres!$A$1:$I$89,5,0)</f>
        <v>0</v>
      </c>
      <c r="GB135" s="14" t="e">
        <f t="shared" si="157"/>
        <v>#NUM!</v>
      </c>
      <c r="GC135" s="22" t="e">
        <f t="shared" si="133"/>
        <v>#NUM!</v>
      </c>
      <c r="GD135" s="60" t="e">
        <f t="shared" si="134"/>
        <v>#NUM!</v>
      </c>
      <c r="GE135" s="60">
        <f ca="1">AVERAGE(OFFSET($GD$3,0,0,'Données projet'!$E$17+1,1))-AVERAGE(OFFSET($H$3,0,0,'Données projet'!$E$17+1,1))</f>
        <v>396.0878652679051</v>
      </c>
      <c r="GF135" s="60">
        <f t="shared" si="158"/>
        <v>327.26339199235406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>
        <f>EXP(-LN(2)/35)*GL134+(1-EXP(-LN(2)/35))/(LN(2)/35)*GH135*GI135*VLOOKUP('Données projet'!$B$17,Paramètres!$A$1:$I$89,3,0)*0.475*44/12</f>
        <v>0</v>
      </c>
      <c r="GM135" s="23">
        <f>EXP(-LN(2)/25)*GM134+(1-EXP(-LN(2)/25))/(LN(2)/25)*Calculateur!GH135*Calculateur!GJ135*VLOOKUP('Données projet'!$B$17,Paramètres!$A$1:$I$89,3,0)*0.475*44/12</f>
        <v>0</v>
      </c>
      <c r="GN135" s="23">
        <f>EXP(-LN(2)/2)*GN134+(1-EXP(-LN(2)/2))/(LN(2)/2)*GH135*GK135*VLOOKUP('Données projet'!$B$17,Paramètres!$A$1:$I$89,3,0)*0.475*44/12</f>
        <v>0</v>
      </c>
      <c r="GO135" s="23">
        <f t="shared" si="135"/>
        <v>0</v>
      </c>
      <c r="GP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-1.1368683772161603E-13</v>
      </c>
      <c r="GV135" s="18">
        <f>GU135*VLOOKUP('Données projet'!$B$18,Paramètres!$A$1:$I$89,3,0)*VLOOKUP('Données projet'!$B$18,Paramètres!$A$1:$I$89,5,0)</f>
        <v>-9.2222762759774927E-14</v>
      </c>
      <c r="GW135" s="14" t="e">
        <f t="shared" si="159"/>
        <v>#NUM!</v>
      </c>
      <c r="GX135" s="22" t="e">
        <f t="shared" si="136"/>
        <v>#NUM!</v>
      </c>
      <c r="GY135" s="60" t="e">
        <f t="shared" si="137"/>
        <v>#NUM!</v>
      </c>
      <c r="GZ135" s="60">
        <f ca="1">AVERAGE(OFFSET($GY$3,0,0,'Données projet'!$E$18+1,1))-AVERAGE(OFFSET($H$3,0,0,'Données projet'!$E$18+1,1))</f>
        <v>272.69564942740931</v>
      </c>
      <c r="HA135" s="60">
        <f t="shared" si="160"/>
        <v>316.57989180609252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>
        <f>EXP(-LN(2)/35)*HG134+(1-EXP(-LN(2)/35))/(LN(2)/35)*HC135*HD135*VLOOKUP('Données projet'!$B$18,Paramètres!$A$1:$I$89,3,0)*0.475*44/12</f>
        <v>0</v>
      </c>
      <c r="HH135" s="23">
        <f>EXP(-LN(2)/25)*HH134+(1-EXP(-LN(2)/25))/(LN(2)/25)*Calculateur!HC135*Calculateur!HE135*VLOOKUP('Données projet'!$B$18,Paramètres!$A$1:$I$89,3,0)*0.475*44/12</f>
        <v>0</v>
      </c>
      <c r="HI135" s="23">
        <f>EXP(-LN(2)/2)*HI134+(1-EXP(-LN(2)/2))/(LN(2)/2)*HC135*HF135*VLOOKUP('Données projet'!$B$18,Paramètres!$A$1:$I$89,3,0)*0.475*44/12</f>
        <v>0</v>
      </c>
      <c r="HJ135" s="24">
        <f t="shared" si="138"/>
        <v>0</v>
      </c>
    </row>
    <row r="136" spans="1:218" s="5" customFormat="1" x14ac:dyDescent="0.25">
      <c r="A136" s="11">
        <f t="shared" si="139"/>
        <v>133</v>
      </c>
      <c r="B136" s="75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8">
        <f t="shared" si="110"/>
        <v>183.33333333333334</v>
      </c>
      <c r="I136" s="7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3.8</v>
      </c>
      <c r="N136" s="14">
        <f>IF('Données projet'!$A$36&gt;35,N135+M136-V135,IF(A136&lt;'Données projet'!$A$36,$K$205^A136,IF(A136='Données projet'!$A$36,'Données projet'!$B$36,N135+M136-V135)))</f>
        <v>314.39999999999981</v>
      </c>
      <c r="O136" s="14">
        <f>N136*VLOOKUP('Données projet'!$B$9,Paramètres!$A$1:$I$89,3,0)*VLOOKUP('Données projet'!$B$9,Paramètres!$A$1:$I$89,5,0)</f>
        <v>284.4691199999998</v>
      </c>
      <c r="P136" s="14">
        <f t="shared" si="141"/>
        <v>67.910590237378983</v>
      </c>
      <c r="Q136" s="22">
        <f t="shared" si="108"/>
        <v>613.72799533010129</v>
      </c>
      <c r="R136" s="60">
        <f t="shared" si="109"/>
        <v>898.12022701043475</v>
      </c>
      <c r="S136" s="60">
        <f ca="1">AVERAGE(OFFSET($R$3,0,0,'Données projet'!$E$9+1,1))-AVERAGE(OFFSET($H$3,0,0,'Données projet'!$E$9+1,1))</f>
        <v>570.08763950759544</v>
      </c>
      <c r="T136" s="60">
        <f t="shared" si="142"/>
        <v>297.32483725004136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-5.6843418860808015E-14</v>
      </c>
      <c r="AJ136" s="14">
        <f>AI136*VLOOKUP('Données projet'!$B$10,Paramètres!$A$1:$I$89,3,0)*VLOOKUP('Données projet'!$B$10,Paramètres!$A$1:$I$89,5,0)</f>
        <v>-4.5224624045658861E-14</v>
      </c>
      <c r="AK136" s="14" t="e">
        <f t="shared" si="143"/>
        <v>#NUM!</v>
      </c>
      <c r="AL136" s="22" t="e">
        <f t="shared" si="112"/>
        <v>#NUM!</v>
      </c>
      <c r="AM136" s="60" t="e">
        <f t="shared" si="113"/>
        <v>#NUM!</v>
      </c>
      <c r="AN136" s="60">
        <f ca="1">AVERAGE(OFFSET($AM$3,0,0,'Données projet'!$E$10+1,1))-AVERAGE(OFFSET($H$3,0,0,'Données projet'!$E$10+1,1))</f>
        <v>394.49874384716014</v>
      </c>
      <c r="AO136" s="60">
        <f t="shared" si="144"/>
        <v>423.72519584013378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3.4106051316484809E-13</v>
      </c>
      <c r="BE136" s="14">
        <f>BD136*VLOOKUP('Données projet'!$B$11,Paramètres!$A$1:$I$89,3,0)*VLOOKUP('Données projet'!$B$11,Paramètres!$A$1:$I$89,5,0)</f>
        <v>2.9795046430081134E-13</v>
      </c>
      <c r="BF136" s="14">
        <f t="shared" si="145"/>
        <v>3.9419014464513778E-12</v>
      </c>
      <c r="BG136" s="22">
        <f t="shared" si="115"/>
        <v>7.384408744560063E-12</v>
      </c>
      <c r="BH136" s="60">
        <f t="shared" si="116"/>
        <v>284.39223168034079</v>
      </c>
      <c r="BI136" s="60">
        <f ca="1">AVERAGE(OFFSET($BH$3,0,0,'Données projet'!$E$11+1,1))-AVERAGE(OFFSET($H$3,0,0,'Données projet'!$E$11+1,1))</f>
        <v>363.28611056308665</v>
      </c>
      <c r="BJ136" s="60">
        <f t="shared" si="146"/>
        <v>389.43647559455974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5.6843418860808015E-14</v>
      </c>
      <c r="BZ136" s="14">
        <f>BY136*VLOOKUP('Données projet'!$B$12,Paramètres!$A$1:$I$89,3,0)*VLOOKUP('Données projet'!$B$12,Paramètres!$A$1:$I$89,5,0)</f>
        <v>5.4092197387944907E-14</v>
      </c>
      <c r="CA136" s="14">
        <f t="shared" si="147"/>
        <v>8.7287050538073676E-13</v>
      </c>
      <c r="CB136" s="22">
        <f t="shared" si="118"/>
        <v>1.6144600406554537E-12</v>
      </c>
      <c r="CC136" s="60">
        <f t="shared" si="119"/>
        <v>284.39223168033499</v>
      </c>
      <c r="CD136" s="60">
        <f ca="1">AVERAGE(OFFSET($CC$3,0,0,'Données projet'!$E$12+1,1))-AVERAGE(OFFSET($H$3,0,0,'Données projet'!$E$12+1,1))</f>
        <v>441.15969139782891</v>
      </c>
      <c r="CE136" s="60">
        <f t="shared" si="148"/>
        <v>315.06466790224783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-5.6843418860808015E-14</v>
      </c>
      <c r="CU136" s="18">
        <f>CT136*VLOOKUP('Données projet'!$B$13,Paramètres!$A$1:$I$89,3,0)*VLOOKUP('Données projet'!$B$13,Paramètres!$A$1:$I$89,5,0)</f>
        <v>-4.1677594708744434E-14</v>
      </c>
      <c r="CV136" s="14" t="e">
        <f t="shared" si="149"/>
        <v>#NUM!</v>
      </c>
      <c r="CW136" s="22" t="e">
        <f t="shared" si="121"/>
        <v>#NUM!</v>
      </c>
      <c r="CX136" s="60" t="e">
        <f t="shared" si="122"/>
        <v>#NUM!</v>
      </c>
      <c r="CY136" s="60">
        <f ca="1">AVERAGE(OFFSET($CX$3,0,0,'Données projet'!$E$13+1,1))-AVERAGE(OFFSET($H$3,0,0,'Données projet'!$E$13+1,1))</f>
        <v>368.35775920359396</v>
      </c>
      <c r="CZ136" s="60">
        <f t="shared" si="150"/>
        <v>395.5218438652638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1.1368683772161603E-13</v>
      </c>
      <c r="DP136" s="18">
        <f>DO136*VLOOKUP('Données projet'!$B$14,Paramètres!$A$1:$I$89,3,0)*VLOOKUP('Données projet'!$B$14,Paramètres!$A$1:$I$89,5,0)</f>
        <v>8.8675733422860506E-14</v>
      </c>
      <c r="DQ136" s="14">
        <f t="shared" si="151"/>
        <v>1.3509285393066301E-12</v>
      </c>
      <c r="DR136" s="22">
        <f t="shared" si="124"/>
        <v>2.5073107750038623E-12</v>
      </c>
      <c r="DS136" s="60">
        <f t="shared" si="125"/>
        <v>284.3922316803359</v>
      </c>
      <c r="DT136" s="60">
        <f ca="1">AVERAGE(OFFSET($DS$3,0,0,'Données projet'!$E$14+1,1))-AVERAGE(OFFSET($H$3,0,0,'Données projet'!$E$14+1,1))</f>
        <v>312.59632808777332</v>
      </c>
      <c r="DU136" s="60">
        <f t="shared" si="152"/>
        <v>302.59481222418219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0</v>
      </c>
      <c r="EE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-1.1368683772161603E-13</v>
      </c>
      <c r="EK136" s="18">
        <f>EJ136*VLOOKUP('Données projet'!$B$15,Paramètres!$A$1:$I$89,3,0)*VLOOKUP('Données projet'!$B$15,Paramètres!$A$1:$I$89,5,0)</f>
        <v>-9.7543306765146564E-14</v>
      </c>
      <c r="EL136" s="14" t="e">
        <f t="shared" si="153"/>
        <v>#NUM!</v>
      </c>
      <c r="EM136" s="22" t="e">
        <f t="shared" si="127"/>
        <v>#NUM!</v>
      </c>
      <c r="EN136" s="60" t="e">
        <f t="shared" si="128"/>
        <v>#NUM!</v>
      </c>
      <c r="EO136" s="60">
        <f ca="1">AVERAGE(OFFSET($EN$3,0,0,'Données projet'!$E$15+1,1))-AVERAGE(OFFSET($H$3,0,0,'Données projet'!$E$15+1,1))</f>
        <v>478.11504516179713</v>
      </c>
      <c r="EP136" s="60">
        <f t="shared" si="154"/>
        <v>249.93713224442419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0</v>
      </c>
      <c r="EW136" s="23">
        <f>EXP(-LN(2)/25)*EW135+(1-EXP(-LN(2)/25))/(LN(2)/25)*Calculateur!ER136*Calculateur!ET136*VLOOKUP('Données projet'!$B$15,Paramètres!$A$1:$I$89,3,0)*0.475*44/12</f>
        <v>0</v>
      </c>
      <c r="EX136" s="23">
        <f>EXP(-LN(2)/2)*EX135+(1-EXP(-LN(2)/2))/(LN(2)/2)*ER136*EU136*VLOOKUP('Données projet'!$B$15,Paramètres!$A$1:$I$89,3,0)*0.475*44/12</f>
        <v>0</v>
      </c>
      <c r="EY136" s="24">
        <f t="shared" si="129"/>
        <v>0</v>
      </c>
      <c r="EZ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3.8</v>
      </c>
      <c r="FE136" s="13">
        <f>IF('Données projet'!$A$218&gt;35,FE135+FD136-FM135,IF(A136&lt;'Données projet'!$A$218,$FB$205^A136,IF(A136='Données projet'!$A$218,'Données projet'!$B$218,FE135+FD136-FM135)))</f>
        <v>314.39999999999981</v>
      </c>
      <c r="FF136" s="18">
        <f>FE136*VLOOKUP('Données projet'!$B$16,Paramètres!$A$1:$I$89,3,0)*VLOOKUP('Données projet'!$B$16,Paramètres!$A$1:$I$89,5,0)</f>
        <v>304.08767999999981</v>
      </c>
      <c r="FG136" s="14">
        <f t="shared" si="155"/>
        <v>72.032722076553924</v>
      </c>
      <c r="FH136" s="22">
        <f t="shared" si="130"/>
        <v>655.07636694999781</v>
      </c>
      <c r="FI136" s="60">
        <f t="shared" si="131"/>
        <v>939.46859863033114</v>
      </c>
      <c r="FJ136" s="60">
        <f ca="1">AVERAGE(OFFSET($FI$3,0,0,'Données projet'!$E$16+1,1))-AVERAGE(OFFSET($H$3,0,0,'Données projet'!$E$16+1,1))</f>
        <v>603.52431522262032</v>
      </c>
      <c r="FK136" s="60">
        <f t="shared" si="156"/>
        <v>313.56299786481338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>
        <f>EXP(-LN(2)/35)*FQ135+(1-EXP(-LN(2)/35))/(LN(2)/35)*FM136*FN136*VLOOKUP('Données projet'!$B$16,Paramètres!$A$1:$I$89,3,0)*0.475*44/12</f>
        <v>0</v>
      </c>
      <c r="FR136" s="23">
        <f>EXP(-LN(2)/25)*FR135+(1-EXP(-LN(2)/25))/(LN(2)/25)*Calculateur!FM136*Calculateur!FO136*VLOOKUP('Données projet'!$B$16,Paramètres!$A$1:$I$89,3,0)*0.475*44/12</f>
        <v>0</v>
      </c>
      <c r="FS136" s="23">
        <f>EXP(-LN(2)/2)*FS135+(1-EXP(-LN(2)/2))/(LN(2)/2)*FM136*FP136*VLOOKUP('Données projet'!$B$16,Paramètres!$A$1:$I$89,3,0)*0.475*44/12</f>
        <v>0</v>
      </c>
      <c r="FT136" s="24">
        <f t="shared" si="132"/>
        <v>0</v>
      </c>
      <c r="FU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>
        <f>FZ136*VLOOKUP('Données projet'!$B$17,Paramètres!$A$1:$I$89,3,0)*VLOOKUP('Données projet'!$B$17,Paramètres!$A$1:$I$89,5,0)</f>
        <v>0</v>
      </c>
      <c r="GB136" s="14" t="e">
        <f t="shared" si="157"/>
        <v>#NUM!</v>
      </c>
      <c r="GC136" s="22" t="e">
        <f t="shared" si="133"/>
        <v>#NUM!</v>
      </c>
      <c r="GD136" s="60" t="e">
        <f t="shared" si="134"/>
        <v>#NUM!</v>
      </c>
      <c r="GE136" s="60">
        <f ca="1">AVERAGE(OFFSET($GD$3,0,0,'Données projet'!$E$17+1,1))-AVERAGE(OFFSET($H$3,0,0,'Données projet'!$E$17+1,1))</f>
        <v>396.0878652679051</v>
      </c>
      <c r="GF136" s="60">
        <f t="shared" si="158"/>
        <v>327.26339199235406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>
        <f>EXP(-LN(2)/35)*GL135+(1-EXP(-LN(2)/35))/(LN(2)/35)*GH136*GI136*VLOOKUP('Données projet'!$B$17,Paramètres!$A$1:$I$89,3,0)*0.475*44/12</f>
        <v>0</v>
      </c>
      <c r="GM136" s="23">
        <f>EXP(-LN(2)/25)*GM135+(1-EXP(-LN(2)/25))/(LN(2)/25)*Calculateur!GH136*Calculateur!GJ136*VLOOKUP('Données projet'!$B$17,Paramètres!$A$1:$I$89,3,0)*0.475*44/12</f>
        <v>0</v>
      </c>
      <c r="GN136" s="23">
        <f>EXP(-LN(2)/2)*GN135+(1-EXP(-LN(2)/2))/(LN(2)/2)*GH136*GK136*VLOOKUP('Données projet'!$B$17,Paramètres!$A$1:$I$89,3,0)*0.475*44/12</f>
        <v>0</v>
      </c>
      <c r="GO136" s="23">
        <f t="shared" si="135"/>
        <v>0</v>
      </c>
      <c r="GP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-1.1368683772161603E-13</v>
      </c>
      <c r="GV136" s="18">
        <f>GU136*VLOOKUP('Données projet'!$B$18,Paramètres!$A$1:$I$89,3,0)*VLOOKUP('Données projet'!$B$18,Paramètres!$A$1:$I$89,5,0)</f>
        <v>-9.2222762759774927E-14</v>
      </c>
      <c r="GW136" s="14" t="e">
        <f t="shared" si="159"/>
        <v>#NUM!</v>
      </c>
      <c r="GX136" s="22" t="e">
        <f t="shared" si="136"/>
        <v>#NUM!</v>
      </c>
      <c r="GY136" s="60" t="e">
        <f t="shared" si="137"/>
        <v>#NUM!</v>
      </c>
      <c r="GZ136" s="60">
        <f ca="1">AVERAGE(OFFSET($GY$3,0,0,'Données projet'!$E$18+1,1))-AVERAGE(OFFSET($H$3,0,0,'Données projet'!$E$18+1,1))</f>
        <v>272.69564942740931</v>
      </c>
      <c r="HA136" s="60">
        <f t="shared" si="160"/>
        <v>316.57989180609252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>
        <f>EXP(-LN(2)/35)*HG135+(1-EXP(-LN(2)/35))/(LN(2)/35)*HC136*HD136*VLOOKUP('Données projet'!$B$18,Paramètres!$A$1:$I$89,3,0)*0.475*44/12</f>
        <v>0</v>
      </c>
      <c r="HH136" s="23">
        <f>EXP(-LN(2)/25)*HH135+(1-EXP(-LN(2)/25))/(LN(2)/25)*Calculateur!HC136*Calculateur!HE136*VLOOKUP('Données projet'!$B$18,Paramètres!$A$1:$I$89,3,0)*0.475*44/12</f>
        <v>0</v>
      </c>
      <c r="HI136" s="23">
        <f>EXP(-LN(2)/2)*HI135+(1-EXP(-LN(2)/2))/(LN(2)/2)*HC136*HF136*VLOOKUP('Données projet'!$B$18,Paramètres!$A$1:$I$89,3,0)*0.475*44/12</f>
        <v>0</v>
      </c>
      <c r="HJ136" s="24">
        <f t="shared" si="138"/>
        <v>0</v>
      </c>
    </row>
    <row r="137" spans="1:218" s="5" customFormat="1" x14ac:dyDescent="0.25">
      <c r="A137" s="11">
        <f t="shared" si="139"/>
        <v>134</v>
      </c>
      <c r="B137" s="75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8">
        <f t="shared" si="110"/>
        <v>183.33333333333334</v>
      </c>
      <c r="I137" s="7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3.8</v>
      </c>
      <c r="N137" s="14">
        <f>IF('Données projet'!$A$36&gt;35,N136+M137-V136,IF(A137&lt;'Données projet'!$A$36,$K$205^A137,IF(A137='Données projet'!$A$36,'Données projet'!$B$36,N136+M137-V136)))</f>
        <v>318.19999999999982</v>
      </c>
      <c r="O137" s="14">
        <f>N137*VLOOKUP('Données projet'!$B$9,Paramètres!$A$1:$I$89,3,0)*VLOOKUP('Données projet'!$B$9,Paramètres!$A$1:$I$89,5,0)</f>
        <v>287.90735999999981</v>
      </c>
      <c r="P137" s="14">
        <f t="shared" si="141"/>
        <v>68.635343255147305</v>
      </c>
      <c r="Q137" s="22">
        <f t="shared" si="108"/>
        <v>620.97854150271451</v>
      </c>
      <c r="R137" s="60">
        <f t="shared" si="109"/>
        <v>905.52588130741879</v>
      </c>
      <c r="S137" s="60">
        <f ca="1">AVERAGE(OFFSET($R$3,0,0,'Données projet'!$E$9+1,1))-AVERAGE(OFFSET($H$3,0,0,'Données projet'!$E$9+1,1))</f>
        <v>570.08763950759544</v>
      </c>
      <c r="T137" s="60">
        <f t="shared" si="142"/>
        <v>297.32483725004136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-5.6843418860808015E-14</v>
      </c>
      <c r="AJ137" s="14">
        <f>AI137*VLOOKUP('Données projet'!$B$10,Paramètres!$A$1:$I$89,3,0)*VLOOKUP('Données projet'!$B$10,Paramètres!$A$1:$I$89,5,0)</f>
        <v>-4.5224624045658861E-14</v>
      </c>
      <c r="AK137" s="14" t="e">
        <f t="shared" si="143"/>
        <v>#NUM!</v>
      </c>
      <c r="AL137" s="22" t="e">
        <f t="shared" si="112"/>
        <v>#NUM!</v>
      </c>
      <c r="AM137" s="60" t="e">
        <f t="shared" si="113"/>
        <v>#NUM!</v>
      </c>
      <c r="AN137" s="60">
        <f ca="1">AVERAGE(OFFSET($AM$3,0,0,'Données projet'!$E$10+1,1))-AVERAGE(OFFSET($H$3,0,0,'Données projet'!$E$10+1,1))</f>
        <v>394.49874384716014</v>
      </c>
      <c r="AO137" s="60">
        <f t="shared" si="144"/>
        <v>423.72519584013378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3.4106051316484809E-13</v>
      </c>
      <c r="BE137" s="14">
        <f>BD137*VLOOKUP('Données projet'!$B$11,Paramètres!$A$1:$I$89,3,0)*VLOOKUP('Données projet'!$B$11,Paramètres!$A$1:$I$89,5,0)</f>
        <v>2.9795046430081134E-13</v>
      </c>
      <c r="BF137" s="14">
        <f t="shared" si="145"/>
        <v>3.9419014464513778E-12</v>
      </c>
      <c r="BG137" s="22">
        <f t="shared" si="115"/>
        <v>7.384408744560063E-12</v>
      </c>
      <c r="BH137" s="60">
        <f t="shared" si="116"/>
        <v>284.54733980471167</v>
      </c>
      <c r="BI137" s="60">
        <f ca="1">AVERAGE(OFFSET($BH$3,0,0,'Données projet'!$E$11+1,1))-AVERAGE(OFFSET($H$3,0,0,'Données projet'!$E$11+1,1))</f>
        <v>363.28611056308665</v>
      </c>
      <c r="BJ137" s="60">
        <f t="shared" si="146"/>
        <v>389.43647559455974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5.6843418860808015E-14</v>
      </c>
      <c r="BZ137" s="14">
        <f>BY137*VLOOKUP('Données projet'!$B$12,Paramètres!$A$1:$I$89,3,0)*VLOOKUP('Données projet'!$B$12,Paramètres!$A$1:$I$89,5,0)</f>
        <v>5.4092197387944907E-14</v>
      </c>
      <c r="CA137" s="14">
        <f t="shared" si="147"/>
        <v>8.7287050538073676E-13</v>
      </c>
      <c r="CB137" s="22">
        <f t="shared" si="118"/>
        <v>1.6144600406554537E-12</v>
      </c>
      <c r="CC137" s="60">
        <f t="shared" si="119"/>
        <v>284.54733980470587</v>
      </c>
      <c r="CD137" s="60">
        <f ca="1">AVERAGE(OFFSET($CC$3,0,0,'Données projet'!$E$12+1,1))-AVERAGE(OFFSET($H$3,0,0,'Données projet'!$E$12+1,1))</f>
        <v>441.15969139782891</v>
      </c>
      <c r="CE137" s="60">
        <f t="shared" si="148"/>
        <v>315.06466790224783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-5.6843418860808015E-14</v>
      </c>
      <c r="CU137" s="18">
        <f>CT137*VLOOKUP('Données projet'!$B$13,Paramètres!$A$1:$I$89,3,0)*VLOOKUP('Données projet'!$B$13,Paramètres!$A$1:$I$89,5,0)</f>
        <v>-4.1677594708744434E-14</v>
      </c>
      <c r="CV137" s="14" t="e">
        <f t="shared" si="149"/>
        <v>#NUM!</v>
      </c>
      <c r="CW137" s="22" t="e">
        <f t="shared" si="121"/>
        <v>#NUM!</v>
      </c>
      <c r="CX137" s="60" t="e">
        <f t="shared" si="122"/>
        <v>#NUM!</v>
      </c>
      <c r="CY137" s="60">
        <f ca="1">AVERAGE(OFFSET($CX$3,0,0,'Données projet'!$E$13+1,1))-AVERAGE(OFFSET($H$3,0,0,'Données projet'!$E$13+1,1))</f>
        <v>368.35775920359396</v>
      </c>
      <c r="CZ137" s="60">
        <f t="shared" si="150"/>
        <v>395.5218438652638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1.1368683772161603E-13</v>
      </c>
      <c r="DP137" s="18">
        <f>DO137*VLOOKUP('Données projet'!$B$14,Paramètres!$A$1:$I$89,3,0)*VLOOKUP('Données projet'!$B$14,Paramètres!$A$1:$I$89,5,0)</f>
        <v>8.8675733422860506E-14</v>
      </c>
      <c r="DQ137" s="14">
        <f t="shared" si="151"/>
        <v>1.3509285393066301E-12</v>
      </c>
      <c r="DR137" s="22">
        <f t="shared" si="124"/>
        <v>2.5073107750038623E-12</v>
      </c>
      <c r="DS137" s="60">
        <f t="shared" si="125"/>
        <v>284.54733980470678</v>
      </c>
      <c r="DT137" s="60">
        <f ca="1">AVERAGE(OFFSET($DS$3,0,0,'Données projet'!$E$14+1,1))-AVERAGE(OFFSET($H$3,0,0,'Données projet'!$E$14+1,1))</f>
        <v>312.59632808777332</v>
      </c>
      <c r="DU137" s="60">
        <f t="shared" si="152"/>
        <v>302.59481222418219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0</v>
      </c>
      <c r="EE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-1.1368683772161603E-13</v>
      </c>
      <c r="EK137" s="18">
        <f>EJ137*VLOOKUP('Données projet'!$B$15,Paramètres!$A$1:$I$89,3,0)*VLOOKUP('Données projet'!$B$15,Paramètres!$A$1:$I$89,5,0)</f>
        <v>-9.7543306765146564E-14</v>
      </c>
      <c r="EL137" s="14" t="e">
        <f t="shared" si="153"/>
        <v>#NUM!</v>
      </c>
      <c r="EM137" s="22" t="e">
        <f t="shared" si="127"/>
        <v>#NUM!</v>
      </c>
      <c r="EN137" s="60" t="e">
        <f t="shared" si="128"/>
        <v>#NUM!</v>
      </c>
      <c r="EO137" s="60">
        <f ca="1">AVERAGE(OFFSET($EN$3,0,0,'Données projet'!$E$15+1,1))-AVERAGE(OFFSET($H$3,0,0,'Données projet'!$E$15+1,1))</f>
        <v>478.11504516179713</v>
      </c>
      <c r="EP137" s="60">
        <f t="shared" si="154"/>
        <v>249.93713224442419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0</v>
      </c>
      <c r="EW137" s="23">
        <f>EXP(-LN(2)/25)*EW136+(1-EXP(-LN(2)/25))/(LN(2)/25)*Calculateur!ER137*Calculateur!ET137*VLOOKUP('Données projet'!$B$15,Paramètres!$A$1:$I$89,3,0)*0.475*44/12</f>
        <v>0</v>
      </c>
      <c r="EX137" s="23">
        <f>EXP(-LN(2)/2)*EX136+(1-EXP(-LN(2)/2))/(LN(2)/2)*ER137*EU137*VLOOKUP('Données projet'!$B$15,Paramètres!$A$1:$I$89,3,0)*0.475*44/12</f>
        <v>0</v>
      </c>
      <c r="EY137" s="24">
        <f t="shared" si="129"/>
        <v>0</v>
      </c>
      <c r="EZ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3.8</v>
      </c>
      <c r="FE137" s="13">
        <f>IF('Données projet'!$A$218&gt;35,FE136+FD137-FM136,IF(A137&lt;'Données projet'!$A$218,$FB$205^A137,IF(A137='Données projet'!$A$218,'Données projet'!$B$218,FE136+FD137-FM136)))</f>
        <v>318.19999999999982</v>
      </c>
      <c r="FF137" s="18">
        <f>FE137*VLOOKUP('Données projet'!$B$16,Paramètres!$A$1:$I$89,3,0)*VLOOKUP('Données projet'!$B$16,Paramètres!$A$1:$I$89,5,0)</f>
        <v>307.76303999999982</v>
      </c>
      <c r="FG137" s="14">
        <f t="shared" si="155"/>
        <v>72.801467165067464</v>
      </c>
      <c r="FH137" s="22">
        <f t="shared" si="130"/>
        <v>662.81651664582557</v>
      </c>
      <c r="FI137" s="60">
        <f t="shared" si="131"/>
        <v>947.36385645052985</v>
      </c>
      <c r="FJ137" s="60">
        <f ca="1">AVERAGE(OFFSET($FI$3,0,0,'Données projet'!$E$16+1,1))-AVERAGE(OFFSET($H$3,0,0,'Données projet'!$E$16+1,1))</f>
        <v>603.52431522262032</v>
      </c>
      <c r="FK137" s="60">
        <f t="shared" si="156"/>
        <v>313.56299786481338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>
        <f>EXP(-LN(2)/35)*FQ136+(1-EXP(-LN(2)/35))/(LN(2)/35)*FM137*FN137*VLOOKUP('Données projet'!$B$16,Paramètres!$A$1:$I$89,3,0)*0.475*44/12</f>
        <v>0</v>
      </c>
      <c r="FR137" s="23">
        <f>EXP(-LN(2)/25)*FR136+(1-EXP(-LN(2)/25))/(LN(2)/25)*Calculateur!FM137*Calculateur!FO137*VLOOKUP('Données projet'!$B$16,Paramètres!$A$1:$I$89,3,0)*0.475*44/12</f>
        <v>0</v>
      </c>
      <c r="FS137" s="23">
        <f>EXP(-LN(2)/2)*FS136+(1-EXP(-LN(2)/2))/(LN(2)/2)*FM137*FP137*VLOOKUP('Données projet'!$B$16,Paramètres!$A$1:$I$89,3,0)*0.475*44/12</f>
        <v>0</v>
      </c>
      <c r="FT137" s="24">
        <f t="shared" si="132"/>
        <v>0</v>
      </c>
      <c r="FU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>
        <f>FZ137*VLOOKUP('Données projet'!$B$17,Paramètres!$A$1:$I$89,3,0)*VLOOKUP('Données projet'!$B$17,Paramètres!$A$1:$I$89,5,0)</f>
        <v>0</v>
      </c>
      <c r="GB137" s="14" t="e">
        <f t="shared" si="157"/>
        <v>#NUM!</v>
      </c>
      <c r="GC137" s="22" t="e">
        <f t="shared" si="133"/>
        <v>#NUM!</v>
      </c>
      <c r="GD137" s="60" t="e">
        <f t="shared" si="134"/>
        <v>#NUM!</v>
      </c>
      <c r="GE137" s="60">
        <f ca="1">AVERAGE(OFFSET($GD$3,0,0,'Données projet'!$E$17+1,1))-AVERAGE(OFFSET($H$3,0,0,'Données projet'!$E$17+1,1))</f>
        <v>396.0878652679051</v>
      </c>
      <c r="GF137" s="60">
        <f t="shared" si="158"/>
        <v>327.26339199235406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>
        <f>EXP(-LN(2)/35)*GL136+(1-EXP(-LN(2)/35))/(LN(2)/35)*GH137*GI137*VLOOKUP('Données projet'!$B$17,Paramètres!$A$1:$I$89,3,0)*0.475*44/12</f>
        <v>0</v>
      </c>
      <c r="GM137" s="23">
        <f>EXP(-LN(2)/25)*GM136+(1-EXP(-LN(2)/25))/(LN(2)/25)*Calculateur!GH137*Calculateur!GJ137*VLOOKUP('Données projet'!$B$17,Paramètres!$A$1:$I$89,3,0)*0.475*44/12</f>
        <v>0</v>
      </c>
      <c r="GN137" s="23">
        <f>EXP(-LN(2)/2)*GN136+(1-EXP(-LN(2)/2))/(LN(2)/2)*GH137*GK137*VLOOKUP('Données projet'!$B$17,Paramètres!$A$1:$I$89,3,0)*0.475*44/12</f>
        <v>0</v>
      </c>
      <c r="GO137" s="23">
        <f t="shared" si="135"/>
        <v>0</v>
      </c>
      <c r="GP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-1.1368683772161603E-13</v>
      </c>
      <c r="GV137" s="18">
        <f>GU137*VLOOKUP('Données projet'!$B$18,Paramètres!$A$1:$I$89,3,0)*VLOOKUP('Données projet'!$B$18,Paramètres!$A$1:$I$89,5,0)</f>
        <v>-9.2222762759774927E-14</v>
      </c>
      <c r="GW137" s="14" t="e">
        <f t="shared" si="159"/>
        <v>#NUM!</v>
      </c>
      <c r="GX137" s="22" t="e">
        <f t="shared" si="136"/>
        <v>#NUM!</v>
      </c>
      <c r="GY137" s="60" t="e">
        <f t="shared" si="137"/>
        <v>#NUM!</v>
      </c>
      <c r="GZ137" s="60">
        <f ca="1">AVERAGE(OFFSET($GY$3,0,0,'Données projet'!$E$18+1,1))-AVERAGE(OFFSET($H$3,0,0,'Données projet'!$E$18+1,1))</f>
        <v>272.69564942740931</v>
      </c>
      <c r="HA137" s="60">
        <f t="shared" si="160"/>
        <v>316.57989180609252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>
        <f>EXP(-LN(2)/35)*HG136+(1-EXP(-LN(2)/35))/(LN(2)/35)*HC137*HD137*VLOOKUP('Données projet'!$B$18,Paramètres!$A$1:$I$89,3,0)*0.475*44/12</f>
        <v>0</v>
      </c>
      <c r="HH137" s="23">
        <f>EXP(-LN(2)/25)*HH136+(1-EXP(-LN(2)/25))/(LN(2)/25)*Calculateur!HC137*Calculateur!HE137*VLOOKUP('Données projet'!$B$18,Paramètres!$A$1:$I$89,3,0)*0.475*44/12</f>
        <v>0</v>
      </c>
      <c r="HI137" s="23">
        <f>EXP(-LN(2)/2)*HI136+(1-EXP(-LN(2)/2))/(LN(2)/2)*HC137*HF137*VLOOKUP('Données projet'!$B$18,Paramètres!$A$1:$I$89,3,0)*0.475*44/12</f>
        <v>0</v>
      </c>
      <c r="HJ137" s="24">
        <f t="shared" si="138"/>
        <v>0</v>
      </c>
    </row>
    <row r="138" spans="1:218" s="5" customFormat="1" x14ac:dyDescent="0.25">
      <c r="A138" s="11">
        <f t="shared" si="139"/>
        <v>135</v>
      </c>
      <c r="B138" s="75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8">
        <f t="shared" si="110"/>
        <v>183.33333333333334</v>
      </c>
      <c r="I138" s="7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3.8</v>
      </c>
      <c r="N138" s="14">
        <f>IF('Données projet'!$A$36&gt;35,N137+M138-V137,IF(A138&lt;'Données projet'!$A$36,$K$205^A138,IF(A138='Données projet'!$A$36,'Données projet'!$B$36,N137+M138-V137)))</f>
        <v>321.99999999999983</v>
      </c>
      <c r="O138" s="14">
        <f>N138*VLOOKUP('Données projet'!$B$9,Paramètres!$A$1:$I$89,3,0)*VLOOKUP('Données projet'!$B$9,Paramètres!$A$1:$I$89,5,0)</f>
        <v>291.34559999999982</v>
      </c>
      <c r="P138" s="14">
        <f t="shared" si="141"/>
        <v>69.359089490698651</v>
      </c>
      <c r="Q138" s="22">
        <f t="shared" si="108"/>
        <v>628.22733419629969</v>
      </c>
      <c r="R138" s="60">
        <f t="shared" si="109"/>
        <v>912.9270913461869</v>
      </c>
      <c r="S138" s="60">
        <f ca="1">AVERAGE(OFFSET($R$3,0,0,'Données projet'!$E$9+1,1))-AVERAGE(OFFSET($H$3,0,0,'Données projet'!$E$9+1,1))</f>
        <v>570.08763950759544</v>
      </c>
      <c r="T138" s="60">
        <f t="shared" si="142"/>
        <v>297.32483725004136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-5.6843418860808015E-14</v>
      </c>
      <c r="AJ138" s="14">
        <f>AI138*VLOOKUP('Données projet'!$B$10,Paramètres!$A$1:$I$89,3,0)*VLOOKUP('Données projet'!$B$10,Paramètres!$A$1:$I$89,5,0)</f>
        <v>-4.5224624045658861E-14</v>
      </c>
      <c r="AK138" s="14" t="e">
        <f t="shared" si="143"/>
        <v>#NUM!</v>
      </c>
      <c r="AL138" s="22" t="e">
        <f t="shared" si="112"/>
        <v>#NUM!</v>
      </c>
      <c r="AM138" s="60" t="e">
        <f t="shared" si="113"/>
        <v>#NUM!</v>
      </c>
      <c r="AN138" s="60">
        <f ca="1">AVERAGE(OFFSET($AM$3,0,0,'Données projet'!$E$10+1,1))-AVERAGE(OFFSET($H$3,0,0,'Données projet'!$E$10+1,1))</f>
        <v>394.49874384716014</v>
      </c>
      <c r="AO138" s="60">
        <f t="shared" si="144"/>
        <v>423.72519584013378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3.4106051316484809E-13</v>
      </c>
      <c r="BE138" s="14">
        <f>BD138*VLOOKUP('Données projet'!$B$11,Paramètres!$A$1:$I$89,3,0)*VLOOKUP('Données projet'!$B$11,Paramètres!$A$1:$I$89,5,0)</f>
        <v>2.9795046430081134E-13</v>
      </c>
      <c r="BF138" s="14">
        <f t="shared" si="145"/>
        <v>3.9419014464513778E-12</v>
      </c>
      <c r="BG138" s="22">
        <f t="shared" si="115"/>
        <v>7.384408744560063E-12</v>
      </c>
      <c r="BH138" s="60">
        <f t="shared" si="116"/>
        <v>284.69975714989454</v>
      </c>
      <c r="BI138" s="60">
        <f ca="1">AVERAGE(OFFSET($BH$3,0,0,'Données projet'!$E$11+1,1))-AVERAGE(OFFSET($H$3,0,0,'Données projet'!$E$11+1,1))</f>
        <v>363.28611056308665</v>
      </c>
      <c r="BJ138" s="60">
        <f t="shared" si="146"/>
        <v>389.43647559455974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5.6843418860808015E-14</v>
      </c>
      <c r="BZ138" s="14">
        <f>BY138*VLOOKUP('Données projet'!$B$12,Paramètres!$A$1:$I$89,3,0)*VLOOKUP('Données projet'!$B$12,Paramètres!$A$1:$I$89,5,0)</f>
        <v>5.4092197387944907E-14</v>
      </c>
      <c r="CA138" s="14">
        <f t="shared" si="147"/>
        <v>8.7287050538073676E-13</v>
      </c>
      <c r="CB138" s="22">
        <f t="shared" si="118"/>
        <v>1.6144600406554537E-12</v>
      </c>
      <c r="CC138" s="60">
        <f t="shared" si="119"/>
        <v>284.69975714988874</v>
      </c>
      <c r="CD138" s="60">
        <f ca="1">AVERAGE(OFFSET($CC$3,0,0,'Données projet'!$E$12+1,1))-AVERAGE(OFFSET($H$3,0,0,'Données projet'!$E$12+1,1))</f>
        <v>441.15969139782891</v>
      </c>
      <c r="CE138" s="60">
        <f t="shared" si="148"/>
        <v>315.06466790224783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-5.6843418860808015E-14</v>
      </c>
      <c r="CU138" s="18">
        <f>CT138*VLOOKUP('Données projet'!$B$13,Paramètres!$A$1:$I$89,3,0)*VLOOKUP('Données projet'!$B$13,Paramètres!$A$1:$I$89,5,0)</f>
        <v>-4.1677594708744434E-14</v>
      </c>
      <c r="CV138" s="14" t="e">
        <f t="shared" si="149"/>
        <v>#NUM!</v>
      </c>
      <c r="CW138" s="22" t="e">
        <f t="shared" si="121"/>
        <v>#NUM!</v>
      </c>
      <c r="CX138" s="60" t="e">
        <f t="shared" si="122"/>
        <v>#NUM!</v>
      </c>
      <c r="CY138" s="60">
        <f ca="1">AVERAGE(OFFSET($CX$3,0,0,'Données projet'!$E$13+1,1))-AVERAGE(OFFSET($H$3,0,0,'Données projet'!$E$13+1,1))</f>
        <v>368.35775920359396</v>
      </c>
      <c r="CZ138" s="60">
        <f t="shared" si="150"/>
        <v>395.5218438652638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1.1368683772161603E-13</v>
      </c>
      <c r="DP138" s="18">
        <f>DO138*VLOOKUP('Données projet'!$B$14,Paramètres!$A$1:$I$89,3,0)*VLOOKUP('Données projet'!$B$14,Paramètres!$A$1:$I$89,5,0)</f>
        <v>8.8675733422860506E-14</v>
      </c>
      <c r="DQ138" s="14">
        <f t="shared" si="151"/>
        <v>1.3509285393066301E-12</v>
      </c>
      <c r="DR138" s="22">
        <f t="shared" si="124"/>
        <v>2.5073107750038623E-12</v>
      </c>
      <c r="DS138" s="60">
        <f t="shared" si="125"/>
        <v>284.69975714988965</v>
      </c>
      <c r="DT138" s="60">
        <f ca="1">AVERAGE(OFFSET($DS$3,0,0,'Données projet'!$E$14+1,1))-AVERAGE(OFFSET($H$3,0,0,'Données projet'!$E$14+1,1))</f>
        <v>312.59632808777332</v>
      </c>
      <c r="DU138" s="60">
        <f t="shared" si="152"/>
        <v>302.59481222418219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0</v>
      </c>
      <c r="EE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-1.1368683772161603E-13</v>
      </c>
      <c r="EK138" s="18">
        <f>EJ138*VLOOKUP('Données projet'!$B$15,Paramètres!$A$1:$I$89,3,0)*VLOOKUP('Données projet'!$B$15,Paramètres!$A$1:$I$89,5,0)</f>
        <v>-9.7543306765146564E-14</v>
      </c>
      <c r="EL138" s="14" t="e">
        <f t="shared" si="153"/>
        <v>#NUM!</v>
      </c>
      <c r="EM138" s="22" t="e">
        <f t="shared" si="127"/>
        <v>#NUM!</v>
      </c>
      <c r="EN138" s="60" t="e">
        <f t="shared" si="128"/>
        <v>#NUM!</v>
      </c>
      <c r="EO138" s="60">
        <f ca="1">AVERAGE(OFFSET($EN$3,0,0,'Données projet'!$E$15+1,1))-AVERAGE(OFFSET($H$3,0,0,'Données projet'!$E$15+1,1))</f>
        <v>478.11504516179713</v>
      </c>
      <c r="EP138" s="60">
        <f t="shared" si="154"/>
        <v>249.93713224442419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0</v>
      </c>
      <c r="EW138" s="23">
        <f>EXP(-LN(2)/25)*EW137+(1-EXP(-LN(2)/25))/(LN(2)/25)*Calculateur!ER138*Calculateur!ET138*VLOOKUP('Données projet'!$B$15,Paramètres!$A$1:$I$89,3,0)*0.475*44/12</f>
        <v>0</v>
      </c>
      <c r="EX138" s="23">
        <f>EXP(-LN(2)/2)*EX137+(1-EXP(-LN(2)/2))/(LN(2)/2)*ER138*EU138*VLOOKUP('Données projet'!$B$15,Paramètres!$A$1:$I$89,3,0)*0.475*44/12</f>
        <v>0</v>
      </c>
      <c r="EY138" s="24">
        <f t="shared" si="129"/>
        <v>0</v>
      </c>
      <c r="EZ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3.8</v>
      </c>
      <c r="FE138" s="13">
        <f>IF('Données projet'!$A$218&gt;35,FE137+FD138-FM137,IF(A138&lt;'Données projet'!$A$218,$FB$205^A138,IF(A138='Données projet'!$A$218,'Données projet'!$B$218,FE137+FD138-FM137)))</f>
        <v>321.99999999999983</v>
      </c>
      <c r="FF138" s="18">
        <f>FE138*VLOOKUP('Données projet'!$B$16,Paramètres!$A$1:$I$89,3,0)*VLOOKUP('Données projet'!$B$16,Paramètres!$A$1:$I$89,5,0)</f>
        <v>311.43839999999983</v>
      </c>
      <c r="FG138" s="14">
        <f t="shared" si="155"/>
        <v>73.569144360291361</v>
      </c>
      <c r="FH138" s="22">
        <f t="shared" si="130"/>
        <v>670.55480642750706</v>
      </c>
      <c r="FI138" s="60">
        <f t="shared" si="131"/>
        <v>955.25456357739426</v>
      </c>
      <c r="FJ138" s="60">
        <f ca="1">AVERAGE(OFFSET($FI$3,0,0,'Données projet'!$E$16+1,1))-AVERAGE(OFFSET($H$3,0,0,'Données projet'!$E$16+1,1))</f>
        <v>603.52431522262032</v>
      </c>
      <c r="FK138" s="60">
        <f t="shared" si="156"/>
        <v>313.56299786481338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>
        <f>EXP(-LN(2)/35)*FQ137+(1-EXP(-LN(2)/35))/(LN(2)/35)*FM138*FN138*VLOOKUP('Données projet'!$B$16,Paramètres!$A$1:$I$89,3,0)*0.475*44/12</f>
        <v>0</v>
      </c>
      <c r="FR138" s="23">
        <f>EXP(-LN(2)/25)*FR137+(1-EXP(-LN(2)/25))/(LN(2)/25)*Calculateur!FM138*Calculateur!FO138*VLOOKUP('Données projet'!$B$16,Paramètres!$A$1:$I$89,3,0)*0.475*44/12</f>
        <v>0</v>
      </c>
      <c r="FS138" s="23">
        <f>EXP(-LN(2)/2)*FS137+(1-EXP(-LN(2)/2))/(LN(2)/2)*FM138*FP138*VLOOKUP('Données projet'!$B$16,Paramètres!$A$1:$I$89,3,0)*0.475*44/12</f>
        <v>0</v>
      </c>
      <c r="FT138" s="24">
        <f t="shared" si="132"/>
        <v>0</v>
      </c>
      <c r="FU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>
        <f>FZ138*VLOOKUP('Données projet'!$B$17,Paramètres!$A$1:$I$89,3,0)*VLOOKUP('Données projet'!$B$17,Paramètres!$A$1:$I$89,5,0)</f>
        <v>0</v>
      </c>
      <c r="GB138" s="14" t="e">
        <f t="shared" si="157"/>
        <v>#NUM!</v>
      </c>
      <c r="GC138" s="22" t="e">
        <f t="shared" si="133"/>
        <v>#NUM!</v>
      </c>
      <c r="GD138" s="60" t="e">
        <f t="shared" si="134"/>
        <v>#NUM!</v>
      </c>
      <c r="GE138" s="60">
        <f ca="1">AVERAGE(OFFSET($GD$3,0,0,'Données projet'!$E$17+1,1))-AVERAGE(OFFSET($H$3,0,0,'Données projet'!$E$17+1,1))</f>
        <v>396.0878652679051</v>
      </c>
      <c r="GF138" s="60">
        <f t="shared" si="158"/>
        <v>327.26339199235406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>
        <f>EXP(-LN(2)/35)*GL137+(1-EXP(-LN(2)/35))/(LN(2)/35)*GH138*GI138*VLOOKUP('Données projet'!$B$17,Paramètres!$A$1:$I$89,3,0)*0.475*44/12</f>
        <v>0</v>
      </c>
      <c r="GM138" s="23">
        <f>EXP(-LN(2)/25)*GM137+(1-EXP(-LN(2)/25))/(LN(2)/25)*Calculateur!GH138*Calculateur!GJ138*VLOOKUP('Données projet'!$B$17,Paramètres!$A$1:$I$89,3,0)*0.475*44/12</f>
        <v>0</v>
      </c>
      <c r="GN138" s="23">
        <f>EXP(-LN(2)/2)*GN137+(1-EXP(-LN(2)/2))/(LN(2)/2)*GH138*GK138*VLOOKUP('Données projet'!$B$17,Paramètres!$A$1:$I$89,3,0)*0.475*44/12</f>
        <v>0</v>
      </c>
      <c r="GO138" s="23">
        <f t="shared" si="135"/>
        <v>0</v>
      </c>
      <c r="GP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-1.1368683772161603E-13</v>
      </c>
      <c r="GV138" s="18">
        <f>GU138*VLOOKUP('Données projet'!$B$18,Paramètres!$A$1:$I$89,3,0)*VLOOKUP('Données projet'!$B$18,Paramètres!$A$1:$I$89,5,0)</f>
        <v>-9.2222762759774927E-14</v>
      </c>
      <c r="GW138" s="14" t="e">
        <f t="shared" si="159"/>
        <v>#NUM!</v>
      </c>
      <c r="GX138" s="22" t="e">
        <f t="shared" si="136"/>
        <v>#NUM!</v>
      </c>
      <c r="GY138" s="60" t="e">
        <f t="shared" si="137"/>
        <v>#NUM!</v>
      </c>
      <c r="GZ138" s="60">
        <f ca="1">AVERAGE(OFFSET($GY$3,0,0,'Données projet'!$E$18+1,1))-AVERAGE(OFFSET($H$3,0,0,'Données projet'!$E$18+1,1))</f>
        <v>272.69564942740931</v>
      </c>
      <c r="HA138" s="60">
        <f t="shared" si="160"/>
        <v>316.57989180609252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>
        <f>EXP(-LN(2)/35)*HG137+(1-EXP(-LN(2)/35))/(LN(2)/35)*HC138*HD138*VLOOKUP('Données projet'!$B$18,Paramètres!$A$1:$I$89,3,0)*0.475*44/12</f>
        <v>0</v>
      </c>
      <c r="HH138" s="23">
        <f>EXP(-LN(2)/25)*HH137+(1-EXP(-LN(2)/25))/(LN(2)/25)*Calculateur!HC138*Calculateur!HE138*VLOOKUP('Données projet'!$B$18,Paramètres!$A$1:$I$89,3,0)*0.475*44/12</f>
        <v>0</v>
      </c>
      <c r="HI138" s="23">
        <f>EXP(-LN(2)/2)*HI137+(1-EXP(-LN(2)/2))/(LN(2)/2)*HC138*HF138*VLOOKUP('Données projet'!$B$18,Paramètres!$A$1:$I$89,3,0)*0.475*44/12</f>
        <v>0</v>
      </c>
      <c r="HJ138" s="24">
        <f t="shared" si="138"/>
        <v>0</v>
      </c>
    </row>
    <row r="139" spans="1:218" s="5" customFormat="1" x14ac:dyDescent="0.25">
      <c r="A139" s="11">
        <f t="shared" si="139"/>
        <v>136</v>
      </c>
      <c r="B139" s="75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8">
        <f t="shared" si="110"/>
        <v>183.33333333333334</v>
      </c>
      <c r="I139" s="7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3.8</v>
      </c>
      <c r="N139" s="14">
        <f>IF('Données projet'!$A$36&gt;35,N138+M139-V138,IF(A139&lt;'Données projet'!$A$36,$K$205^A139,IF(A139='Données projet'!$A$36,'Données projet'!$B$36,N138+M139-V138)))</f>
        <v>325.79999999999984</v>
      </c>
      <c r="O139" s="14">
        <f>N139*VLOOKUP('Données projet'!$B$9,Paramètres!$A$1:$I$89,3,0)*VLOOKUP('Données projet'!$B$9,Paramètres!$A$1:$I$89,5,0)</f>
        <v>294.78383999999983</v>
      </c>
      <c r="P139" s="14">
        <f t="shared" si="141"/>
        <v>70.081842199807596</v>
      </c>
      <c r="Q139" s="22">
        <f t="shared" si="108"/>
        <v>635.47439649799799</v>
      </c>
      <c r="R139" s="60">
        <f t="shared" si="109"/>
        <v>920.32392689288326</v>
      </c>
      <c r="S139" s="60">
        <f ca="1">AVERAGE(OFFSET($R$3,0,0,'Données projet'!$E$9+1,1))-AVERAGE(OFFSET($H$3,0,0,'Données projet'!$E$9+1,1))</f>
        <v>570.08763950759544</v>
      </c>
      <c r="T139" s="60">
        <f t="shared" si="142"/>
        <v>297.32483725004136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-5.6843418860808015E-14</v>
      </c>
      <c r="AJ139" s="14">
        <f>AI139*VLOOKUP('Données projet'!$B$10,Paramètres!$A$1:$I$89,3,0)*VLOOKUP('Données projet'!$B$10,Paramètres!$A$1:$I$89,5,0)</f>
        <v>-4.5224624045658861E-14</v>
      </c>
      <c r="AK139" s="14" t="e">
        <f t="shared" si="143"/>
        <v>#NUM!</v>
      </c>
      <c r="AL139" s="22" t="e">
        <f t="shared" si="112"/>
        <v>#NUM!</v>
      </c>
      <c r="AM139" s="60" t="e">
        <f t="shared" si="113"/>
        <v>#NUM!</v>
      </c>
      <c r="AN139" s="60">
        <f ca="1">AVERAGE(OFFSET($AM$3,0,0,'Données projet'!$E$10+1,1))-AVERAGE(OFFSET($H$3,0,0,'Données projet'!$E$10+1,1))</f>
        <v>394.49874384716014</v>
      </c>
      <c r="AO139" s="60">
        <f t="shared" si="144"/>
        <v>423.72519584013378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3.4106051316484809E-13</v>
      </c>
      <c r="BE139" s="14">
        <f>BD139*VLOOKUP('Données projet'!$B$11,Paramètres!$A$1:$I$89,3,0)*VLOOKUP('Données projet'!$B$11,Paramètres!$A$1:$I$89,5,0)</f>
        <v>2.9795046430081134E-13</v>
      </c>
      <c r="BF139" s="14">
        <f t="shared" si="145"/>
        <v>3.9419014464513778E-12</v>
      </c>
      <c r="BG139" s="22">
        <f t="shared" si="115"/>
        <v>7.384408744560063E-12</v>
      </c>
      <c r="BH139" s="60">
        <f t="shared" si="116"/>
        <v>284.84953039489261</v>
      </c>
      <c r="BI139" s="60">
        <f ca="1">AVERAGE(OFFSET($BH$3,0,0,'Données projet'!$E$11+1,1))-AVERAGE(OFFSET($H$3,0,0,'Données projet'!$E$11+1,1))</f>
        <v>363.28611056308665</v>
      </c>
      <c r="BJ139" s="60">
        <f t="shared" si="146"/>
        <v>389.43647559455974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5.6843418860808015E-14</v>
      </c>
      <c r="BZ139" s="14">
        <f>BY139*VLOOKUP('Données projet'!$B$12,Paramètres!$A$1:$I$89,3,0)*VLOOKUP('Données projet'!$B$12,Paramètres!$A$1:$I$89,5,0)</f>
        <v>5.4092197387944907E-14</v>
      </c>
      <c r="CA139" s="14">
        <f t="shared" si="147"/>
        <v>8.7287050538073676E-13</v>
      </c>
      <c r="CB139" s="22">
        <f t="shared" si="118"/>
        <v>1.6144600406554537E-12</v>
      </c>
      <c r="CC139" s="60">
        <f t="shared" si="119"/>
        <v>284.84953039488681</v>
      </c>
      <c r="CD139" s="60">
        <f ca="1">AVERAGE(OFFSET($CC$3,0,0,'Données projet'!$E$12+1,1))-AVERAGE(OFFSET($H$3,0,0,'Données projet'!$E$12+1,1))</f>
        <v>441.15969139782891</v>
      </c>
      <c r="CE139" s="60">
        <f t="shared" si="148"/>
        <v>315.06466790224783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-5.6843418860808015E-14</v>
      </c>
      <c r="CU139" s="18">
        <f>CT139*VLOOKUP('Données projet'!$B$13,Paramètres!$A$1:$I$89,3,0)*VLOOKUP('Données projet'!$B$13,Paramètres!$A$1:$I$89,5,0)</f>
        <v>-4.1677594708744434E-14</v>
      </c>
      <c r="CV139" s="14" t="e">
        <f t="shared" si="149"/>
        <v>#NUM!</v>
      </c>
      <c r="CW139" s="22" t="e">
        <f t="shared" si="121"/>
        <v>#NUM!</v>
      </c>
      <c r="CX139" s="60" t="e">
        <f t="shared" si="122"/>
        <v>#NUM!</v>
      </c>
      <c r="CY139" s="60">
        <f ca="1">AVERAGE(OFFSET($CX$3,0,0,'Données projet'!$E$13+1,1))-AVERAGE(OFFSET($H$3,0,0,'Données projet'!$E$13+1,1))</f>
        <v>368.35775920359396</v>
      </c>
      <c r="CZ139" s="60">
        <f t="shared" si="150"/>
        <v>395.5218438652638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1.1368683772161603E-13</v>
      </c>
      <c r="DP139" s="18">
        <f>DO139*VLOOKUP('Données projet'!$B$14,Paramètres!$A$1:$I$89,3,0)*VLOOKUP('Données projet'!$B$14,Paramètres!$A$1:$I$89,5,0)</f>
        <v>8.8675733422860506E-14</v>
      </c>
      <c r="DQ139" s="14">
        <f t="shared" si="151"/>
        <v>1.3509285393066301E-12</v>
      </c>
      <c r="DR139" s="22">
        <f t="shared" si="124"/>
        <v>2.5073107750038623E-12</v>
      </c>
      <c r="DS139" s="60">
        <f t="shared" si="125"/>
        <v>284.84953039488772</v>
      </c>
      <c r="DT139" s="60">
        <f ca="1">AVERAGE(OFFSET($DS$3,0,0,'Données projet'!$E$14+1,1))-AVERAGE(OFFSET($H$3,0,0,'Données projet'!$E$14+1,1))</f>
        <v>312.59632808777332</v>
      </c>
      <c r="DU139" s="60">
        <f t="shared" si="152"/>
        <v>302.59481222418219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0</v>
      </c>
      <c r="EE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-1.1368683772161603E-13</v>
      </c>
      <c r="EK139" s="18">
        <f>EJ139*VLOOKUP('Données projet'!$B$15,Paramètres!$A$1:$I$89,3,0)*VLOOKUP('Données projet'!$B$15,Paramètres!$A$1:$I$89,5,0)</f>
        <v>-9.7543306765146564E-14</v>
      </c>
      <c r="EL139" s="14" t="e">
        <f t="shared" si="153"/>
        <v>#NUM!</v>
      </c>
      <c r="EM139" s="22" t="e">
        <f t="shared" si="127"/>
        <v>#NUM!</v>
      </c>
      <c r="EN139" s="60" t="e">
        <f t="shared" si="128"/>
        <v>#NUM!</v>
      </c>
      <c r="EO139" s="60">
        <f ca="1">AVERAGE(OFFSET($EN$3,0,0,'Données projet'!$E$15+1,1))-AVERAGE(OFFSET($H$3,0,0,'Données projet'!$E$15+1,1))</f>
        <v>478.11504516179713</v>
      </c>
      <c r="EP139" s="60">
        <f t="shared" si="154"/>
        <v>249.93713224442419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0</v>
      </c>
      <c r="EW139" s="23">
        <f>EXP(-LN(2)/25)*EW138+(1-EXP(-LN(2)/25))/(LN(2)/25)*Calculateur!ER139*Calculateur!ET139*VLOOKUP('Données projet'!$B$15,Paramètres!$A$1:$I$89,3,0)*0.475*44/12</f>
        <v>0</v>
      </c>
      <c r="EX139" s="23">
        <f>EXP(-LN(2)/2)*EX138+(1-EXP(-LN(2)/2))/(LN(2)/2)*ER139*EU139*VLOOKUP('Données projet'!$B$15,Paramètres!$A$1:$I$89,3,0)*0.475*44/12</f>
        <v>0</v>
      </c>
      <c r="EY139" s="24">
        <f t="shared" si="129"/>
        <v>0</v>
      </c>
      <c r="EZ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3.8</v>
      </c>
      <c r="FE139" s="13">
        <f>IF('Données projet'!$A$218&gt;35,FE138+FD139-FM138,IF(A139&lt;'Données projet'!$A$218,$FB$205^A139,IF(A139='Données projet'!$A$218,'Données projet'!$B$218,FE138+FD139-FM138)))</f>
        <v>325.79999999999984</v>
      </c>
      <c r="FF139" s="18">
        <f>FE139*VLOOKUP('Données projet'!$B$16,Paramètres!$A$1:$I$89,3,0)*VLOOKUP('Données projet'!$B$16,Paramètres!$A$1:$I$89,5,0)</f>
        <v>315.11375999999984</v>
      </c>
      <c r="FG139" s="14">
        <f t="shared" si="155"/>
        <v>74.335767722617277</v>
      </c>
      <c r="FH139" s="22">
        <f t="shared" si="130"/>
        <v>678.29126078355807</v>
      </c>
      <c r="FI139" s="60">
        <f t="shared" si="131"/>
        <v>963.14079117844335</v>
      </c>
      <c r="FJ139" s="60">
        <f ca="1">AVERAGE(OFFSET($FI$3,0,0,'Données projet'!$E$16+1,1))-AVERAGE(OFFSET($H$3,0,0,'Données projet'!$E$16+1,1))</f>
        <v>603.52431522262032</v>
      </c>
      <c r="FK139" s="60">
        <f t="shared" si="156"/>
        <v>313.56299786481338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>
        <f>EXP(-LN(2)/35)*FQ138+(1-EXP(-LN(2)/35))/(LN(2)/35)*FM139*FN139*VLOOKUP('Données projet'!$B$16,Paramètres!$A$1:$I$89,3,0)*0.475*44/12</f>
        <v>0</v>
      </c>
      <c r="FR139" s="23">
        <f>EXP(-LN(2)/25)*FR138+(1-EXP(-LN(2)/25))/(LN(2)/25)*Calculateur!FM139*Calculateur!FO139*VLOOKUP('Données projet'!$B$16,Paramètres!$A$1:$I$89,3,0)*0.475*44/12</f>
        <v>0</v>
      </c>
      <c r="FS139" s="23">
        <f>EXP(-LN(2)/2)*FS138+(1-EXP(-LN(2)/2))/(LN(2)/2)*FM139*FP139*VLOOKUP('Données projet'!$B$16,Paramètres!$A$1:$I$89,3,0)*0.475*44/12</f>
        <v>0</v>
      </c>
      <c r="FT139" s="24">
        <f t="shared" si="132"/>
        <v>0</v>
      </c>
      <c r="FU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>
        <f>FZ139*VLOOKUP('Données projet'!$B$17,Paramètres!$A$1:$I$89,3,0)*VLOOKUP('Données projet'!$B$17,Paramètres!$A$1:$I$89,5,0)</f>
        <v>0</v>
      </c>
      <c r="GB139" s="14" t="e">
        <f t="shared" si="157"/>
        <v>#NUM!</v>
      </c>
      <c r="GC139" s="22" t="e">
        <f t="shared" si="133"/>
        <v>#NUM!</v>
      </c>
      <c r="GD139" s="60" t="e">
        <f t="shared" si="134"/>
        <v>#NUM!</v>
      </c>
      <c r="GE139" s="60">
        <f ca="1">AVERAGE(OFFSET($GD$3,0,0,'Données projet'!$E$17+1,1))-AVERAGE(OFFSET($H$3,0,0,'Données projet'!$E$17+1,1))</f>
        <v>396.0878652679051</v>
      </c>
      <c r="GF139" s="60">
        <f t="shared" si="158"/>
        <v>327.26339199235406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>
        <f>EXP(-LN(2)/35)*GL138+(1-EXP(-LN(2)/35))/(LN(2)/35)*GH139*GI139*VLOOKUP('Données projet'!$B$17,Paramètres!$A$1:$I$89,3,0)*0.475*44/12</f>
        <v>0</v>
      </c>
      <c r="GM139" s="23">
        <f>EXP(-LN(2)/25)*GM138+(1-EXP(-LN(2)/25))/(LN(2)/25)*Calculateur!GH139*Calculateur!GJ139*VLOOKUP('Données projet'!$B$17,Paramètres!$A$1:$I$89,3,0)*0.475*44/12</f>
        <v>0</v>
      </c>
      <c r="GN139" s="23">
        <f>EXP(-LN(2)/2)*GN138+(1-EXP(-LN(2)/2))/(LN(2)/2)*GH139*GK139*VLOOKUP('Données projet'!$B$17,Paramètres!$A$1:$I$89,3,0)*0.475*44/12</f>
        <v>0</v>
      </c>
      <c r="GO139" s="23">
        <f t="shared" si="135"/>
        <v>0</v>
      </c>
      <c r="GP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-1.1368683772161603E-13</v>
      </c>
      <c r="GV139" s="18">
        <f>GU139*VLOOKUP('Données projet'!$B$18,Paramètres!$A$1:$I$89,3,0)*VLOOKUP('Données projet'!$B$18,Paramètres!$A$1:$I$89,5,0)</f>
        <v>-9.2222762759774927E-14</v>
      </c>
      <c r="GW139" s="14" t="e">
        <f t="shared" si="159"/>
        <v>#NUM!</v>
      </c>
      <c r="GX139" s="22" t="e">
        <f t="shared" si="136"/>
        <v>#NUM!</v>
      </c>
      <c r="GY139" s="60" t="e">
        <f t="shared" si="137"/>
        <v>#NUM!</v>
      </c>
      <c r="GZ139" s="60">
        <f ca="1">AVERAGE(OFFSET($GY$3,0,0,'Données projet'!$E$18+1,1))-AVERAGE(OFFSET($H$3,0,0,'Données projet'!$E$18+1,1))</f>
        <v>272.69564942740931</v>
      </c>
      <c r="HA139" s="60">
        <f t="shared" si="160"/>
        <v>316.57989180609252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>
        <f>EXP(-LN(2)/35)*HG138+(1-EXP(-LN(2)/35))/(LN(2)/35)*HC139*HD139*VLOOKUP('Données projet'!$B$18,Paramètres!$A$1:$I$89,3,0)*0.475*44/12</f>
        <v>0</v>
      </c>
      <c r="HH139" s="23">
        <f>EXP(-LN(2)/25)*HH138+(1-EXP(-LN(2)/25))/(LN(2)/25)*Calculateur!HC139*Calculateur!HE139*VLOOKUP('Données projet'!$B$18,Paramètres!$A$1:$I$89,3,0)*0.475*44/12</f>
        <v>0</v>
      </c>
      <c r="HI139" s="23">
        <f>EXP(-LN(2)/2)*HI138+(1-EXP(-LN(2)/2))/(LN(2)/2)*HC139*HF139*VLOOKUP('Données projet'!$B$18,Paramètres!$A$1:$I$89,3,0)*0.475*44/12</f>
        <v>0</v>
      </c>
      <c r="HJ139" s="24">
        <f t="shared" si="138"/>
        <v>0</v>
      </c>
    </row>
    <row r="140" spans="1:218" s="5" customFormat="1" x14ac:dyDescent="0.25">
      <c r="A140" s="11">
        <f t="shared" si="139"/>
        <v>137</v>
      </c>
      <c r="B140" s="75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8">
        <f t="shared" si="110"/>
        <v>183.33333333333334</v>
      </c>
      <c r="I140" s="7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3.8</v>
      </c>
      <c r="N140" s="14">
        <f>IF('Données projet'!$A$36&gt;35,N139+M140-V139,IF(A140&lt;'Données projet'!$A$36,$K$205^A140,IF(A140='Données projet'!$A$36,'Données projet'!$B$36,N139+M140-V139)))</f>
        <v>329.59999999999985</v>
      </c>
      <c r="O140" s="14">
        <f>N140*VLOOKUP('Données projet'!$B$9,Paramètres!$A$1:$I$89,3,0)*VLOOKUP('Données projet'!$B$9,Paramètres!$A$1:$I$89,5,0)</f>
        <v>298.22207999999983</v>
      </c>
      <c r="P140" s="14">
        <f t="shared" si="141"/>
        <v>70.803614311231783</v>
      </c>
      <c r="Q140" s="22">
        <f t="shared" si="108"/>
        <v>642.71975092539503</v>
      </c>
      <c r="R140" s="60">
        <f t="shared" si="109"/>
        <v>927.71645633432036</v>
      </c>
      <c r="S140" s="60">
        <f ca="1">AVERAGE(OFFSET($R$3,0,0,'Données projet'!$E$9+1,1))-AVERAGE(OFFSET($H$3,0,0,'Données projet'!$E$9+1,1))</f>
        <v>570.08763950759544</v>
      </c>
      <c r="T140" s="60">
        <f t="shared" si="142"/>
        <v>297.32483725004136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-5.6843418860808015E-14</v>
      </c>
      <c r="AJ140" s="14">
        <f>AI140*VLOOKUP('Données projet'!$B$10,Paramètres!$A$1:$I$89,3,0)*VLOOKUP('Données projet'!$B$10,Paramètres!$A$1:$I$89,5,0)</f>
        <v>-4.5224624045658861E-14</v>
      </c>
      <c r="AK140" s="14" t="e">
        <f t="shared" si="143"/>
        <v>#NUM!</v>
      </c>
      <c r="AL140" s="22" t="e">
        <f t="shared" si="112"/>
        <v>#NUM!</v>
      </c>
      <c r="AM140" s="60" t="e">
        <f t="shared" si="113"/>
        <v>#NUM!</v>
      </c>
      <c r="AN140" s="60">
        <f ca="1">AVERAGE(OFFSET($AM$3,0,0,'Données projet'!$E$10+1,1))-AVERAGE(OFFSET($H$3,0,0,'Données projet'!$E$10+1,1))</f>
        <v>394.49874384716014</v>
      </c>
      <c r="AO140" s="60">
        <f t="shared" si="144"/>
        <v>423.72519584013378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3.4106051316484809E-13</v>
      </c>
      <c r="BE140" s="14">
        <f>BD140*VLOOKUP('Données projet'!$B$11,Paramètres!$A$1:$I$89,3,0)*VLOOKUP('Données projet'!$B$11,Paramètres!$A$1:$I$89,5,0)</f>
        <v>2.9795046430081134E-13</v>
      </c>
      <c r="BF140" s="14">
        <f t="shared" si="145"/>
        <v>3.9419014464513778E-12</v>
      </c>
      <c r="BG140" s="22">
        <f t="shared" si="115"/>
        <v>7.384408744560063E-12</v>
      </c>
      <c r="BH140" s="60">
        <f t="shared" si="116"/>
        <v>284.99670540893277</v>
      </c>
      <c r="BI140" s="60">
        <f ca="1">AVERAGE(OFFSET($BH$3,0,0,'Données projet'!$E$11+1,1))-AVERAGE(OFFSET($H$3,0,0,'Données projet'!$E$11+1,1))</f>
        <v>363.28611056308665</v>
      </c>
      <c r="BJ140" s="60">
        <f t="shared" si="146"/>
        <v>389.43647559455974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5.6843418860808015E-14</v>
      </c>
      <c r="BZ140" s="14">
        <f>BY140*VLOOKUP('Données projet'!$B$12,Paramètres!$A$1:$I$89,3,0)*VLOOKUP('Données projet'!$B$12,Paramètres!$A$1:$I$89,5,0)</f>
        <v>5.4092197387944907E-14</v>
      </c>
      <c r="CA140" s="14">
        <f t="shared" si="147"/>
        <v>8.7287050538073676E-13</v>
      </c>
      <c r="CB140" s="22">
        <f t="shared" si="118"/>
        <v>1.6144600406554537E-12</v>
      </c>
      <c r="CC140" s="60">
        <f t="shared" si="119"/>
        <v>284.99670540892697</v>
      </c>
      <c r="CD140" s="60">
        <f ca="1">AVERAGE(OFFSET($CC$3,0,0,'Données projet'!$E$12+1,1))-AVERAGE(OFFSET($H$3,0,0,'Données projet'!$E$12+1,1))</f>
        <v>441.15969139782891</v>
      </c>
      <c r="CE140" s="60">
        <f t="shared" si="148"/>
        <v>315.06466790224783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-5.6843418860808015E-14</v>
      </c>
      <c r="CU140" s="18">
        <f>CT140*VLOOKUP('Données projet'!$B$13,Paramètres!$A$1:$I$89,3,0)*VLOOKUP('Données projet'!$B$13,Paramètres!$A$1:$I$89,5,0)</f>
        <v>-4.1677594708744434E-14</v>
      </c>
      <c r="CV140" s="14" t="e">
        <f t="shared" si="149"/>
        <v>#NUM!</v>
      </c>
      <c r="CW140" s="22" t="e">
        <f t="shared" si="121"/>
        <v>#NUM!</v>
      </c>
      <c r="CX140" s="60" t="e">
        <f t="shared" si="122"/>
        <v>#NUM!</v>
      </c>
      <c r="CY140" s="60">
        <f ca="1">AVERAGE(OFFSET($CX$3,0,0,'Données projet'!$E$13+1,1))-AVERAGE(OFFSET($H$3,0,0,'Données projet'!$E$13+1,1))</f>
        <v>368.35775920359396</v>
      </c>
      <c r="CZ140" s="60">
        <f t="shared" si="150"/>
        <v>395.5218438652638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1.1368683772161603E-13</v>
      </c>
      <c r="DP140" s="18">
        <f>DO140*VLOOKUP('Données projet'!$B$14,Paramètres!$A$1:$I$89,3,0)*VLOOKUP('Données projet'!$B$14,Paramètres!$A$1:$I$89,5,0)</f>
        <v>8.8675733422860506E-14</v>
      </c>
      <c r="DQ140" s="14">
        <f t="shared" si="151"/>
        <v>1.3509285393066301E-12</v>
      </c>
      <c r="DR140" s="22">
        <f t="shared" si="124"/>
        <v>2.5073107750038623E-12</v>
      </c>
      <c r="DS140" s="60">
        <f t="shared" si="125"/>
        <v>284.99670540892788</v>
      </c>
      <c r="DT140" s="60">
        <f ca="1">AVERAGE(OFFSET($DS$3,0,0,'Données projet'!$E$14+1,1))-AVERAGE(OFFSET($H$3,0,0,'Données projet'!$E$14+1,1))</f>
        <v>312.59632808777332</v>
      </c>
      <c r="DU140" s="60">
        <f t="shared" si="152"/>
        <v>302.59481222418219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0</v>
      </c>
      <c r="EE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-1.1368683772161603E-13</v>
      </c>
      <c r="EK140" s="18">
        <f>EJ140*VLOOKUP('Données projet'!$B$15,Paramètres!$A$1:$I$89,3,0)*VLOOKUP('Données projet'!$B$15,Paramètres!$A$1:$I$89,5,0)</f>
        <v>-9.7543306765146564E-14</v>
      </c>
      <c r="EL140" s="14" t="e">
        <f t="shared" si="153"/>
        <v>#NUM!</v>
      </c>
      <c r="EM140" s="22" t="e">
        <f t="shared" si="127"/>
        <v>#NUM!</v>
      </c>
      <c r="EN140" s="60" t="e">
        <f t="shared" si="128"/>
        <v>#NUM!</v>
      </c>
      <c r="EO140" s="60">
        <f ca="1">AVERAGE(OFFSET($EN$3,0,0,'Données projet'!$E$15+1,1))-AVERAGE(OFFSET($H$3,0,0,'Données projet'!$E$15+1,1))</f>
        <v>478.11504516179713</v>
      </c>
      <c r="EP140" s="60">
        <f t="shared" si="154"/>
        <v>249.93713224442419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0</v>
      </c>
      <c r="EW140" s="23">
        <f>EXP(-LN(2)/25)*EW139+(1-EXP(-LN(2)/25))/(LN(2)/25)*Calculateur!ER140*Calculateur!ET140*VLOOKUP('Données projet'!$B$15,Paramètres!$A$1:$I$89,3,0)*0.475*44/12</f>
        <v>0</v>
      </c>
      <c r="EX140" s="23">
        <f>EXP(-LN(2)/2)*EX139+(1-EXP(-LN(2)/2))/(LN(2)/2)*ER140*EU140*VLOOKUP('Données projet'!$B$15,Paramètres!$A$1:$I$89,3,0)*0.475*44/12</f>
        <v>0</v>
      </c>
      <c r="EY140" s="24">
        <f t="shared" si="129"/>
        <v>0</v>
      </c>
      <c r="EZ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3.8</v>
      </c>
      <c r="FE140" s="13">
        <f>IF('Données projet'!$A$218&gt;35,FE139+FD140-FM139,IF(A140&lt;'Données projet'!$A$218,$FB$205^A140,IF(A140='Données projet'!$A$218,'Données projet'!$B$218,FE139+FD140-FM139)))</f>
        <v>329.59999999999985</v>
      </c>
      <c r="FF140" s="18">
        <f>FE140*VLOOKUP('Données projet'!$B$16,Paramètres!$A$1:$I$89,3,0)*VLOOKUP('Données projet'!$B$16,Paramètres!$A$1:$I$89,5,0)</f>
        <v>318.78911999999991</v>
      </c>
      <c r="FG140" s="14">
        <f t="shared" si="155"/>
        <v>75.101350965570944</v>
      </c>
      <c r="FH140" s="22">
        <f t="shared" si="130"/>
        <v>686.02590359836915</v>
      </c>
      <c r="FI140" s="60">
        <f t="shared" si="131"/>
        <v>971.02260900729448</v>
      </c>
      <c r="FJ140" s="60">
        <f ca="1">AVERAGE(OFFSET($FI$3,0,0,'Données projet'!$E$16+1,1))-AVERAGE(OFFSET($H$3,0,0,'Données projet'!$E$16+1,1))</f>
        <v>603.52431522262032</v>
      </c>
      <c r="FK140" s="60">
        <f t="shared" si="156"/>
        <v>313.56299786481338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>
        <f>EXP(-LN(2)/35)*FQ139+(1-EXP(-LN(2)/35))/(LN(2)/35)*FM140*FN140*VLOOKUP('Données projet'!$B$16,Paramètres!$A$1:$I$89,3,0)*0.475*44/12</f>
        <v>0</v>
      </c>
      <c r="FR140" s="23">
        <f>EXP(-LN(2)/25)*FR139+(1-EXP(-LN(2)/25))/(LN(2)/25)*Calculateur!FM140*Calculateur!FO140*VLOOKUP('Données projet'!$B$16,Paramètres!$A$1:$I$89,3,0)*0.475*44/12</f>
        <v>0</v>
      </c>
      <c r="FS140" s="23">
        <f>EXP(-LN(2)/2)*FS139+(1-EXP(-LN(2)/2))/(LN(2)/2)*FM140*FP140*VLOOKUP('Données projet'!$B$16,Paramètres!$A$1:$I$89,3,0)*0.475*44/12</f>
        <v>0</v>
      </c>
      <c r="FT140" s="24">
        <f t="shared" si="132"/>
        <v>0</v>
      </c>
      <c r="FU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>
        <f>FZ140*VLOOKUP('Données projet'!$B$17,Paramètres!$A$1:$I$89,3,0)*VLOOKUP('Données projet'!$B$17,Paramètres!$A$1:$I$89,5,0)</f>
        <v>0</v>
      </c>
      <c r="GB140" s="14" t="e">
        <f t="shared" si="157"/>
        <v>#NUM!</v>
      </c>
      <c r="GC140" s="22" t="e">
        <f t="shared" si="133"/>
        <v>#NUM!</v>
      </c>
      <c r="GD140" s="60" t="e">
        <f t="shared" si="134"/>
        <v>#NUM!</v>
      </c>
      <c r="GE140" s="60">
        <f ca="1">AVERAGE(OFFSET($GD$3,0,0,'Données projet'!$E$17+1,1))-AVERAGE(OFFSET($H$3,0,0,'Données projet'!$E$17+1,1))</f>
        <v>396.0878652679051</v>
      </c>
      <c r="GF140" s="60">
        <f t="shared" si="158"/>
        <v>327.26339199235406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>
        <f>EXP(-LN(2)/35)*GL139+(1-EXP(-LN(2)/35))/(LN(2)/35)*GH140*GI140*VLOOKUP('Données projet'!$B$17,Paramètres!$A$1:$I$89,3,0)*0.475*44/12</f>
        <v>0</v>
      </c>
      <c r="GM140" s="23">
        <f>EXP(-LN(2)/25)*GM139+(1-EXP(-LN(2)/25))/(LN(2)/25)*Calculateur!GH140*Calculateur!GJ140*VLOOKUP('Données projet'!$B$17,Paramètres!$A$1:$I$89,3,0)*0.475*44/12</f>
        <v>0</v>
      </c>
      <c r="GN140" s="23">
        <f>EXP(-LN(2)/2)*GN139+(1-EXP(-LN(2)/2))/(LN(2)/2)*GH140*GK140*VLOOKUP('Données projet'!$B$17,Paramètres!$A$1:$I$89,3,0)*0.475*44/12</f>
        <v>0</v>
      </c>
      <c r="GO140" s="23">
        <f t="shared" si="135"/>
        <v>0</v>
      </c>
      <c r="GP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-1.1368683772161603E-13</v>
      </c>
      <c r="GV140" s="18">
        <f>GU140*VLOOKUP('Données projet'!$B$18,Paramètres!$A$1:$I$89,3,0)*VLOOKUP('Données projet'!$B$18,Paramètres!$A$1:$I$89,5,0)</f>
        <v>-9.2222762759774927E-14</v>
      </c>
      <c r="GW140" s="14" t="e">
        <f t="shared" si="159"/>
        <v>#NUM!</v>
      </c>
      <c r="GX140" s="22" t="e">
        <f t="shared" si="136"/>
        <v>#NUM!</v>
      </c>
      <c r="GY140" s="60" t="e">
        <f t="shared" si="137"/>
        <v>#NUM!</v>
      </c>
      <c r="GZ140" s="60">
        <f ca="1">AVERAGE(OFFSET($GY$3,0,0,'Données projet'!$E$18+1,1))-AVERAGE(OFFSET($H$3,0,0,'Données projet'!$E$18+1,1))</f>
        <v>272.69564942740931</v>
      </c>
      <c r="HA140" s="60">
        <f t="shared" si="160"/>
        <v>316.57989180609252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>
        <f>EXP(-LN(2)/35)*HG139+(1-EXP(-LN(2)/35))/(LN(2)/35)*HC140*HD140*VLOOKUP('Données projet'!$B$18,Paramètres!$A$1:$I$89,3,0)*0.475*44/12</f>
        <v>0</v>
      </c>
      <c r="HH140" s="23">
        <f>EXP(-LN(2)/25)*HH139+(1-EXP(-LN(2)/25))/(LN(2)/25)*Calculateur!HC140*Calculateur!HE140*VLOOKUP('Données projet'!$B$18,Paramètres!$A$1:$I$89,3,0)*0.475*44/12</f>
        <v>0</v>
      </c>
      <c r="HI140" s="23">
        <f>EXP(-LN(2)/2)*HI139+(1-EXP(-LN(2)/2))/(LN(2)/2)*HC140*HF140*VLOOKUP('Données projet'!$B$18,Paramètres!$A$1:$I$89,3,0)*0.475*44/12</f>
        <v>0</v>
      </c>
      <c r="HJ140" s="24">
        <f t="shared" si="138"/>
        <v>0</v>
      </c>
    </row>
    <row r="141" spans="1:218" s="5" customFormat="1" x14ac:dyDescent="0.25">
      <c r="A141" s="11">
        <f t="shared" si="139"/>
        <v>138</v>
      </c>
      <c r="B141" s="75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8">
        <f t="shared" si="110"/>
        <v>183.33333333333334</v>
      </c>
      <c r="I141" s="7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3.8</v>
      </c>
      <c r="N141" s="14">
        <f>IF('Données projet'!$A$36&gt;35,N140+M141-V140,IF(A141&lt;'Données projet'!$A$36,$K$205^A141,IF(A141='Données projet'!$A$36,'Données projet'!$B$36,N140+M141-V140)))</f>
        <v>333.39999999999986</v>
      </c>
      <c r="O141" s="14">
        <f>N141*VLOOKUP('Données projet'!$B$9,Paramètres!$A$1:$I$89,3,0)*VLOOKUP('Données projet'!$B$9,Paramètres!$A$1:$I$89,5,0)</f>
        <v>301.66031999999984</v>
      </c>
      <c r="P141" s="14">
        <f t="shared" si="141"/>
        <v>71.524418438455001</v>
      </c>
      <c r="Q141" s="22">
        <f t="shared" si="108"/>
        <v>649.96341944697554</v>
      </c>
      <c r="R141" s="60">
        <f t="shared" si="109"/>
        <v>935.10474671248153</v>
      </c>
      <c r="S141" s="60">
        <f ca="1">AVERAGE(OFFSET($R$3,0,0,'Données projet'!$E$9+1,1))-AVERAGE(OFFSET($H$3,0,0,'Données projet'!$E$9+1,1))</f>
        <v>570.08763950759544</v>
      </c>
      <c r="T141" s="60">
        <f t="shared" si="142"/>
        <v>297.32483725004136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-5.6843418860808015E-14</v>
      </c>
      <c r="AJ141" s="14">
        <f>AI141*VLOOKUP('Données projet'!$B$10,Paramètres!$A$1:$I$89,3,0)*VLOOKUP('Données projet'!$B$10,Paramètres!$A$1:$I$89,5,0)</f>
        <v>-4.5224624045658861E-14</v>
      </c>
      <c r="AK141" s="14" t="e">
        <f t="shared" si="143"/>
        <v>#NUM!</v>
      </c>
      <c r="AL141" s="22" t="e">
        <f t="shared" si="112"/>
        <v>#NUM!</v>
      </c>
      <c r="AM141" s="60" t="e">
        <f t="shared" si="113"/>
        <v>#NUM!</v>
      </c>
      <c r="AN141" s="60">
        <f ca="1">AVERAGE(OFFSET($AM$3,0,0,'Données projet'!$E$10+1,1))-AVERAGE(OFFSET($H$3,0,0,'Données projet'!$E$10+1,1))</f>
        <v>394.49874384716014</v>
      </c>
      <c r="AO141" s="60">
        <f t="shared" si="144"/>
        <v>423.72519584013378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3.4106051316484809E-13</v>
      </c>
      <c r="BE141" s="14">
        <f>BD141*VLOOKUP('Données projet'!$B$11,Paramètres!$A$1:$I$89,3,0)*VLOOKUP('Données projet'!$B$11,Paramètres!$A$1:$I$89,5,0)</f>
        <v>2.9795046430081134E-13</v>
      </c>
      <c r="BF141" s="14">
        <f t="shared" si="145"/>
        <v>3.9419014464513778E-12</v>
      </c>
      <c r="BG141" s="22">
        <f t="shared" si="115"/>
        <v>7.384408744560063E-12</v>
      </c>
      <c r="BH141" s="60">
        <f t="shared" si="116"/>
        <v>285.14132726551333</v>
      </c>
      <c r="BI141" s="60">
        <f ca="1">AVERAGE(OFFSET($BH$3,0,0,'Données projet'!$E$11+1,1))-AVERAGE(OFFSET($H$3,0,0,'Données projet'!$E$11+1,1))</f>
        <v>363.28611056308665</v>
      </c>
      <c r="BJ141" s="60">
        <f t="shared" si="146"/>
        <v>389.43647559455974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5.6843418860808015E-14</v>
      </c>
      <c r="BZ141" s="14">
        <f>BY141*VLOOKUP('Données projet'!$B$12,Paramètres!$A$1:$I$89,3,0)*VLOOKUP('Données projet'!$B$12,Paramètres!$A$1:$I$89,5,0)</f>
        <v>5.4092197387944907E-14</v>
      </c>
      <c r="CA141" s="14">
        <f t="shared" si="147"/>
        <v>8.7287050538073676E-13</v>
      </c>
      <c r="CB141" s="22">
        <f t="shared" si="118"/>
        <v>1.6144600406554537E-12</v>
      </c>
      <c r="CC141" s="60">
        <f t="shared" si="119"/>
        <v>285.14132726550753</v>
      </c>
      <c r="CD141" s="60">
        <f ca="1">AVERAGE(OFFSET($CC$3,0,0,'Données projet'!$E$12+1,1))-AVERAGE(OFFSET($H$3,0,0,'Données projet'!$E$12+1,1))</f>
        <v>441.15969139782891</v>
      </c>
      <c r="CE141" s="60">
        <f t="shared" si="148"/>
        <v>315.06466790224783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-5.6843418860808015E-14</v>
      </c>
      <c r="CU141" s="18">
        <f>CT141*VLOOKUP('Données projet'!$B$13,Paramètres!$A$1:$I$89,3,0)*VLOOKUP('Données projet'!$B$13,Paramètres!$A$1:$I$89,5,0)</f>
        <v>-4.1677594708744434E-14</v>
      </c>
      <c r="CV141" s="14" t="e">
        <f t="shared" si="149"/>
        <v>#NUM!</v>
      </c>
      <c r="CW141" s="22" t="e">
        <f t="shared" si="121"/>
        <v>#NUM!</v>
      </c>
      <c r="CX141" s="60" t="e">
        <f t="shared" si="122"/>
        <v>#NUM!</v>
      </c>
      <c r="CY141" s="60">
        <f ca="1">AVERAGE(OFFSET($CX$3,0,0,'Données projet'!$E$13+1,1))-AVERAGE(OFFSET($H$3,0,0,'Données projet'!$E$13+1,1))</f>
        <v>368.35775920359396</v>
      </c>
      <c r="CZ141" s="60">
        <f t="shared" si="150"/>
        <v>395.5218438652638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1.1368683772161603E-13</v>
      </c>
      <c r="DP141" s="18">
        <f>DO141*VLOOKUP('Données projet'!$B$14,Paramètres!$A$1:$I$89,3,0)*VLOOKUP('Données projet'!$B$14,Paramètres!$A$1:$I$89,5,0)</f>
        <v>8.8675733422860506E-14</v>
      </c>
      <c r="DQ141" s="14">
        <f t="shared" si="151"/>
        <v>1.3509285393066301E-12</v>
      </c>
      <c r="DR141" s="22">
        <f t="shared" si="124"/>
        <v>2.5073107750038623E-12</v>
      </c>
      <c r="DS141" s="60">
        <f t="shared" si="125"/>
        <v>285.14132726550844</v>
      </c>
      <c r="DT141" s="60">
        <f ca="1">AVERAGE(OFFSET($DS$3,0,0,'Données projet'!$E$14+1,1))-AVERAGE(OFFSET($H$3,0,0,'Données projet'!$E$14+1,1))</f>
        <v>312.59632808777332</v>
      </c>
      <c r="DU141" s="60">
        <f t="shared" si="152"/>
        <v>302.59481222418219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0</v>
      </c>
      <c r="EE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-1.1368683772161603E-13</v>
      </c>
      <c r="EK141" s="18">
        <f>EJ141*VLOOKUP('Données projet'!$B$15,Paramètres!$A$1:$I$89,3,0)*VLOOKUP('Données projet'!$B$15,Paramètres!$A$1:$I$89,5,0)</f>
        <v>-9.7543306765146564E-14</v>
      </c>
      <c r="EL141" s="14" t="e">
        <f t="shared" si="153"/>
        <v>#NUM!</v>
      </c>
      <c r="EM141" s="22" t="e">
        <f t="shared" si="127"/>
        <v>#NUM!</v>
      </c>
      <c r="EN141" s="60" t="e">
        <f t="shared" si="128"/>
        <v>#NUM!</v>
      </c>
      <c r="EO141" s="60">
        <f ca="1">AVERAGE(OFFSET($EN$3,0,0,'Données projet'!$E$15+1,1))-AVERAGE(OFFSET($H$3,0,0,'Données projet'!$E$15+1,1))</f>
        <v>478.11504516179713</v>
      </c>
      <c r="EP141" s="60">
        <f t="shared" si="154"/>
        <v>249.93713224442419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0</v>
      </c>
      <c r="EW141" s="23">
        <f>EXP(-LN(2)/25)*EW140+(1-EXP(-LN(2)/25))/(LN(2)/25)*Calculateur!ER141*Calculateur!ET141*VLOOKUP('Données projet'!$B$15,Paramètres!$A$1:$I$89,3,0)*0.475*44/12</f>
        <v>0</v>
      </c>
      <c r="EX141" s="23">
        <f>EXP(-LN(2)/2)*EX140+(1-EXP(-LN(2)/2))/(LN(2)/2)*ER141*EU141*VLOOKUP('Données projet'!$B$15,Paramètres!$A$1:$I$89,3,0)*0.475*44/12</f>
        <v>0</v>
      </c>
      <c r="EY141" s="24">
        <f t="shared" si="129"/>
        <v>0</v>
      </c>
      <c r="EZ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3.8</v>
      </c>
      <c r="FE141" s="13">
        <f>IF('Données projet'!$A$218&gt;35,FE140+FD141-FM140,IF(A141&lt;'Données projet'!$A$218,$FB$205^A141,IF(A141='Données projet'!$A$218,'Données projet'!$B$218,FE140+FD141-FM140)))</f>
        <v>333.39999999999986</v>
      </c>
      <c r="FF141" s="18">
        <f>FE141*VLOOKUP('Données projet'!$B$16,Paramètres!$A$1:$I$89,3,0)*VLOOKUP('Données projet'!$B$16,Paramètres!$A$1:$I$89,5,0)</f>
        <v>322.46447999999987</v>
      </c>
      <c r="FG141" s="14">
        <f t="shared" si="155"/>
        <v>75.865907468266684</v>
      </c>
      <c r="FH141" s="22">
        <f t="shared" si="130"/>
        <v>693.7587581738976</v>
      </c>
      <c r="FI141" s="60">
        <f t="shared" si="131"/>
        <v>978.90008543940348</v>
      </c>
      <c r="FJ141" s="60">
        <f ca="1">AVERAGE(OFFSET($FI$3,0,0,'Données projet'!$E$16+1,1))-AVERAGE(OFFSET($H$3,0,0,'Données projet'!$E$16+1,1))</f>
        <v>603.52431522262032</v>
      </c>
      <c r="FK141" s="60">
        <f t="shared" si="156"/>
        <v>313.56299786481338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>
        <f>EXP(-LN(2)/35)*FQ140+(1-EXP(-LN(2)/35))/(LN(2)/35)*FM141*FN141*VLOOKUP('Données projet'!$B$16,Paramètres!$A$1:$I$89,3,0)*0.475*44/12</f>
        <v>0</v>
      </c>
      <c r="FR141" s="23">
        <f>EXP(-LN(2)/25)*FR140+(1-EXP(-LN(2)/25))/(LN(2)/25)*Calculateur!FM141*Calculateur!FO141*VLOOKUP('Données projet'!$B$16,Paramètres!$A$1:$I$89,3,0)*0.475*44/12</f>
        <v>0</v>
      </c>
      <c r="FS141" s="23">
        <f>EXP(-LN(2)/2)*FS140+(1-EXP(-LN(2)/2))/(LN(2)/2)*FM141*FP141*VLOOKUP('Données projet'!$B$16,Paramètres!$A$1:$I$89,3,0)*0.475*44/12</f>
        <v>0</v>
      </c>
      <c r="FT141" s="24">
        <f t="shared" si="132"/>
        <v>0</v>
      </c>
      <c r="FU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>
        <f>FZ141*VLOOKUP('Données projet'!$B$17,Paramètres!$A$1:$I$89,3,0)*VLOOKUP('Données projet'!$B$17,Paramètres!$A$1:$I$89,5,0)</f>
        <v>0</v>
      </c>
      <c r="GB141" s="14" t="e">
        <f t="shared" si="157"/>
        <v>#NUM!</v>
      </c>
      <c r="GC141" s="22" t="e">
        <f t="shared" si="133"/>
        <v>#NUM!</v>
      </c>
      <c r="GD141" s="60" t="e">
        <f t="shared" si="134"/>
        <v>#NUM!</v>
      </c>
      <c r="GE141" s="60">
        <f ca="1">AVERAGE(OFFSET($GD$3,0,0,'Données projet'!$E$17+1,1))-AVERAGE(OFFSET($H$3,0,0,'Données projet'!$E$17+1,1))</f>
        <v>396.0878652679051</v>
      </c>
      <c r="GF141" s="60">
        <f t="shared" si="158"/>
        <v>327.26339199235406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>
        <f>EXP(-LN(2)/35)*GL140+(1-EXP(-LN(2)/35))/(LN(2)/35)*GH141*GI141*VLOOKUP('Données projet'!$B$17,Paramètres!$A$1:$I$89,3,0)*0.475*44/12</f>
        <v>0</v>
      </c>
      <c r="GM141" s="23">
        <f>EXP(-LN(2)/25)*GM140+(1-EXP(-LN(2)/25))/(LN(2)/25)*Calculateur!GH141*Calculateur!GJ141*VLOOKUP('Données projet'!$B$17,Paramètres!$A$1:$I$89,3,0)*0.475*44/12</f>
        <v>0</v>
      </c>
      <c r="GN141" s="23">
        <f>EXP(-LN(2)/2)*GN140+(1-EXP(-LN(2)/2))/(LN(2)/2)*GH141*GK141*VLOOKUP('Données projet'!$B$17,Paramètres!$A$1:$I$89,3,0)*0.475*44/12</f>
        <v>0</v>
      </c>
      <c r="GO141" s="23">
        <f t="shared" si="135"/>
        <v>0</v>
      </c>
      <c r="GP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-1.1368683772161603E-13</v>
      </c>
      <c r="GV141" s="18">
        <f>GU141*VLOOKUP('Données projet'!$B$18,Paramètres!$A$1:$I$89,3,0)*VLOOKUP('Données projet'!$B$18,Paramètres!$A$1:$I$89,5,0)</f>
        <v>-9.2222762759774927E-14</v>
      </c>
      <c r="GW141" s="14" t="e">
        <f t="shared" si="159"/>
        <v>#NUM!</v>
      </c>
      <c r="GX141" s="22" t="e">
        <f t="shared" si="136"/>
        <v>#NUM!</v>
      </c>
      <c r="GY141" s="60" t="e">
        <f t="shared" si="137"/>
        <v>#NUM!</v>
      </c>
      <c r="GZ141" s="60">
        <f ca="1">AVERAGE(OFFSET($GY$3,0,0,'Données projet'!$E$18+1,1))-AVERAGE(OFFSET($H$3,0,0,'Données projet'!$E$18+1,1))</f>
        <v>272.69564942740931</v>
      </c>
      <c r="HA141" s="60">
        <f t="shared" si="160"/>
        <v>316.57989180609252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>
        <f>EXP(-LN(2)/35)*HG140+(1-EXP(-LN(2)/35))/(LN(2)/35)*HC141*HD141*VLOOKUP('Données projet'!$B$18,Paramètres!$A$1:$I$89,3,0)*0.475*44/12</f>
        <v>0</v>
      </c>
      <c r="HH141" s="23">
        <f>EXP(-LN(2)/25)*HH140+(1-EXP(-LN(2)/25))/(LN(2)/25)*Calculateur!HC141*Calculateur!HE141*VLOOKUP('Données projet'!$B$18,Paramètres!$A$1:$I$89,3,0)*0.475*44/12</f>
        <v>0</v>
      </c>
      <c r="HI141" s="23">
        <f>EXP(-LN(2)/2)*HI140+(1-EXP(-LN(2)/2))/(LN(2)/2)*HC141*HF141*VLOOKUP('Données projet'!$B$18,Paramètres!$A$1:$I$89,3,0)*0.475*44/12</f>
        <v>0</v>
      </c>
      <c r="HJ141" s="24">
        <f t="shared" si="138"/>
        <v>0</v>
      </c>
    </row>
    <row r="142" spans="1:218" s="5" customFormat="1" x14ac:dyDescent="0.25">
      <c r="A142" s="11">
        <f t="shared" si="139"/>
        <v>139</v>
      </c>
      <c r="B142" s="75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8">
        <f t="shared" si="110"/>
        <v>183.33333333333334</v>
      </c>
      <c r="I142" s="7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3.8</v>
      </c>
      <c r="N142" s="14">
        <f>IF('Données projet'!$A$36&gt;35,N141+M142-V141,IF(A142&lt;'Données projet'!$A$36,$K$205^A142,IF(A142='Données projet'!$A$36,'Données projet'!$B$36,N141+M142-V141)))</f>
        <v>337.19999999999987</v>
      </c>
      <c r="O142" s="14">
        <f>N142*VLOOKUP('Données projet'!$B$9,Paramètres!$A$1:$I$89,3,0)*VLOOKUP('Données projet'!$B$9,Paramètres!$A$1:$I$89,5,0)</f>
        <v>305.09855999999985</v>
      </c>
      <c r="P142" s="14">
        <f t="shared" si="141"/>
        <v>72.244266890878791</v>
      </c>
      <c r="Q142" s="22">
        <f t="shared" si="108"/>
        <v>657.20542350161361</v>
      </c>
      <c r="R142" s="60">
        <f t="shared" si="109"/>
        <v>942.48886375781444</v>
      </c>
      <c r="S142" s="60">
        <f ca="1">AVERAGE(OFFSET($R$3,0,0,'Données projet'!$E$9+1,1))-AVERAGE(OFFSET($H$3,0,0,'Données projet'!$E$9+1,1))</f>
        <v>570.08763950759544</v>
      </c>
      <c r="T142" s="60">
        <f t="shared" si="142"/>
        <v>297.32483725004136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-5.6843418860808015E-14</v>
      </c>
      <c r="AJ142" s="14">
        <f>AI142*VLOOKUP('Données projet'!$B$10,Paramètres!$A$1:$I$89,3,0)*VLOOKUP('Données projet'!$B$10,Paramètres!$A$1:$I$89,5,0)</f>
        <v>-4.5224624045658861E-14</v>
      </c>
      <c r="AK142" s="14" t="e">
        <f t="shared" si="143"/>
        <v>#NUM!</v>
      </c>
      <c r="AL142" s="22" t="e">
        <f t="shared" si="112"/>
        <v>#NUM!</v>
      </c>
      <c r="AM142" s="60" t="e">
        <f t="shared" si="113"/>
        <v>#NUM!</v>
      </c>
      <c r="AN142" s="60">
        <f ca="1">AVERAGE(OFFSET($AM$3,0,0,'Données projet'!$E$10+1,1))-AVERAGE(OFFSET($H$3,0,0,'Données projet'!$E$10+1,1))</f>
        <v>394.49874384716014</v>
      </c>
      <c r="AO142" s="60">
        <f t="shared" si="144"/>
        <v>423.72519584013378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3.4106051316484809E-13</v>
      </c>
      <c r="BE142" s="14">
        <f>BD142*VLOOKUP('Données projet'!$B$11,Paramètres!$A$1:$I$89,3,0)*VLOOKUP('Données projet'!$B$11,Paramètres!$A$1:$I$89,5,0)</f>
        <v>2.9795046430081134E-13</v>
      </c>
      <c r="BF142" s="14">
        <f t="shared" si="145"/>
        <v>3.9419014464513778E-12</v>
      </c>
      <c r="BG142" s="22">
        <f t="shared" si="115"/>
        <v>7.384408744560063E-12</v>
      </c>
      <c r="BH142" s="60">
        <f t="shared" si="116"/>
        <v>285.28344025620828</v>
      </c>
      <c r="BI142" s="60">
        <f ca="1">AVERAGE(OFFSET($BH$3,0,0,'Données projet'!$E$11+1,1))-AVERAGE(OFFSET($H$3,0,0,'Données projet'!$E$11+1,1))</f>
        <v>363.28611056308665</v>
      </c>
      <c r="BJ142" s="60">
        <f t="shared" si="146"/>
        <v>389.43647559455974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5.6843418860808015E-14</v>
      </c>
      <c r="BZ142" s="14">
        <f>BY142*VLOOKUP('Données projet'!$B$12,Paramètres!$A$1:$I$89,3,0)*VLOOKUP('Données projet'!$B$12,Paramètres!$A$1:$I$89,5,0)</f>
        <v>5.4092197387944907E-14</v>
      </c>
      <c r="CA142" s="14">
        <f t="shared" si="147"/>
        <v>8.7287050538073676E-13</v>
      </c>
      <c r="CB142" s="22">
        <f t="shared" si="118"/>
        <v>1.6144600406554537E-12</v>
      </c>
      <c r="CC142" s="60">
        <f t="shared" si="119"/>
        <v>285.28344025620248</v>
      </c>
      <c r="CD142" s="60">
        <f ca="1">AVERAGE(OFFSET($CC$3,0,0,'Données projet'!$E$12+1,1))-AVERAGE(OFFSET($H$3,0,0,'Données projet'!$E$12+1,1))</f>
        <v>441.15969139782891</v>
      </c>
      <c r="CE142" s="60">
        <f t="shared" si="148"/>
        <v>315.06466790224783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-5.6843418860808015E-14</v>
      </c>
      <c r="CU142" s="18">
        <f>CT142*VLOOKUP('Données projet'!$B$13,Paramètres!$A$1:$I$89,3,0)*VLOOKUP('Données projet'!$B$13,Paramètres!$A$1:$I$89,5,0)</f>
        <v>-4.1677594708744434E-14</v>
      </c>
      <c r="CV142" s="14" t="e">
        <f t="shared" si="149"/>
        <v>#NUM!</v>
      </c>
      <c r="CW142" s="22" t="e">
        <f t="shared" si="121"/>
        <v>#NUM!</v>
      </c>
      <c r="CX142" s="60" t="e">
        <f t="shared" si="122"/>
        <v>#NUM!</v>
      </c>
      <c r="CY142" s="60">
        <f ca="1">AVERAGE(OFFSET($CX$3,0,0,'Données projet'!$E$13+1,1))-AVERAGE(OFFSET($H$3,0,0,'Données projet'!$E$13+1,1))</f>
        <v>368.35775920359396</v>
      </c>
      <c r="CZ142" s="60">
        <f t="shared" si="150"/>
        <v>395.5218438652638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1.1368683772161603E-13</v>
      </c>
      <c r="DP142" s="18">
        <f>DO142*VLOOKUP('Données projet'!$B$14,Paramètres!$A$1:$I$89,3,0)*VLOOKUP('Données projet'!$B$14,Paramètres!$A$1:$I$89,5,0)</f>
        <v>8.8675733422860506E-14</v>
      </c>
      <c r="DQ142" s="14">
        <f t="shared" si="151"/>
        <v>1.3509285393066301E-12</v>
      </c>
      <c r="DR142" s="22">
        <f t="shared" si="124"/>
        <v>2.5073107750038623E-12</v>
      </c>
      <c r="DS142" s="60">
        <f t="shared" si="125"/>
        <v>285.28344025620339</v>
      </c>
      <c r="DT142" s="60">
        <f ca="1">AVERAGE(OFFSET($DS$3,0,0,'Données projet'!$E$14+1,1))-AVERAGE(OFFSET($H$3,0,0,'Données projet'!$E$14+1,1))</f>
        <v>312.59632808777332</v>
      </c>
      <c r="DU142" s="60">
        <f t="shared" si="152"/>
        <v>302.59481222418219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0</v>
      </c>
      <c r="EE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-1.1368683772161603E-13</v>
      </c>
      <c r="EK142" s="18">
        <f>EJ142*VLOOKUP('Données projet'!$B$15,Paramètres!$A$1:$I$89,3,0)*VLOOKUP('Données projet'!$B$15,Paramètres!$A$1:$I$89,5,0)</f>
        <v>-9.7543306765146564E-14</v>
      </c>
      <c r="EL142" s="14" t="e">
        <f t="shared" si="153"/>
        <v>#NUM!</v>
      </c>
      <c r="EM142" s="22" t="e">
        <f t="shared" si="127"/>
        <v>#NUM!</v>
      </c>
      <c r="EN142" s="60" t="e">
        <f t="shared" si="128"/>
        <v>#NUM!</v>
      </c>
      <c r="EO142" s="60">
        <f ca="1">AVERAGE(OFFSET($EN$3,0,0,'Données projet'!$E$15+1,1))-AVERAGE(OFFSET($H$3,0,0,'Données projet'!$E$15+1,1))</f>
        <v>478.11504516179713</v>
      </c>
      <c r="EP142" s="60">
        <f t="shared" si="154"/>
        <v>249.93713224442419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0</v>
      </c>
      <c r="EW142" s="23">
        <f>EXP(-LN(2)/25)*EW141+(1-EXP(-LN(2)/25))/(LN(2)/25)*Calculateur!ER142*Calculateur!ET142*VLOOKUP('Données projet'!$B$15,Paramètres!$A$1:$I$89,3,0)*0.475*44/12</f>
        <v>0</v>
      </c>
      <c r="EX142" s="23">
        <f>EXP(-LN(2)/2)*EX141+(1-EXP(-LN(2)/2))/(LN(2)/2)*ER142*EU142*VLOOKUP('Données projet'!$B$15,Paramètres!$A$1:$I$89,3,0)*0.475*44/12</f>
        <v>0</v>
      </c>
      <c r="EY142" s="24">
        <f t="shared" si="129"/>
        <v>0</v>
      </c>
      <c r="EZ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3.8</v>
      </c>
      <c r="FE142" s="13">
        <f>IF('Données projet'!$A$218&gt;35,FE141+FD142-FM141,IF(A142&lt;'Données projet'!$A$218,$FB$205^A142,IF(A142='Données projet'!$A$218,'Données projet'!$B$218,FE141+FD142-FM141)))</f>
        <v>337.19999999999987</v>
      </c>
      <c r="FF142" s="18">
        <f>FE142*VLOOKUP('Données projet'!$B$16,Paramètres!$A$1:$I$89,3,0)*VLOOKUP('Données projet'!$B$16,Paramètres!$A$1:$I$89,5,0)</f>
        <v>326.13983999999988</v>
      </c>
      <c r="FG142" s="14">
        <f t="shared" si="155"/>
        <v>76.62945028727961</v>
      </c>
      <c r="FH142" s="22">
        <f t="shared" si="130"/>
        <v>701.48984725034506</v>
      </c>
      <c r="FI142" s="60">
        <f t="shared" si="131"/>
        <v>986.77328750654601</v>
      </c>
      <c r="FJ142" s="60">
        <f ca="1">AVERAGE(OFFSET($FI$3,0,0,'Données projet'!$E$16+1,1))-AVERAGE(OFFSET($H$3,0,0,'Données projet'!$E$16+1,1))</f>
        <v>603.52431522262032</v>
      </c>
      <c r="FK142" s="60">
        <f t="shared" si="156"/>
        <v>313.56299786481338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>
        <f>EXP(-LN(2)/35)*FQ141+(1-EXP(-LN(2)/35))/(LN(2)/35)*FM142*FN142*VLOOKUP('Données projet'!$B$16,Paramètres!$A$1:$I$89,3,0)*0.475*44/12</f>
        <v>0</v>
      </c>
      <c r="FR142" s="23">
        <f>EXP(-LN(2)/25)*FR141+(1-EXP(-LN(2)/25))/(LN(2)/25)*Calculateur!FM142*Calculateur!FO142*VLOOKUP('Données projet'!$B$16,Paramètres!$A$1:$I$89,3,0)*0.475*44/12</f>
        <v>0</v>
      </c>
      <c r="FS142" s="23">
        <f>EXP(-LN(2)/2)*FS141+(1-EXP(-LN(2)/2))/(LN(2)/2)*FM142*FP142*VLOOKUP('Données projet'!$B$16,Paramètres!$A$1:$I$89,3,0)*0.475*44/12</f>
        <v>0</v>
      </c>
      <c r="FT142" s="24">
        <f t="shared" si="132"/>
        <v>0</v>
      </c>
      <c r="FU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>
        <f>FZ142*VLOOKUP('Données projet'!$B$17,Paramètres!$A$1:$I$89,3,0)*VLOOKUP('Données projet'!$B$17,Paramètres!$A$1:$I$89,5,0)</f>
        <v>0</v>
      </c>
      <c r="GB142" s="14" t="e">
        <f t="shared" si="157"/>
        <v>#NUM!</v>
      </c>
      <c r="GC142" s="22" t="e">
        <f t="shared" si="133"/>
        <v>#NUM!</v>
      </c>
      <c r="GD142" s="60" t="e">
        <f t="shared" si="134"/>
        <v>#NUM!</v>
      </c>
      <c r="GE142" s="60">
        <f ca="1">AVERAGE(OFFSET($GD$3,0,0,'Données projet'!$E$17+1,1))-AVERAGE(OFFSET($H$3,0,0,'Données projet'!$E$17+1,1))</f>
        <v>396.0878652679051</v>
      </c>
      <c r="GF142" s="60">
        <f t="shared" si="158"/>
        <v>327.26339199235406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>
        <f>EXP(-LN(2)/35)*GL141+(1-EXP(-LN(2)/35))/(LN(2)/35)*GH142*GI142*VLOOKUP('Données projet'!$B$17,Paramètres!$A$1:$I$89,3,0)*0.475*44/12</f>
        <v>0</v>
      </c>
      <c r="GM142" s="23">
        <f>EXP(-LN(2)/25)*GM141+(1-EXP(-LN(2)/25))/(LN(2)/25)*Calculateur!GH142*Calculateur!GJ142*VLOOKUP('Données projet'!$B$17,Paramètres!$A$1:$I$89,3,0)*0.475*44/12</f>
        <v>0</v>
      </c>
      <c r="GN142" s="23">
        <f>EXP(-LN(2)/2)*GN141+(1-EXP(-LN(2)/2))/(LN(2)/2)*GH142*GK142*VLOOKUP('Données projet'!$B$17,Paramètres!$A$1:$I$89,3,0)*0.475*44/12</f>
        <v>0</v>
      </c>
      <c r="GO142" s="23">
        <f t="shared" si="135"/>
        <v>0</v>
      </c>
      <c r="GP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-1.1368683772161603E-13</v>
      </c>
      <c r="GV142" s="18">
        <f>GU142*VLOOKUP('Données projet'!$B$18,Paramètres!$A$1:$I$89,3,0)*VLOOKUP('Données projet'!$B$18,Paramètres!$A$1:$I$89,5,0)</f>
        <v>-9.2222762759774927E-14</v>
      </c>
      <c r="GW142" s="14" t="e">
        <f t="shared" si="159"/>
        <v>#NUM!</v>
      </c>
      <c r="GX142" s="22" t="e">
        <f t="shared" si="136"/>
        <v>#NUM!</v>
      </c>
      <c r="GY142" s="60" t="e">
        <f t="shared" si="137"/>
        <v>#NUM!</v>
      </c>
      <c r="GZ142" s="60">
        <f ca="1">AVERAGE(OFFSET($GY$3,0,0,'Données projet'!$E$18+1,1))-AVERAGE(OFFSET($H$3,0,0,'Données projet'!$E$18+1,1))</f>
        <v>272.69564942740931</v>
      </c>
      <c r="HA142" s="60">
        <f t="shared" si="160"/>
        <v>316.57989180609252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>
        <f>EXP(-LN(2)/35)*HG141+(1-EXP(-LN(2)/35))/(LN(2)/35)*HC142*HD142*VLOOKUP('Données projet'!$B$18,Paramètres!$A$1:$I$89,3,0)*0.475*44/12</f>
        <v>0</v>
      </c>
      <c r="HH142" s="23">
        <f>EXP(-LN(2)/25)*HH141+(1-EXP(-LN(2)/25))/(LN(2)/25)*Calculateur!HC142*Calculateur!HE142*VLOOKUP('Données projet'!$B$18,Paramètres!$A$1:$I$89,3,0)*0.475*44/12</f>
        <v>0</v>
      </c>
      <c r="HI142" s="23">
        <f>EXP(-LN(2)/2)*HI141+(1-EXP(-LN(2)/2))/(LN(2)/2)*HC142*HF142*VLOOKUP('Données projet'!$B$18,Paramètres!$A$1:$I$89,3,0)*0.475*44/12</f>
        <v>0</v>
      </c>
      <c r="HJ142" s="24">
        <f t="shared" si="138"/>
        <v>0</v>
      </c>
    </row>
    <row r="143" spans="1:218" s="5" customFormat="1" x14ac:dyDescent="0.25">
      <c r="A143" s="11">
        <f t="shared" si="139"/>
        <v>140</v>
      </c>
      <c r="B143" s="75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8">
        <f t="shared" si="110"/>
        <v>183.33333333333334</v>
      </c>
      <c r="I143" s="7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>
        <f>VLOOKUP(A143,'Données projet'!$A$35:$I$55,2,0)</f>
        <v>341</v>
      </c>
      <c r="L143" s="13">
        <f>VLOOKUP(A143,'Données projet'!$A$35:$I$55,9,0)</f>
        <v>3.8</v>
      </c>
      <c r="M143" s="13">
        <f t="array" ref="M143">INDEX(L:L,MIN(IF(ISNUMBER(L143:L339),ROW(L143:L339),"")))</f>
        <v>3.8</v>
      </c>
      <c r="N143" s="14">
        <f>IF('Données projet'!$A$36&gt;35,N142+M143-V142,IF(A143&lt;'Données projet'!$A$36,$K$205^A143,IF(A143='Données projet'!$A$36,'Données projet'!$B$36,N142+M143-V142)))</f>
        <v>340.99999999999989</v>
      </c>
      <c r="O143" s="14">
        <f>N143*VLOOKUP('Données projet'!$B$9,Paramètres!$A$1:$I$89,3,0)*VLOOKUP('Données projet'!$B$9,Paramètres!$A$1:$I$89,5,0)</f>
        <v>308.53679999999986</v>
      </c>
      <c r="P143" s="14">
        <f t="shared" si="141"/>
        <v>72.963171684496103</v>
      </c>
      <c r="Q143" s="22">
        <f t="shared" si="108"/>
        <v>664.44578401716376</v>
      </c>
      <c r="R143" s="60">
        <f t="shared" si="109"/>
        <v>949.86887192138806</v>
      </c>
      <c r="S143" s="60">
        <f ca="1">AVERAGE(OFFSET($R$3,0,0,'Données projet'!$E$9+1,1))-AVERAGE(OFFSET($H$3,0,0,'Données projet'!$E$9+1,1))</f>
        <v>570.08763950759544</v>
      </c>
      <c r="T143" s="60">
        <f t="shared" si="142"/>
        <v>297.32483725004136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-5.6843418860808015E-14</v>
      </c>
      <c r="AJ143" s="14">
        <f>AI143*VLOOKUP('Données projet'!$B$10,Paramètres!$A$1:$I$89,3,0)*VLOOKUP('Données projet'!$B$10,Paramètres!$A$1:$I$89,5,0)</f>
        <v>-4.5224624045658861E-14</v>
      </c>
      <c r="AK143" s="14" t="e">
        <f t="shared" si="143"/>
        <v>#NUM!</v>
      </c>
      <c r="AL143" s="22" t="e">
        <f t="shared" si="112"/>
        <v>#NUM!</v>
      </c>
      <c r="AM143" s="60" t="e">
        <f t="shared" si="113"/>
        <v>#NUM!</v>
      </c>
      <c r="AN143" s="60">
        <f ca="1">AVERAGE(OFFSET($AM$3,0,0,'Données projet'!$E$10+1,1))-AVERAGE(OFFSET($H$3,0,0,'Données projet'!$E$10+1,1))</f>
        <v>394.49874384716014</v>
      </c>
      <c r="AO143" s="60">
        <f t="shared" si="144"/>
        <v>423.72519584013378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3.4106051316484809E-13</v>
      </c>
      <c r="BE143" s="14">
        <f>BD143*VLOOKUP('Données projet'!$B$11,Paramètres!$A$1:$I$89,3,0)*VLOOKUP('Données projet'!$B$11,Paramètres!$A$1:$I$89,5,0)</f>
        <v>2.9795046430081134E-13</v>
      </c>
      <c r="BF143" s="14">
        <f t="shared" si="145"/>
        <v>3.9419014464513778E-12</v>
      </c>
      <c r="BG143" s="22">
        <f t="shared" si="115"/>
        <v>7.384408744560063E-12</v>
      </c>
      <c r="BH143" s="60">
        <f t="shared" si="116"/>
        <v>285.42308790423175</v>
      </c>
      <c r="BI143" s="60">
        <f ca="1">AVERAGE(OFFSET($BH$3,0,0,'Données projet'!$E$11+1,1))-AVERAGE(OFFSET($H$3,0,0,'Données projet'!$E$11+1,1))</f>
        <v>363.28611056308665</v>
      </c>
      <c r="BJ143" s="60">
        <f t="shared" si="146"/>
        <v>389.43647559455974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5.6843418860808015E-14</v>
      </c>
      <c r="BZ143" s="14">
        <f>BY143*VLOOKUP('Données projet'!$B$12,Paramètres!$A$1:$I$89,3,0)*VLOOKUP('Données projet'!$B$12,Paramètres!$A$1:$I$89,5,0)</f>
        <v>5.4092197387944907E-14</v>
      </c>
      <c r="CA143" s="14">
        <f t="shared" si="147"/>
        <v>8.7287050538073676E-13</v>
      </c>
      <c r="CB143" s="22">
        <f t="shared" si="118"/>
        <v>1.6144600406554537E-12</v>
      </c>
      <c r="CC143" s="60">
        <f t="shared" si="119"/>
        <v>285.42308790422595</v>
      </c>
      <c r="CD143" s="60">
        <f ca="1">AVERAGE(OFFSET($CC$3,0,0,'Données projet'!$E$12+1,1))-AVERAGE(OFFSET($H$3,0,0,'Données projet'!$E$12+1,1))</f>
        <v>441.15969139782891</v>
      </c>
      <c r="CE143" s="60">
        <f t="shared" si="148"/>
        <v>315.06466790224783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-5.6843418860808015E-14</v>
      </c>
      <c r="CU143" s="18">
        <f>CT143*VLOOKUP('Données projet'!$B$13,Paramètres!$A$1:$I$89,3,0)*VLOOKUP('Données projet'!$B$13,Paramètres!$A$1:$I$89,5,0)</f>
        <v>-4.1677594708744434E-14</v>
      </c>
      <c r="CV143" s="14" t="e">
        <f t="shared" si="149"/>
        <v>#NUM!</v>
      </c>
      <c r="CW143" s="22" t="e">
        <f t="shared" si="121"/>
        <v>#NUM!</v>
      </c>
      <c r="CX143" s="60" t="e">
        <f t="shared" si="122"/>
        <v>#NUM!</v>
      </c>
      <c r="CY143" s="60">
        <f ca="1">AVERAGE(OFFSET($CX$3,0,0,'Données projet'!$E$13+1,1))-AVERAGE(OFFSET($H$3,0,0,'Données projet'!$E$13+1,1))</f>
        <v>368.35775920359396</v>
      </c>
      <c r="CZ143" s="60">
        <f t="shared" si="150"/>
        <v>395.5218438652638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1.1368683772161603E-13</v>
      </c>
      <c r="DP143" s="18">
        <f>DO143*VLOOKUP('Données projet'!$B$14,Paramètres!$A$1:$I$89,3,0)*VLOOKUP('Données projet'!$B$14,Paramètres!$A$1:$I$89,5,0)</f>
        <v>8.8675733422860506E-14</v>
      </c>
      <c r="DQ143" s="14">
        <f t="shared" si="151"/>
        <v>1.3509285393066301E-12</v>
      </c>
      <c r="DR143" s="22">
        <f t="shared" si="124"/>
        <v>2.5073107750038623E-12</v>
      </c>
      <c r="DS143" s="60">
        <f t="shared" si="125"/>
        <v>285.42308790422686</v>
      </c>
      <c r="DT143" s="60">
        <f ca="1">AVERAGE(OFFSET($DS$3,0,0,'Données projet'!$E$14+1,1))-AVERAGE(OFFSET($H$3,0,0,'Données projet'!$E$14+1,1))</f>
        <v>312.59632808777332</v>
      </c>
      <c r="DU143" s="60">
        <f t="shared" si="152"/>
        <v>302.59481222418219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0</v>
      </c>
      <c r="EE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-1.1368683772161603E-13</v>
      </c>
      <c r="EK143" s="18">
        <f>EJ143*VLOOKUP('Données projet'!$B$15,Paramètres!$A$1:$I$89,3,0)*VLOOKUP('Données projet'!$B$15,Paramètres!$A$1:$I$89,5,0)</f>
        <v>-9.7543306765146564E-14</v>
      </c>
      <c r="EL143" s="14" t="e">
        <f t="shared" si="153"/>
        <v>#NUM!</v>
      </c>
      <c r="EM143" s="22" t="e">
        <f t="shared" si="127"/>
        <v>#NUM!</v>
      </c>
      <c r="EN143" s="60" t="e">
        <f t="shared" si="128"/>
        <v>#NUM!</v>
      </c>
      <c r="EO143" s="60">
        <f ca="1">AVERAGE(OFFSET($EN$3,0,0,'Données projet'!$E$15+1,1))-AVERAGE(OFFSET($H$3,0,0,'Données projet'!$E$15+1,1))</f>
        <v>478.11504516179713</v>
      </c>
      <c r="EP143" s="60">
        <f t="shared" si="154"/>
        <v>249.93713224442419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0</v>
      </c>
      <c r="EW143" s="23">
        <f>EXP(-LN(2)/25)*EW142+(1-EXP(-LN(2)/25))/(LN(2)/25)*Calculateur!ER143*Calculateur!ET143*VLOOKUP('Données projet'!$B$15,Paramètres!$A$1:$I$89,3,0)*0.475*44/12</f>
        <v>0</v>
      </c>
      <c r="EX143" s="23">
        <f>EXP(-LN(2)/2)*EX142+(1-EXP(-LN(2)/2))/(LN(2)/2)*ER143*EU143*VLOOKUP('Données projet'!$B$15,Paramètres!$A$1:$I$89,3,0)*0.475*44/12</f>
        <v>0</v>
      </c>
      <c r="EY143" s="24">
        <f t="shared" si="129"/>
        <v>0</v>
      </c>
      <c r="EZ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>
        <f>VLOOKUP(A143,'Données projet'!$A$217:$I$237,2,0)</f>
        <v>341</v>
      </c>
      <c r="FC143" s="13">
        <f>VLOOKUP(A143,'Données projet'!$A$217:$I$237,9,0)</f>
        <v>3.8</v>
      </c>
      <c r="FD143" s="13">
        <f t="array" ref="FD143">INDEX(FC:FC,MIN(IF(ISNUMBER(FC143:FC339),ROW(FC143:FC339),"")))</f>
        <v>3.8</v>
      </c>
      <c r="FE143" s="13">
        <f>IF('Données projet'!$A$218&gt;35,FE142+FD143-FM142,IF(A143&lt;'Données projet'!$A$218,$FB$205^A143,IF(A143='Données projet'!$A$218,'Données projet'!$B$218,FE142+FD143-FM142)))</f>
        <v>340.99999999999989</v>
      </c>
      <c r="FF143" s="18">
        <f>FE143*VLOOKUP('Données projet'!$B$16,Paramètres!$A$1:$I$89,3,0)*VLOOKUP('Données projet'!$B$16,Paramètres!$A$1:$I$89,5,0)</f>
        <v>329.81519999999989</v>
      </c>
      <c r="FG143" s="14">
        <f t="shared" si="155"/>
        <v>77.391992167966066</v>
      </c>
      <c r="FH143" s="22">
        <f t="shared" si="130"/>
        <v>709.21919302587401</v>
      </c>
      <c r="FI143" s="60">
        <f t="shared" si="131"/>
        <v>994.64228093009842</v>
      </c>
      <c r="FJ143" s="60">
        <f ca="1">AVERAGE(OFFSET($FI$3,0,0,'Données projet'!$E$16+1,1))-AVERAGE(OFFSET($H$3,0,0,'Données projet'!$E$16+1,1))</f>
        <v>603.52431522262032</v>
      </c>
      <c r="FK143" s="60">
        <f t="shared" si="156"/>
        <v>313.56299786481338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>
        <f>EXP(-LN(2)/35)*FQ142+(1-EXP(-LN(2)/35))/(LN(2)/35)*FM143*FN143*VLOOKUP('Données projet'!$B$16,Paramètres!$A$1:$I$89,3,0)*0.475*44/12</f>
        <v>0</v>
      </c>
      <c r="FR143" s="23">
        <f>EXP(-LN(2)/25)*FR142+(1-EXP(-LN(2)/25))/(LN(2)/25)*Calculateur!FM143*Calculateur!FO143*VLOOKUP('Données projet'!$B$16,Paramètres!$A$1:$I$89,3,0)*0.475*44/12</f>
        <v>0</v>
      </c>
      <c r="FS143" s="23">
        <f>EXP(-LN(2)/2)*FS142+(1-EXP(-LN(2)/2))/(LN(2)/2)*FM143*FP143*VLOOKUP('Données projet'!$B$16,Paramètres!$A$1:$I$89,3,0)*0.475*44/12</f>
        <v>0</v>
      </c>
      <c r="FT143" s="24">
        <f t="shared" si="132"/>
        <v>0</v>
      </c>
      <c r="FU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>
        <f>FZ143*VLOOKUP('Données projet'!$B$17,Paramètres!$A$1:$I$89,3,0)*VLOOKUP('Données projet'!$B$17,Paramètres!$A$1:$I$89,5,0)</f>
        <v>0</v>
      </c>
      <c r="GB143" s="14" t="e">
        <f t="shared" si="157"/>
        <v>#NUM!</v>
      </c>
      <c r="GC143" s="22" t="e">
        <f t="shared" si="133"/>
        <v>#NUM!</v>
      </c>
      <c r="GD143" s="60" t="e">
        <f t="shared" si="134"/>
        <v>#NUM!</v>
      </c>
      <c r="GE143" s="60">
        <f ca="1">AVERAGE(OFFSET($GD$3,0,0,'Données projet'!$E$17+1,1))-AVERAGE(OFFSET($H$3,0,0,'Données projet'!$E$17+1,1))</f>
        <v>396.0878652679051</v>
      </c>
      <c r="GF143" s="60">
        <f t="shared" si="158"/>
        <v>327.26339199235406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>
        <f>EXP(-LN(2)/35)*GL142+(1-EXP(-LN(2)/35))/(LN(2)/35)*GH143*GI143*VLOOKUP('Données projet'!$B$17,Paramètres!$A$1:$I$89,3,0)*0.475*44/12</f>
        <v>0</v>
      </c>
      <c r="GM143" s="23">
        <f>EXP(-LN(2)/25)*GM142+(1-EXP(-LN(2)/25))/(LN(2)/25)*Calculateur!GH143*Calculateur!GJ143*VLOOKUP('Données projet'!$B$17,Paramètres!$A$1:$I$89,3,0)*0.475*44/12</f>
        <v>0</v>
      </c>
      <c r="GN143" s="23">
        <f>EXP(-LN(2)/2)*GN142+(1-EXP(-LN(2)/2))/(LN(2)/2)*GH143*GK143*VLOOKUP('Données projet'!$B$17,Paramètres!$A$1:$I$89,3,0)*0.475*44/12</f>
        <v>0</v>
      </c>
      <c r="GO143" s="23">
        <f t="shared" si="135"/>
        <v>0</v>
      </c>
      <c r="GP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-1.1368683772161603E-13</v>
      </c>
      <c r="GV143" s="18">
        <f>GU143*VLOOKUP('Données projet'!$B$18,Paramètres!$A$1:$I$89,3,0)*VLOOKUP('Données projet'!$B$18,Paramètres!$A$1:$I$89,5,0)</f>
        <v>-9.2222762759774927E-14</v>
      </c>
      <c r="GW143" s="14" t="e">
        <f t="shared" si="159"/>
        <v>#NUM!</v>
      </c>
      <c r="GX143" s="22" t="e">
        <f t="shared" si="136"/>
        <v>#NUM!</v>
      </c>
      <c r="GY143" s="60" t="e">
        <f t="shared" si="137"/>
        <v>#NUM!</v>
      </c>
      <c r="GZ143" s="60">
        <f ca="1">AVERAGE(OFFSET($GY$3,0,0,'Données projet'!$E$18+1,1))-AVERAGE(OFFSET($H$3,0,0,'Données projet'!$E$18+1,1))</f>
        <v>272.69564942740931</v>
      </c>
      <c r="HA143" s="60">
        <f t="shared" si="160"/>
        <v>316.57989180609252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>
        <f>EXP(-LN(2)/35)*HG142+(1-EXP(-LN(2)/35))/(LN(2)/35)*HC143*HD143*VLOOKUP('Données projet'!$B$18,Paramètres!$A$1:$I$89,3,0)*0.475*44/12</f>
        <v>0</v>
      </c>
      <c r="HH143" s="23">
        <f>EXP(-LN(2)/25)*HH142+(1-EXP(-LN(2)/25))/(LN(2)/25)*Calculateur!HC143*Calculateur!HE143*VLOOKUP('Données projet'!$B$18,Paramètres!$A$1:$I$89,3,0)*0.475*44/12</f>
        <v>0</v>
      </c>
      <c r="HI143" s="23">
        <f>EXP(-LN(2)/2)*HI142+(1-EXP(-LN(2)/2))/(LN(2)/2)*HC143*HF143*VLOOKUP('Données projet'!$B$18,Paramètres!$A$1:$I$89,3,0)*0.475*44/12</f>
        <v>0</v>
      </c>
      <c r="HJ143" s="24">
        <f t="shared" si="138"/>
        <v>0</v>
      </c>
    </row>
    <row r="144" spans="1:218" s="5" customFormat="1" x14ac:dyDescent="0.25">
      <c r="A144" s="11">
        <f t="shared" si="139"/>
        <v>141</v>
      </c>
      <c r="B144" s="75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8">
        <f t="shared" si="110"/>
        <v>183.33333333333334</v>
      </c>
      <c r="I144" s="7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3.5</v>
      </c>
      <c r="N144" s="14">
        <f>IF('Données projet'!$A$36&gt;35,N143+M144-V143,IF(A144&lt;'Données projet'!$A$36,$K$205^A144,IF(A144='Données projet'!$A$36,'Données projet'!$B$36,N143+M144-V143)))</f>
        <v>344.49999999999989</v>
      </c>
      <c r="O144" s="14">
        <f>N144*VLOOKUP('Données projet'!$B$9,Paramètres!$A$1:$I$89,3,0)*VLOOKUP('Données projet'!$B$9,Paramètres!$A$1:$I$89,5,0)</f>
        <v>311.70359999999988</v>
      </c>
      <c r="P144" s="14">
        <f t="shared" si="141"/>
        <v>73.624496097462782</v>
      </c>
      <c r="Q144" s="22">
        <f t="shared" si="108"/>
        <v>671.1131007030807</v>
      </c>
      <c r="R144" s="60">
        <f t="shared" si="109"/>
        <v>956.67341368084067</v>
      </c>
      <c r="S144" s="60">
        <f ca="1">AVERAGE(OFFSET($R$3,0,0,'Données projet'!$E$9+1,1))-AVERAGE(OFFSET($H$3,0,0,'Données projet'!$E$9+1,1))</f>
        <v>570.08763950759544</v>
      </c>
      <c r="T144" s="60">
        <f t="shared" si="142"/>
        <v>297.32483725004136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-5.6843418860808015E-14</v>
      </c>
      <c r="AJ144" s="14">
        <f>AI144*VLOOKUP('Données projet'!$B$10,Paramètres!$A$1:$I$89,3,0)*VLOOKUP('Données projet'!$B$10,Paramètres!$A$1:$I$89,5,0)</f>
        <v>-4.5224624045658861E-14</v>
      </c>
      <c r="AK144" s="14" t="e">
        <f t="shared" si="143"/>
        <v>#NUM!</v>
      </c>
      <c r="AL144" s="22" t="e">
        <f t="shared" si="112"/>
        <v>#NUM!</v>
      </c>
      <c r="AM144" s="60" t="e">
        <f t="shared" si="113"/>
        <v>#NUM!</v>
      </c>
      <c r="AN144" s="60">
        <f ca="1">AVERAGE(OFFSET($AM$3,0,0,'Données projet'!$E$10+1,1))-AVERAGE(OFFSET($H$3,0,0,'Données projet'!$E$10+1,1))</f>
        <v>394.49874384716014</v>
      </c>
      <c r="AO144" s="60">
        <f t="shared" si="144"/>
        <v>423.72519584013378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3.4106051316484809E-13</v>
      </c>
      <c r="BE144" s="14">
        <f>BD144*VLOOKUP('Données projet'!$B$11,Paramètres!$A$1:$I$89,3,0)*VLOOKUP('Données projet'!$B$11,Paramètres!$A$1:$I$89,5,0)</f>
        <v>2.9795046430081134E-13</v>
      </c>
      <c r="BF144" s="14">
        <f t="shared" si="145"/>
        <v>3.9419014464513778E-12</v>
      </c>
      <c r="BG144" s="22">
        <f t="shared" si="115"/>
        <v>7.384408744560063E-12</v>
      </c>
      <c r="BH144" s="60">
        <f t="shared" si="116"/>
        <v>285.56031297776741</v>
      </c>
      <c r="BI144" s="60">
        <f ca="1">AVERAGE(OFFSET($BH$3,0,0,'Données projet'!$E$11+1,1))-AVERAGE(OFFSET($H$3,0,0,'Données projet'!$E$11+1,1))</f>
        <v>363.28611056308665</v>
      </c>
      <c r="BJ144" s="60">
        <f t="shared" si="146"/>
        <v>389.43647559455974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5.6843418860808015E-14</v>
      </c>
      <c r="BZ144" s="14">
        <f>BY144*VLOOKUP('Données projet'!$B$12,Paramètres!$A$1:$I$89,3,0)*VLOOKUP('Données projet'!$B$12,Paramètres!$A$1:$I$89,5,0)</f>
        <v>5.4092197387944907E-14</v>
      </c>
      <c r="CA144" s="14">
        <f t="shared" si="147"/>
        <v>8.7287050538073676E-13</v>
      </c>
      <c r="CB144" s="22">
        <f t="shared" si="118"/>
        <v>1.6144600406554537E-12</v>
      </c>
      <c r="CC144" s="60">
        <f t="shared" si="119"/>
        <v>285.56031297776161</v>
      </c>
      <c r="CD144" s="60">
        <f ca="1">AVERAGE(OFFSET($CC$3,0,0,'Données projet'!$E$12+1,1))-AVERAGE(OFFSET($H$3,0,0,'Données projet'!$E$12+1,1))</f>
        <v>441.15969139782891</v>
      </c>
      <c r="CE144" s="60">
        <f t="shared" si="148"/>
        <v>315.06466790224783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-5.6843418860808015E-14</v>
      </c>
      <c r="CU144" s="18">
        <f>CT144*VLOOKUP('Données projet'!$B$13,Paramètres!$A$1:$I$89,3,0)*VLOOKUP('Données projet'!$B$13,Paramètres!$A$1:$I$89,5,0)</f>
        <v>-4.1677594708744434E-14</v>
      </c>
      <c r="CV144" s="14" t="e">
        <f t="shared" si="149"/>
        <v>#NUM!</v>
      </c>
      <c r="CW144" s="22" t="e">
        <f t="shared" si="121"/>
        <v>#NUM!</v>
      </c>
      <c r="CX144" s="60" t="e">
        <f t="shared" si="122"/>
        <v>#NUM!</v>
      </c>
      <c r="CY144" s="60">
        <f ca="1">AVERAGE(OFFSET($CX$3,0,0,'Données projet'!$E$13+1,1))-AVERAGE(OFFSET($H$3,0,0,'Données projet'!$E$13+1,1))</f>
        <v>368.35775920359396</v>
      </c>
      <c r="CZ144" s="60">
        <f t="shared" si="150"/>
        <v>395.5218438652638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1.1368683772161603E-13</v>
      </c>
      <c r="DP144" s="18">
        <f>DO144*VLOOKUP('Données projet'!$B$14,Paramètres!$A$1:$I$89,3,0)*VLOOKUP('Données projet'!$B$14,Paramètres!$A$1:$I$89,5,0)</f>
        <v>8.8675733422860506E-14</v>
      </c>
      <c r="DQ144" s="14">
        <f t="shared" si="151"/>
        <v>1.3509285393066301E-12</v>
      </c>
      <c r="DR144" s="22">
        <f t="shared" si="124"/>
        <v>2.5073107750038623E-12</v>
      </c>
      <c r="DS144" s="60">
        <f t="shared" si="125"/>
        <v>285.56031297776252</v>
      </c>
      <c r="DT144" s="60">
        <f ca="1">AVERAGE(OFFSET($DS$3,0,0,'Données projet'!$E$14+1,1))-AVERAGE(OFFSET($H$3,0,0,'Données projet'!$E$14+1,1))</f>
        <v>312.59632808777332</v>
      </c>
      <c r="DU144" s="60">
        <f t="shared" si="152"/>
        <v>302.59481222418219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0</v>
      </c>
      <c r="EE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-1.1368683772161603E-13</v>
      </c>
      <c r="EK144" s="18">
        <f>EJ144*VLOOKUP('Données projet'!$B$15,Paramètres!$A$1:$I$89,3,0)*VLOOKUP('Données projet'!$B$15,Paramètres!$A$1:$I$89,5,0)</f>
        <v>-9.7543306765146564E-14</v>
      </c>
      <c r="EL144" s="14" t="e">
        <f t="shared" si="153"/>
        <v>#NUM!</v>
      </c>
      <c r="EM144" s="22" t="e">
        <f t="shared" si="127"/>
        <v>#NUM!</v>
      </c>
      <c r="EN144" s="60" t="e">
        <f t="shared" si="128"/>
        <v>#NUM!</v>
      </c>
      <c r="EO144" s="60">
        <f ca="1">AVERAGE(OFFSET($EN$3,0,0,'Données projet'!$E$15+1,1))-AVERAGE(OFFSET($H$3,0,0,'Données projet'!$E$15+1,1))</f>
        <v>478.11504516179713</v>
      </c>
      <c r="EP144" s="60">
        <f t="shared" si="154"/>
        <v>249.93713224442419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0</v>
      </c>
      <c r="EW144" s="23">
        <f>EXP(-LN(2)/25)*EW143+(1-EXP(-LN(2)/25))/(LN(2)/25)*Calculateur!ER144*Calculateur!ET144*VLOOKUP('Données projet'!$B$15,Paramètres!$A$1:$I$89,3,0)*0.475*44/12</f>
        <v>0</v>
      </c>
      <c r="EX144" s="23">
        <f>EXP(-LN(2)/2)*EX143+(1-EXP(-LN(2)/2))/(LN(2)/2)*ER144*EU144*VLOOKUP('Données projet'!$B$15,Paramètres!$A$1:$I$89,3,0)*0.475*44/12</f>
        <v>0</v>
      </c>
      <c r="EY144" s="24">
        <f t="shared" si="129"/>
        <v>0</v>
      </c>
      <c r="EZ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3.5</v>
      </c>
      <c r="FE144" s="13">
        <f>IF('Données projet'!$A$218&gt;35,FE143+FD144-FM143,IF(A144&lt;'Données projet'!$A$218,$FB$205^A144,IF(A144='Données projet'!$A$218,'Données projet'!$B$218,FE143+FD144-FM143)))</f>
        <v>344.49999999999989</v>
      </c>
      <c r="FF144" s="18">
        <f>FE144*VLOOKUP('Données projet'!$B$16,Paramètres!$A$1:$I$89,3,0)*VLOOKUP('Données projet'!$B$16,Paramètres!$A$1:$I$89,5,0)</f>
        <v>333.20039999999989</v>
      </c>
      <c r="FG144" s="14">
        <f t="shared" si="155"/>
        <v>78.093458573649713</v>
      </c>
      <c r="FH144" s="22">
        <f t="shared" si="130"/>
        <v>716.33680368243961</v>
      </c>
      <c r="FI144" s="60">
        <f t="shared" si="131"/>
        <v>1001.8971166601996</v>
      </c>
      <c r="FJ144" s="60">
        <f ca="1">AVERAGE(OFFSET($FI$3,0,0,'Données projet'!$E$16+1,1))-AVERAGE(OFFSET($H$3,0,0,'Données projet'!$E$16+1,1))</f>
        <v>603.52431522262032</v>
      </c>
      <c r="FK144" s="60">
        <f t="shared" si="156"/>
        <v>313.56299786481338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>
        <f>EXP(-LN(2)/35)*FQ143+(1-EXP(-LN(2)/35))/(LN(2)/35)*FM144*FN144*VLOOKUP('Données projet'!$B$16,Paramètres!$A$1:$I$89,3,0)*0.475*44/12</f>
        <v>0</v>
      </c>
      <c r="FR144" s="23">
        <f>EXP(-LN(2)/25)*FR143+(1-EXP(-LN(2)/25))/(LN(2)/25)*Calculateur!FM144*Calculateur!FO144*VLOOKUP('Données projet'!$B$16,Paramètres!$A$1:$I$89,3,0)*0.475*44/12</f>
        <v>0</v>
      </c>
      <c r="FS144" s="23">
        <f>EXP(-LN(2)/2)*FS143+(1-EXP(-LN(2)/2))/(LN(2)/2)*FM144*FP144*VLOOKUP('Données projet'!$B$16,Paramètres!$A$1:$I$89,3,0)*0.475*44/12</f>
        <v>0</v>
      </c>
      <c r="FT144" s="24">
        <f t="shared" si="132"/>
        <v>0</v>
      </c>
      <c r="FU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>
        <f>FZ144*VLOOKUP('Données projet'!$B$17,Paramètres!$A$1:$I$89,3,0)*VLOOKUP('Données projet'!$B$17,Paramètres!$A$1:$I$89,5,0)</f>
        <v>0</v>
      </c>
      <c r="GB144" s="14" t="e">
        <f t="shared" si="157"/>
        <v>#NUM!</v>
      </c>
      <c r="GC144" s="22" t="e">
        <f t="shared" si="133"/>
        <v>#NUM!</v>
      </c>
      <c r="GD144" s="60" t="e">
        <f t="shared" si="134"/>
        <v>#NUM!</v>
      </c>
      <c r="GE144" s="60">
        <f ca="1">AVERAGE(OFFSET($GD$3,0,0,'Données projet'!$E$17+1,1))-AVERAGE(OFFSET($H$3,0,0,'Données projet'!$E$17+1,1))</f>
        <v>396.0878652679051</v>
      </c>
      <c r="GF144" s="60">
        <f t="shared" si="158"/>
        <v>327.26339199235406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>
        <f>EXP(-LN(2)/35)*GL143+(1-EXP(-LN(2)/35))/(LN(2)/35)*GH144*GI144*VLOOKUP('Données projet'!$B$17,Paramètres!$A$1:$I$89,3,0)*0.475*44/12</f>
        <v>0</v>
      </c>
      <c r="GM144" s="23">
        <f>EXP(-LN(2)/25)*GM143+(1-EXP(-LN(2)/25))/(LN(2)/25)*Calculateur!GH144*Calculateur!GJ144*VLOOKUP('Données projet'!$B$17,Paramètres!$A$1:$I$89,3,0)*0.475*44/12</f>
        <v>0</v>
      </c>
      <c r="GN144" s="23">
        <f>EXP(-LN(2)/2)*GN143+(1-EXP(-LN(2)/2))/(LN(2)/2)*GH144*GK144*VLOOKUP('Données projet'!$B$17,Paramètres!$A$1:$I$89,3,0)*0.475*44/12</f>
        <v>0</v>
      </c>
      <c r="GO144" s="23">
        <f t="shared" si="135"/>
        <v>0</v>
      </c>
      <c r="GP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-1.1368683772161603E-13</v>
      </c>
      <c r="GV144" s="18">
        <f>GU144*VLOOKUP('Données projet'!$B$18,Paramètres!$A$1:$I$89,3,0)*VLOOKUP('Données projet'!$B$18,Paramètres!$A$1:$I$89,5,0)</f>
        <v>-9.2222762759774927E-14</v>
      </c>
      <c r="GW144" s="14" t="e">
        <f t="shared" si="159"/>
        <v>#NUM!</v>
      </c>
      <c r="GX144" s="22" t="e">
        <f t="shared" si="136"/>
        <v>#NUM!</v>
      </c>
      <c r="GY144" s="60" t="e">
        <f t="shared" si="137"/>
        <v>#NUM!</v>
      </c>
      <c r="GZ144" s="60">
        <f ca="1">AVERAGE(OFFSET($GY$3,0,0,'Données projet'!$E$18+1,1))-AVERAGE(OFFSET($H$3,0,0,'Données projet'!$E$18+1,1))</f>
        <v>272.69564942740931</v>
      </c>
      <c r="HA144" s="60">
        <f t="shared" si="160"/>
        <v>316.57989180609252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>
        <f>EXP(-LN(2)/35)*HG143+(1-EXP(-LN(2)/35))/(LN(2)/35)*HC144*HD144*VLOOKUP('Données projet'!$B$18,Paramètres!$A$1:$I$89,3,0)*0.475*44/12</f>
        <v>0</v>
      </c>
      <c r="HH144" s="23">
        <f>EXP(-LN(2)/25)*HH143+(1-EXP(-LN(2)/25))/(LN(2)/25)*Calculateur!HC144*Calculateur!HE144*VLOOKUP('Données projet'!$B$18,Paramètres!$A$1:$I$89,3,0)*0.475*44/12</f>
        <v>0</v>
      </c>
      <c r="HI144" s="23">
        <f>EXP(-LN(2)/2)*HI143+(1-EXP(-LN(2)/2))/(LN(2)/2)*HC144*HF144*VLOOKUP('Données projet'!$B$18,Paramètres!$A$1:$I$89,3,0)*0.475*44/12</f>
        <v>0</v>
      </c>
      <c r="HJ144" s="24">
        <f t="shared" si="138"/>
        <v>0</v>
      </c>
    </row>
    <row r="145" spans="1:218" s="5" customFormat="1" x14ac:dyDescent="0.25">
      <c r="A145" s="11">
        <f t="shared" si="139"/>
        <v>142</v>
      </c>
      <c r="B145" s="75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8">
        <f t="shared" si="110"/>
        <v>183.33333333333334</v>
      </c>
      <c r="I145" s="7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3.5</v>
      </c>
      <c r="N145" s="14">
        <f>IF('Données projet'!$A$36&gt;35,N144+M145-V144,IF(A145&lt;'Données projet'!$A$36,$K$205^A145,IF(A145='Données projet'!$A$36,'Données projet'!$B$36,N144+M145-V144)))</f>
        <v>347.99999999999989</v>
      </c>
      <c r="O145" s="14">
        <f>N145*VLOOKUP('Données projet'!$B$9,Paramètres!$A$1:$I$89,3,0)*VLOOKUP('Données projet'!$B$9,Paramètres!$A$1:$I$89,5,0)</f>
        <v>314.8703999999999</v>
      </c>
      <c r="P145" s="14">
        <f t="shared" si="141"/>
        <v>74.285038887149952</v>
      </c>
      <c r="Q145" s="22">
        <f t="shared" si="108"/>
        <v>677.77905606178604</v>
      </c>
      <c r="R145" s="60">
        <f t="shared" si="109"/>
        <v>963.47421356484506</v>
      </c>
      <c r="S145" s="60">
        <f ca="1">AVERAGE(OFFSET($R$3,0,0,'Données projet'!$E$9+1,1))-AVERAGE(OFFSET($H$3,0,0,'Données projet'!$E$9+1,1))</f>
        <v>570.08763950759544</v>
      </c>
      <c r="T145" s="60">
        <f t="shared" si="142"/>
        <v>297.32483725004136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-5.6843418860808015E-14</v>
      </c>
      <c r="AJ145" s="14">
        <f>AI145*VLOOKUP('Données projet'!$B$10,Paramètres!$A$1:$I$89,3,0)*VLOOKUP('Données projet'!$B$10,Paramètres!$A$1:$I$89,5,0)</f>
        <v>-4.5224624045658861E-14</v>
      </c>
      <c r="AK145" s="14" t="e">
        <f t="shared" si="143"/>
        <v>#NUM!</v>
      </c>
      <c r="AL145" s="22" t="e">
        <f t="shared" si="112"/>
        <v>#NUM!</v>
      </c>
      <c r="AM145" s="60" t="e">
        <f t="shared" si="113"/>
        <v>#NUM!</v>
      </c>
      <c r="AN145" s="60">
        <f ca="1">AVERAGE(OFFSET($AM$3,0,0,'Données projet'!$E$10+1,1))-AVERAGE(OFFSET($H$3,0,0,'Données projet'!$E$10+1,1))</f>
        <v>394.49874384716014</v>
      </c>
      <c r="AO145" s="60">
        <f t="shared" si="144"/>
        <v>423.72519584013378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3.4106051316484809E-13</v>
      </c>
      <c r="BE145" s="14">
        <f>BD145*VLOOKUP('Données projet'!$B$11,Paramètres!$A$1:$I$89,3,0)*VLOOKUP('Données projet'!$B$11,Paramètres!$A$1:$I$89,5,0)</f>
        <v>2.9795046430081134E-13</v>
      </c>
      <c r="BF145" s="14">
        <f t="shared" si="145"/>
        <v>3.9419014464513778E-12</v>
      </c>
      <c r="BG145" s="22">
        <f t="shared" si="115"/>
        <v>7.384408744560063E-12</v>
      </c>
      <c r="BH145" s="60">
        <f t="shared" si="116"/>
        <v>285.69515750306647</v>
      </c>
      <c r="BI145" s="60">
        <f ca="1">AVERAGE(OFFSET($BH$3,0,0,'Données projet'!$E$11+1,1))-AVERAGE(OFFSET($H$3,0,0,'Données projet'!$E$11+1,1))</f>
        <v>363.28611056308665</v>
      </c>
      <c r="BJ145" s="60">
        <f t="shared" si="146"/>
        <v>389.43647559455974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5.6843418860808015E-14</v>
      </c>
      <c r="BZ145" s="14">
        <f>BY145*VLOOKUP('Données projet'!$B$12,Paramètres!$A$1:$I$89,3,0)*VLOOKUP('Données projet'!$B$12,Paramètres!$A$1:$I$89,5,0)</f>
        <v>5.4092197387944907E-14</v>
      </c>
      <c r="CA145" s="14">
        <f t="shared" si="147"/>
        <v>8.7287050538073676E-13</v>
      </c>
      <c r="CB145" s="22">
        <f t="shared" si="118"/>
        <v>1.6144600406554537E-12</v>
      </c>
      <c r="CC145" s="60">
        <f t="shared" si="119"/>
        <v>285.69515750306067</v>
      </c>
      <c r="CD145" s="60">
        <f ca="1">AVERAGE(OFFSET($CC$3,0,0,'Données projet'!$E$12+1,1))-AVERAGE(OFFSET($H$3,0,0,'Données projet'!$E$12+1,1))</f>
        <v>441.15969139782891</v>
      </c>
      <c r="CE145" s="60">
        <f t="shared" si="148"/>
        <v>315.06466790224783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-5.6843418860808015E-14</v>
      </c>
      <c r="CU145" s="18">
        <f>CT145*VLOOKUP('Données projet'!$B$13,Paramètres!$A$1:$I$89,3,0)*VLOOKUP('Données projet'!$B$13,Paramètres!$A$1:$I$89,5,0)</f>
        <v>-4.1677594708744434E-14</v>
      </c>
      <c r="CV145" s="14" t="e">
        <f t="shared" si="149"/>
        <v>#NUM!</v>
      </c>
      <c r="CW145" s="22" t="e">
        <f t="shared" si="121"/>
        <v>#NUM!</v>
      </c>
      <c r="CX145" s="60" t="e">
        <f t="shared" si="122"/>
        <v>#NUM!</v>
      </c>
      <c r="CY145" s="60">
        <f ca="1">AVERAGE(OFFSET($CX$3,0,0,'Données projet'!$E$13+1,1))-AVERAGE(OFFSET($H$3,0,0,'Données projet'!$E$13+1,1))</f>
        <v>368.35775920359396</v>
      </c>
      <c r="CZ145" s="60">
        <f t="shared" si="150"/>
        <v>395.5218438652638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1.1368683772161603E-13</v>
      </c>
      <c r="DP145" s="18">
        <f>DO145*VLOOKUP('Données projet'!$B$14,Paramètres!$A$1:$I$89,3,0)*VLOOKUP('Données projet'!$B$14,Paramètres!$A$1:$I$89,5,0)</f>
        <v>8.8675733422860506E-14</v>
      </c>
      <c r="DQ145" s="14">
        <f t="shared" si="151"/>
        <v>1.3509285393066301E-12</v>
      </c>
      <c r="DR145" s="22">
        <f t="shared" si="124"/>
        <v>2.5073107750038623E-12</v>
      </c>
      <c r="DS145" s="60">
        <f t="shared" si="125"/>
        <v>285.69515750306158</v>
      </c>
      <c r="DT145" s="60">
        <f ca="1">AVERAGE(OFFSET($DS$3,0,0,'Données projet'!$E$14+1,1))-AVERAGE(OFFSET($H$3,0,0,'Données projet'!$E$14+1,1))</f>
        <v>312.59632808777332</v>
      </c>
      <c r="DU145" s="60">
        <f t="shared" si="152"/>
        <v>302.59481222418219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0</v>
      </c>
      <c r="EE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-1.1368683772161603E-13</v>
      </c>
      <c r="EK145" s="18">
        <f>EJ145*VLOOKUP('Données projet'!$B$15,Paramètres!$A$1:$I$89,3,0)*VLOOKUP('Données projet'!$B$15,Paramètres!$A$1:$I$89,5,0)</f>
        <v>-9.7543306765146564E-14</v>
      </c>
      <c r="EL145" s="14" t="e">
        <f t="shared" si="153"/>
        <v>#NUM!</v>
      </c>
      <c r="EM145" s="22" t="e">
        <f t="shared" si="127"/>
        <v>#NUM!</v>
      </c>
      <c r="EN145" s="60" t="e">
        <f t="shared" si="128"/>
        <v>#NUM!</v>
      </c>
      <c r="EO145" s="60">
        <f ca="1">AVERAGE(OFFSET($EN$3,0,0,'Données projet'!$E$15+1,1))-AVERAGE(OFFSET($H$3,0,0,'Données projet'!$E$15+1,1))</f>
        <v>478.11504516179713</v>
      </c>
      <c r="EP145" s="60">
        <f t="shared" si="154"/>
        <v>249.93713224442419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0</v>
      </c>
      <c r="EW145" s="23">
        <f>EXP(-LN(2)/25)*EW144+(1-EXP(-LN(2)/25))/(LN(2)/25)*Calculateur!ER145*Calculateur!ET145*VLOOKUP('Données projet'!$B$15,Paramètres!$A$1:$I$89,3,0)*0.475*44/12</f>
        <v>0</v>
      </c>
      <c r="EX145" s="23">
        <f>EXP(-LN(2)/2)*EX144+(1-EXP(-LN(2)/2))/(LN(2)/2)*ER145*EU145*VLOOKUP('Données projet'!$B$15,Paramètres!$A$1:$I$89,3,0)*0.475*44/12</f>
        <v>0</v>
      </c>
      <c r="EY145" s="24">
        <f t="shared" si="129"/>
        <v>0</v>
      </c>
      <c r="EZ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3.5</v>
      </c>
      <c r="FE145" s="13">
        <f>IF('Données projet'!$A$218&gt;35,FE144+FD145-FM144,IF(A145&lt;'Données projet'!$A$218,$FB$205^A145,IF(A145='Données projet'!$A$218,'Données projet'!$B$218,FE144+FD145-FM144)))</f>
        <v>347.99999999999989</v>
      </c>
      <c r="FF145" s="18">
        <f>FE145*VLOOKUP('Données projet'!$B$16,Paramètres!$A$1:$I$89,3,0)*VLOOKUP('Données projet'!$B$16,Paramètres!$A$1:$I$89,5,0)</f>
        <v>336.58559999999989</v>
      </c>
      <c r="FG145" s="14">
        <f t="shared" si="155"/>
        <v>78.794095911992599</v>
      </c>
      <c r="FH145" s="22">
        <f t="shared" si="130"/>
        <v>723.45297038005356</v>
      </c>
      <c r="FI145" s="60">
        <f t="shared" si="131"/>
        <v>1009.1481278831127</v>
      </c>
      <c r="FJ145" s="60">
        <f ca="1">AVERAGE(OFFSET($FI$3,0,0,'Données projet'!$E$16+1,1))-AVERAGE(OFFSET($H$3,0,0,'Données projet'!$E$16+1,1))</f>
        <v>603.52431522262032</v>
      </c>
      <c r="FK145" s="60">
        <f t="shared" si="156"/>
        <v>313.56299786481338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>
        <f>EXP(-LN(2)/35)*FQ144+(1-EXP(-LN(2)/35))/(LN(2)/35)*FM145*FN145*VLOOKUP('Données projet'!$B$16,Paramètres!$A$1:$I$89,3,0)*0.475*44/12</f>
        <v>0</v>
      </c>
      <c r="FR145" s="23">
        <f>EXP(-LN(2)/25)*FR144+(1-EXP(-LN(2)/25))/(LN(2)/25)*Calculateur!FM145*Calculateur!FO145*VLOOKUP('Données projet'!$B$16,Paramètres!$A$1:$I$89,3,0)*0.475*44/12</f>
        <v>0</v>
      </c>
      <c r="FS145" s="23">
        <f>EXP(-LN(2)/2)*FS144+(1-EXP(-LN(2)/2))/(LN(2)/2)*FM145*FP145*VLOOKUP('Données projet'!$B$16,Paramètres!$A$1:$I$89,3,0)*0.475*44/12</f>
        <v>0</v>
      </c>
      <c r="FT145" s="24">
        <f t="shared" si="132"/>
        <v>0</v>
      </c>
      <c r="FU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>
        <f>FZ145*VLOOKUP('Données projet'!$B$17,Paramètres!$A$1:$I$89,3,0)*VLOOKUP('Données projet'!$B$17,Paramètres!$A$1:$I$89,5,0)</f>
        <v>0</v>
      </c>
      <c r="GB145" s="14" t="e">
        <f t="shared" si="157"/>
        <v>#NUM!</v>
      </c>
      <c r="GC145" s="22" t="e">
        <f t="shared" si="133"/>
        <v>#NUM!</v>
      </c>
      <c r="GD145" s="60" t="e">
        <f t="shared" si="134"/>
        <v>#NUM!</v>
      </c>
      <c r="GE145" s="60">
        <f ca="1">AVERAGE(OFFSET($GD$3,0,0,'Données projet'!$E$17+1,1))-AVERAGE(OFFSET($H$3,0,0,'Données projet'!$E$17+1,1))</f>
        <v>396.0878652679051</v>
      </c>
      <c r="GF145" s="60">
        <f t="shared" si="158"/>
        <v>327.26339199235406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>
        <f>EXP(-LN(2)/35)*GL144+(1-EXP(-LN(2)/35))/(LN(2)/35)*GH145*GI145*VLOOKUP('Données projet'!$B$17,Paramètres!$A$1:$I$89,3,0)*0.475*44/12</f>
        <v>0</v>
      </c>
      <c r="GM145" s="23">
        <f>EXP(-LN(2)/25)*GM144+(1-EXP(-LN(2)/25))/(LN(2)/25)*Calculateur!GH145*Calculateur!GJ145*VLOOKUP('Données projet'!$B$17,Paramètres!$A$1:$I$89,3,0)*0.475*44/12</f>
        <v>0</v>
      </c>
      <c r="GN145" s="23">
        <f>EXP(-LN(2)/2)*GN144+(1-EXP(-LN(2)/2))/(LN(2)/2)*GH145*GK145*VLOOKUP('Données projet'!$B$17,Paramètres!$A$1:$I$89,3,0)*0.475*44/12</f>
        <v>0</v>
      </c>
      <c r="GO145" s="23">
        <f t="shared" si="135"/>
        <v>0</v>
      </c>
      <c r="GP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-1.1368683772161603E-13</v>
      </c>
      <c r="GV145" s="18">
        <f>GU145*VLOOKUP('Données projet'!$B$18,Paramètres!$A$1:$I$89,3,0)*VLOOKUP('Données projet'!$B$18,Paramètres!$A$1:$I$89,5,0)</f>
        <v>-9.2222762759774927E-14</v>
      </c>
      <c r="GW145" s="14" t="e">
        <f t="shared" si="159"/>
        <v>#NUM!</v>
      </c>
      <c r="GX145" s="22" t="e">
        <f t="shared" si="136"/>
        <v>#NUM!</v>
      </c>
      <c r="GY145" s="60" t="e">
        <f t="shared" si="137"/>
        <v>#NUM!</v>
      </c>
      <c r="GZ145" s="60">
        <f ca="1">AVERAGE(OFFSET($GY$3,0,0,'Données projet'!$E$18+1,1))-AVERAGE(OFFSET($H$3,0,0,'Données projet'!$E$18+1,1))</f>
        <v>272.69564942740931</v>
      </c>
      <c r="HA145" s="60">
        <f t="shared" si="160"/>
        <v>316.57989180609252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>
        <f>EXP(-LN(2)/35)*HG144+(1-EXP(-LN(2)/35))/(LN(2)/35)*HC145*HD145*VLOOKUP('Données projet'!$B$18,Paramètres!$A$1:$I$89,3,0)*0.475*44/12</f>
        <v>0</v>
      </c>
      <c r="HH145" s="23">
        <f>EXP(-LN(2)/25)*HH144+(1-EXP(-LN(2)/25))/(LN(2)/25)*Calculateur!HC145*Calculateur!HE145*VLOOKUP('Données projet'!$B$18,Paramètres!$A$1:$I$89,3,0)*0.475*44/12</f>
        <v>0</v>
      </c>
      <c r="HI145" s="23">
        <f>EXP(-LN(2)/2)*HI144+(1-EXP(-LN(2)/2))/(LN(2)/2)*HC145*HF145*VLOOKUP('Données projet'!$B$18,Paramètres!$A$1:$I$89,3,0)*0.475*44/12</f>
        <v>0</v>
      </c>
      <c r="HJ145" s="24">
        <f t="shared" si="138"/>
        <v>0</v>
      </c>
    </row>
    <row r="146" spans="1:218" s="5" customFormat="1" x14ac:dyDescent="0.25">
      <c r="A146" s="11">
        <f t="shared" si="139"/>
        <v>143</v>
      </c>
      <c r="B146" s="75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8">
        <f t="shared" si="110"/>
        <v>183.33333333333334</v>
      </c>
      <c r="I146" s="7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3.5</v>
      </c>
      <c r="N146" s="14">
        <f>IF('Données projet'!$A$36&gt;35,N145+M146-V145,IF(A146&lt;'Données projet'!$A$36,$K$205^A146,IF(A146='Données projet'!$A$36,'Données projet'!$B$36,N145+M146-V145)))</f>
        <v>351.49999999999989</v>
      </c>
      <c r="O146" s="14">
        <f>N146*VLOOKUP('Données projet'!$B$9,Paramètres!$A$1:$I$89,3,0)*VLOOKUP('Données projet'!$B$9,Paramètres!$A$1:$I$89,5,0)</f>
        <v>318.03719999999987</v>
      </c>
      <c r="P146" s="14">
        <f t="shared" si="141"/>
        <v>74.944808824911618</v>
      </c>
      <c r="Q146" s="22">
        <f t="shared" si="108"/>
        <v>684.44366537005408</v>
      </c>
      <c r="R146" s="60">
        <f t="shared" si="109"/>
        <v>970.27132814736547</v>
      </c>
      <c r="S146" s="60">
        <f ca="1">AVERAGE(OFFSET($R$3,0,0,'Données projet'!$E$9+1,1))-AVERAGE(OFFSET($H$3,0,0,'Données projet'!$E$9+1,1))</f>
        <v>570.08763950759544</v>
      </c>
      <c r="T146" s="60">
        <f t="shared" si="142"/>
        <v>297.32483725004136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-5.6843418860808015E-14</v>
      </c>
      <c r="AJ146" s="14">
        <f>AI146*VLOOKUP('Données projet'!$B$10,Paramètres!$A$1:$I$89,3,0)*VLOOKUP('Données projet'!$B$10,Paramètres!$A$1:$I$89,5,0)</f>
        <v>-4.5224624045658861E-14</v>
      </c>
      <c r="AK146" s="14" t="e">
        <f t="shared" si="143"/>
        <v>#NUM!</v>
      </c>
      <c r="AL146" s="22" t="e">
        <f t="shared" si="112"/>
        <v>#NUM!</v>
      </c>
      <c r="AM146" s="60" t="e">
        <f t="shared" si="113"/>
        <v>#NUM!</v>
      </c>
      <c r="AN146" s="60">
        <f ca="1">AVERAGE(OFFSET($AM$3,0,0,'Données projet'!$E$10+1,1))-AVERAGE(OFFSET($H$3,0,0,'Données projet'!$E$10+1,1))</f>
        <v>394.49874384716014</v>
      </c>
      <c r="AO146" s="60">
        <f t="shared" si="144"/>
        <v>423.72519584013378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3.4106051316484809E-13</v>
      </c>
      <c r="BE146" s="14">
        <f>BD146*VLOOKUP('Données projet'!$B$11,Paramètres!$A$1:$I$89,3,0)*VLOOKUP('Données projet'!$B$11,Paramètres!$A$1:$I$89,5,0)</f>
        <v>2.9795046430081134E-13</v>
      </c>
      <c r="BF146" s="14">
        <f t="shared" si="145"/>
        <v>3.9419014464513778E-12</v>
      </c>
      <c r="BG146" s="22">
        <f t="shared" si="115"/>
        <v>7.384408744560063E-12</v>
      </c>
      <c r="BH146" s="60">
        <f t="shared" si="116"/>
        <v>285.82766277731884</v>
      </c>
      <c r="BI146" s="60">
        <f ca="1">AVERAGE(OFFSET($BH$3,0,0,'Données projet'!$E$11+1,1))-AVERAGE(OFFSET($H$3,0,0,'Données projet'!$E$11+1,1))</f>
        <v>363.28611056308665</v>
      </c>
      <c r="BJ146" s="60">
        <f t="shared" si="146"/>
        <v>389.43647559455974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5.6843418860808015E-14</v>
      </c>
      <c r="BZ146" s="14">
        <f>BY146*VLOOKUP('Données projet'!$B$12,Paramètres!$A$1:$I$89,3,0)*VLOOKUP('Données projet'!$B$12,Paramètres!$A$1:$I$89,5,0)</f>
        <v>5.4092197387944907E-14</v>
      </c>
      <c r="CA146" s="14">
        <f t="shared" si="147"/>
        <v>8.7287050538073676E-13</v>
      </c>
      <c r="CB146" s="22">
        <f t="shared" si="118"/>
        <v>1.6144600406554537E-12</v>
      </c>
      <c r="CC146" s="60">
        <f t="shared" si="119"/>
        <v>285.82766277731304</v>
      </c>
      <c r="CD146" s="60">
        <f ca="1">AVERAGE(OFFSET($CC$3,0,0,'Données projet'!$E$12+1,1))-AVERAGE(OFFSET($H$3,0,0,'Données projet'!$E$12+1,1))</f>
        <v>441.15969139782891</v>
      </c>
      <c r="CE146" s="60">
        <f t="shared" si="148"/>
        <v>315.06466790224783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-5.6843418860808015E-14</v>
      </c>
      <c r="CU146" s="18">
        <f>CT146*VLOOKUP('Données projet'!$B$13,Paramètres!$A$1:$I$89,3,0)*VLOOKUP('Données projet'!$B$13,Paramètres!$A$1:$I$89,5,0)</f>
        <v>-4.1677594708744434E-14</v>
      </c>
      <c r="CV146" s="14" t="e">
        <f t="shared" si="149"/>
        <v>#NUM!</v>
      </c>
      <c r="CW146" s="22" t="e">
        <f t="shared" si="121"/>
        <v>#NUM!</v>
      </c>
      <c r="CX146" s="60" t="e">
        <f t="shared" si="122"/>
        <v>#NUM!</v>
      </c>
      <c r="CY146" s="60">
        <f ca="1">AVERAGE(OFFSET($CX$3,0,0,'Données projet'!$E$13+1,1))-AVERAGE(OFFSET($H$3,0,0,'Données projet'!$E$13+1,1))</f>
        <v>368.35775920359396</v>
      </c>
      <c r="CZ146" s="60">
        <f t="shared" si="150"/>
        <v>395.5218438652638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1.1368683772161603E-13</v>
      </c>
      <c r="DP146" s="18">
        <f>DO146*VLOOKUP('Données projet'!$B$14,Paramètres!$A$1:$I$89,3,0)*VLOOKUP('Données projet'!$B$14,Paramètres!$A$1:$I$89,5,0)</f>
        <v>8.8675733422860506E-14</v>
      </c>
      <c r="DQ146" s="14">
        <f t="shared" si="151"/>
        <v>1.3509285393066301E-12</v>
      </c>
      <c r="DR146" s="22">
        <f t="shared" si="124"/>
        <v>2.5073107750038623E-12</v>
      </c>
      <c r="DS146" s="60">
        <f t="shared" si="125"/>
        <v>285.82766277731395</v>
      </c>
      <c r="DT146" s="60">
        <f ca="1">AVERAGE(OFFSET($DS$3,0,0,'Données projet'!$E$14+1,1))-AVERAGE(OFFSET($H$3,0,0,'Données projet'!$E$14+1,1))</f>
        <v>312.59632808777332</v>
      </c>
      <c r="DU146" s="60">
        <f t="shared" si="152"/>
        <v>302.59481222418219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0</v>
      </c>
      <c r="EE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-1.1368683772161603E-13</v>
      </c>
      <c r="EK146" s="18">
        <f>EJ146*VLOOKUP('Données projet'!$B$15,Paramètres!$A$1:$I$89,3,0)*VLOOKUP('Données projet'!$B$15,Paramètres!$A$1:$I$89,5,0)</f>
        <v>-9.7543306765146564E-14</v>
      </c>
      <c r="EL146" s="14" t="e">
        <f t="shared" si="153"/>
        <v>#NUM!</v>
      </c>
      <c r="EM146" s="22" t="e">
        <f t="shared" si="127"/>
        <v>#NUM!</v>
      </c>
      <c r="EN146" s="60" t="e">
        <f t="shared" si="128"/>
        <v>#NUM!</v>
      </c>
      <c r="EO146" s="60">
        <f ca="1">AVERAGE(OFFSET($EN$3,0,0,'Données projet'!$E$15+1,1))-AVERAGE(OFFSET($H$3,0,0,'Données projet'!$E$15+1,1))</f>
        <v>478.11504516179713</v>
      </c>
      <c r="EP146" s="60">
        <f t="shared" si="154"/>
        <v>249.93713224442419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0</v>
      </c>
      <c r="EW146" s="23">
        <f>EXP(-LN(2)/25)*EW145+(1-EXP(-LN(2)/25))/(LN(2)/25)*Calculateur!ER146*Calculateur!ET146*VLOOKUP('Données projet'!$B$15,Paramètres!$A$1:$I$89,3,0)*0.475*44/12</f>
        <v>0</v>
      </c>
      <c r="EX146" s="23">
        <f>EXP(-LN(2)/2)*EX145+(1-EXP(-LN(2)/2))/(LN(2)/2)*ER146*EU146*VLOOKUP('Données projet'!$B$15,Paramètres!$A$1:$I$89,3,0)*0.475*44/12</f>
        <v>0</v>
      </c>
      <c r="EY146" s="24">
        <f t="shared" si="129"/>
        <v>0</v>
      </c>
      <c r="EZ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3.5</v>
      </c>
      <c r="FE146" s="13">
        <f>IF('Données projet'!$A$218&gt;35,FE145+FD146-FM145,IF(A146&lt;'Données projet'!$A$218,$FB$205^A146,IF(A146='Données projet'!$A$218,'Données projet'!$B$218,FE145+FD146-FM145)))</f>
        <v>351.49999999999989</v>
      </c>
      <c r="FF146" s="18">
        <f>FE146*VLOOKUP('Données projet'!$B$16,Paramètres!$A$1:$I$89,3,0)*VLOOKUP('Données projet'!$B$16,Paramètres!$A$1:$I$89,5,0)</f>
        <v>339.97079999999988</v>
      </c>
      <c r="FG146" s="14">
        <f t="shared" si="155"/>
        <v>79.493913486764498</v>
      </c>
      <c r="FH146" s="22">
        <f t="shared" si="130"/>
        <v>730.5677093227813</v>
      </c>
      <c r="FI146" s="60">
        <f t="shared" si="131"/>
        <v>1016.3953721000928</v>
      </c>
      <c r="FJ146" s="60">
        <f ca="1">AVERAGE(OFFSET($FI$3,0,0,'Données projet'!$E$16+1,1))-AVERAGE(OFFSET($H$3,0,0,'Données projet'!$E$16+1,1))</f>
        <v>603.52431522262032</v>
      </c>
      <c r="FK146" s="60">
        <f t="shared" si="156"/>
        <v>313.56299786481338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>
        <f>EXP(-LN(2)/35)*FQ145+(1-EXP(-LN(2)/35))/(LN(2)/35)*FM146*FN146*VLOOKUP('Données projet'!$B$16,Paramètres!$A$1:$I$89,3,0)*0.475*44/12</f>
        <v>0</v>
      </c>
      <c r="FR146" s="23">
        <f>EXP(-LN(2)/25)*FR145+(1-EXP(-LN(2)/25))/(LN(2)/25)*Calculateur!FM146*Calculateur!FO146*VLOOKUP('Données projet'!$B$16,Paramètres!$A$1:$I$89,3,0)*0.475*44/12</f>
        <v>0</v>
      </c>
      <c r="FS146" s="23">
        <f>EXP(-LN(2)/2)*FS145+(1-EXP(-LN(2)/2))/(LN(2)/2)*FM146*FP146*VLOOKUP('Données projet'!$B$16,Paramètres!$A$1:$I$89,3,0)*0.475*44/12</f>
        <v>0</v>
      </c>
      <c r="FT146" s="24">
        <f t="shared" si="132"/>
        <v>0</v>
      </c>
      <c r="FU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>
        <f>FZ146*VLOOKUP('Données projet'!$B$17,Paramètres!$A$1:$I$89,3,0)*VLOOKUP('Données projet'!$B$17,Paramètres!$A$1:$I$89,5,0)</f>
        <v>0</v>
      </c>
      <c r="GB146" s="14" t="e">
        <f t="shared" si="157"/>
        <v>#NUM!</v>
      </c>
      <c r="GC146" s="22" t="e">
        <f t="shared" si="133"/>
        <v>#NUM!</v>
      </c>
      <c r="GD146" s="60" t="e">
        <f t="shared" si="134"/>
        <v>#NUM!</v>
      </c>
      <c r="GE146" s="60">
        <f ca="1">AVERAGE(OFFSET($GD$3,0,0,'Données projet'!$E$17+1,1))-AVERAGE(OFFSET($H$3,0,0,'Données projet'!$E$17+1,1))</f>
        <v>396.0878652679051</v>
      </c>
      <c r="GF146" s="60">
        <f t="shared" si="158"/>
        <v>327.26339199235406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>
        <f>EXP(-LN(2)/35)*GL145+(1-EXP(-LN(2)/35))/(LN(2)/35)*GH146*GI146*VLOOKUP('Données projet'!$B$17,Paramètres!$A$1:$I$89,3,0)*0.475*44/12</f>
        <v>0</v>
      </c>
      <c r="GM146" s="23">
        <f>EXP(-LN(2)/25)*GM145+(1-EXP(-LN(2)/25))/(LN(2)/25)*Calculateur!GH146*Calculateur!GJ146*VLOOKUP('Données projet'!$B$17,Paramètres!$A$1:$I$89,3,0)*0.475*44/12</f>
        <v>0</v>
      </c>
      <c r="GN146" s="23">
        <f>EXP(-LN(2)/2)*GN145+(1-EXP(-LN(2)/2))/(LN(2)/2)*GH146*GK146*VLOOKUP('Données projet'!$B$17,Paramètres!$A$1:$I$89,3,0)*0.475*44/12</f>
        <v>0</v>
      </c>
      <c r="GO146" s="23">
        <f t="shared" si="135"/>
        <v>0</v>
      </c>
      <c r="GP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-1.1368683772161603E-13</v>
      </c>
      <c r="GV146" s="18">
        <f>GU146*VLOOKUP('Données projet'!$B$18,Paramètres!$A$1:$I$89,3,0)*VLOOKUP('Données projet'!$B$18,Paramètres!$A$1:$I$89,5,0)</f>
        <v>-9.2222762759774927E-14</v>
      </c>
      <c r="GW146" s="14" t="e">
        <f t="shared" si="159"/>
        <v>#NUM!</v>
      </c>
      <c r="GX146" s="22" t="e">
        <f t="shared" si="136"/>
        <v>#NUM!</v>
      </c>
      <c r="GY146" s="60" t="e">
        <f t="shared" si="137"/>
        <v>#NUM!</v>
      </c>
      <c r="GZ146" s="60">
        <f ca="1">AVERAGE(OFFSET($GY$3,0,0,'Données projet'!$E$18+1,1))-AVERAGE(OFFSET($H$3,0,0,'Données projet'!$E$18+1,1))</f>
        <v>272.69564942740931</v>
      </c>
      <c r="HA146" s="60">
        <f t="shared" si="160"/>
        <v>316.57989180609252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>
        <f>EXP(-LN(2)/35)*HG145+(1-EXP(-LN(2)/35))/(LN(2)/35)*HC146*HD146*VLOOKUP('Données projet'!$B$18,Paramètres!$A$1:$I$89,3,0)*0.475*44/12</f>
        <v>0</v>
      </c>
      <c r="HH146" s="23">
        <f>EXP(-LN(2)/25)*HH145+(1-EXP(-LN(2)/25))/(LN(2)/25)*Calculateur!HC146*Calculateur!HE146*VLOOKUP('Données projet'!$B$18,Paramètres!$A$1:$I$89,3,0)*0.475*44/12</f>
        <v>0</v>
      </c>
      <c r="HI146" s="23">
        <f>EXP(-LN(2)/2)*HI145+(1-EXP(-LN(2)/2))/(LN(2)/2)*HC146*HF146*VLOOKUP('Données projet'!$B$18,Paramètres!$A$1:$I$89,3,0)*0.475*44/12</f>
        <v>0</v>
      </c>
      <c r="HJ146" s="24">
        <f t="shared" si="138"/>
        <v>0</v>
      </c>
    </row>
    <row r="147" spans="1:218" s="5" customFormat="1" x14ac:dyDescent="0.25">
      <c r="A147" s="11">
        <f t="shared" si="139"/>
        <v>144</v>
      </c>
      <c r="B147" s="75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8">
        <f t="shared" si="110"/>
        <v>183.33333333333334</v>
      </c>
      <c r="I147" s="7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3.5</v>
      </c>
      <c r="N147" s="14">
        <f>IF('Données projet'!$A$36&gt;35,N146+M147-V146,IF(A147&lt;'Données projet'!$A$36,$K$205^A147,IF(A147='Données projet'!$A$36,'Données projet'!$B$36,N146+M147-V146)))</f>
        <v>354.99999999999989</v>
      </c>
      <c r="O147" s="14">
        <f>N147*VLOOKUP('Données projet'!$B$9,Paramètres!$A$1:$I$89,3,0)*VLOOKUP('Données projet'!$B$9,Paramètres!$A$1:$I$89,5,0)</f>
        <v>321.20399999999989</v>
      </c>
      <c r="P147" s="14">
        <f t="shared" si="141"/>
        <v>75.603814497354989</v>
      </c>
      <c r="Q147" s="22">
        <f t="shared" si="108"/>
        <v>691.10694358289311</v>
      </c>
      <c r="R147" s="60">
        <f t="shared" si="109"/>
        <v>977.06481296418599</v>
      </c>
      <c r="S147" s="60">
        <f ca="1">AVERAGE(OFFSET($R$3,0,0,'Données projet'!$E$9+1,1))-AVERAGE(OFFSET($H$3,0,0,'Données projet'!$E$9+1,1))</f>
        <v>570.08763950759544</v>
      </c>
      <c r="T147" s="60">
        <f t="shared" si="142"/>
        <v>297.32483725004136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-5.6843418860808015E-14</v>
      </c>
      <c r="AJ147" s="14">
        <f>AI147*VLOOKUP('Données projet'!$B$10,Paramètres!$A$1:$I$89,3,0)*VLOOKUP('Données projet'!$B$10,Paramètres!$A$1:$I$89,5,0)</f>
        <v>-4.5224624045658861E-14</v>
      </c>
      <c r="AK147" s="14" t="e">
        <f t="shared" si="143"/>
        <v>#NUM!</v>
      </c>
      <c r="AL147" s="22" t="e">
        <f t="shared" si="112"/>
        <v>#NUM!</v>
      </c>
      <c r="AM147" s="60" t="e">
        <f t="shared" si="113"/>
        <v>#NUM!</v>
      </c>
      <c r="AN147" s="60">
        <f ca="1">AVERAGE(OFFSET($AM$3,0,0,'Données projet'!$E$10+1,1))-AVERAGE(OFFSET($H$3,0,0,'Données projet'!$E$10+1,1))</f>
        <v>394.49874384716014</v>
      </c>
      <c r="AO147" s="60">
        <f t="shared" si="144"/>
        <v>423.72519584013378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3.4106051316484809E-13</v>
      </c>
      <c r="BE147" s="14">
        <f>BD147*VLOOKUP('Données projet'!$B$11,Paramètres!$A$1:$I$89,3,0)*VLOOKUP('Données projet'!$B$11,Paramètres!$A$1:$I$89,5,0)</f>
        <v>2.9795046430081134E-13</v>
      </c>
      <c r="BF147" s="14">
        <f t="shared" si="145"/>
        <v>3.9419014464513778E-12</v>
      </c>
      <c r="BG147" s="22">
        <f t="shared" si="115"/>
        <v>7.384408744560063E-12</v>
      </c>
      <c r="BH147" s="60">
        <f t="shared" si="116"/>
        <v>285.95786938130027</v>
      </c>
      <c r="BI147" s="60">
        <f ca="1">AVERAGE(OFFSET($BH$3,0,0,'Données projet'!$E$11+1,1))-AVERAGE(OFFSET($H$3,0,0,'Données projet'!$E$11+1,1))</f>
        <v>363.28611056308665</v>
      </c>
      <c r="BJ147" s="60">
        <f t="shared" si="146"/>
        <v>389.43647559455974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5.6843418860808015E-14</v>
      </c>
      <c r="BZ147" s="14">
        <f>BY147*VLOOKUP('Données projet'!$B$12,Paramètres!$A$1:$I$89,3,0)*VLOOKUP('Données projet'!$B$12,Paramètres!$A$1:$I$89,5,0)</f>
        <v>5.4092197387944907E-14</v>
      </c>
      <c r="CA147" s="14">
        <f t="shared" si="147"/>
        <v>8.7287050538073676E-13</v>
      </c>
      <c r="CB147" s="22">
        <f t="shared" si="118"/>
        <v>1.6144600406554537E-12</v>
      </c>
      <c r="CC147" s="60">
        <f t="shared" si="119"/>
        <v>285.95786938129447</v>
      </c>
      <c r="CD147" s="60">
        <f ca="1">AVERAGE(OFFSET($CC$3,0,0,'Données projet'!$E$12+1,1))-AVERAGE(OFFSET($H$3,0,0,'Données projet'!$E$12+1,1))</f>
        <v>441.15969139782891</v>
      </c>
      <c r="CE147" s="60">
        <f t="shared" si="148"/>
        <v>315.06466790224783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-5.6843418860808015E-14</v>
      </c>
      <c r="CU147" s="18">
        <f>CT147*VLOOKUP('Données projet'!$B$13,Paramètres!$A$1:$I$89,3,0)*VLOOKUP('Données projet'!$B$13,Paramètres!$A$1:$I$89,5,0)</f>
        <v>-4.1677594708744434E-14</v>
      </c>
      <c r="CV147" s="14" t="e">
        <f t="shared" si="149"/>
        <v>#NUM!</v>
      </c>
      <c r="CW147" s="22" t="e">
        <f t="shared" si="121"/>
        <v>#NUM!</v>
      </c>
      <c r="CX147" s="60" t="e">
        <f t="shared" si="122"/>
        <v>#NUM!</v>
      </c>
      <c r="CY147" s="60">
        <f ca="1">AVERAGE(OFFSET($CX$3,0,0,'Données projet'!$E$13+1,1))-AVERAGE(OFFSET($H$3,0,0,'Données projet'!$E$13+1,1))</f>
        <v>368.35775920359396</v>
      </c>
      <c r="CZ147" s="60">
        <f t="shared" si="150"/>
        <v>395.5218438652638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1.1368683772161603E-13</v>
      </c>
      <c r="DP147" s="18">
        <f>DO147*VLOOKUP('Données projet'!$B$14,Paramètres!$A$1:$I$89,3,0)*VLOOKUP('Données projet'!$B$14,Paramètres!$A$1:$I$89,5,0)</f>
        <v>8.8675733422860506E-14</v>
      </c>
      <c r="DQ147" s="14">
        <f t="shared" si="151"/>
        <v>1.3509285393066301E-12</v>
      </c>
      <c r="DR147" s="22">
        <f t="shared" si="124"/>
        <v>2.5073107750038623E-12</v>
      </c>
      <c r="DS147" s="60">
        <f t="shared" si="125"/>
        <v>285.95786938129538</v>
      </c>
      <c r="DT147" s="60">
        <f ca="1">AVERAGE(OFFSET($DS$3,0,0,'Données projet'!$E$14+1,1))-AVERAGE(OFFSET($H$3,0,0,'Données projet'!$E$14+1,1))</f>
        <v>312.59632808777332</v>
      </c>
      <c r="DU147" s="60">
        <f t="shared" si="152"/>
        <v>302.59481222418219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0</v>
      </c>
      <c r="EE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-1.1368683772161603E-13</v>
      </c>
      <c r="EK147" s="18">
        <f>EJ147*VLOOKUP('Données projet'!$B$15,Paramètres!$A$1:$I$89,3,0)*VLOOKUP('Données projet'!$B$15,Paramètres!$A$1:$I$89,5,0)</f>
        <v>-9.7543306765146564E-14</v>
      </c>
      <c r="EL147" s="14" t="e">
        <f t="shared" si="153"/>
        <v>#NUM!</v>
      </c>
      <c r="EM147" s="22" t="e">
        <f t="shared" si="127"/>
        <v>#NUM!</v>
      </c>
      <c r="EN147" s="60" t="e">
        <f t="shared" si="128"/>
        <v>#NUM!</v>
      </c>
      <c r="EO147" s="60">
        <f ca="1">AVERAGE(OFFSET($EN$3,0,0,'Données projet'!$E$15+1,1))-AVERAGE(OFFSET($H$3,0,0,'Données projet'!$E$15+1,1))</f>
        <v>478.11504516179713</v>
      </c>
      <c r="EP147" s="60">
        <f t="shared" si="154"/>
        <v>249.93713224442419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0</v>
      </c>
      <c r="EW147" s="23">
        <f>EXP(-LN(2)/25)*EW146+(1-EXP(-LN(2)/25))/(LN(2)/25)*Calculateur!ER147*Calculateur!ET147*VLOOKUP('Données projet'!$B$15,Paramètres!$A$1:$I$89,3,0)*0.475*44/12</f>
        <v>0</v>
      </c>
      <c r="EX147" s="23">
        <f>EXP(-LN(2)/2)*EX146+(1-EXP(-LN(2)/2))/(LN(2)/2)*ER147*EU147*VLOOKUP('Données projet'!$B$15,Paramètres!$A$1:$I$89,3,0)*0.475*44/12</f>
        <v>0</v>
      </c>
      <c r="EY147" s="24">
        <f t="shared" si="129"/>
        <v>0</v>
      </c>
      <c r="EZ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3.5</v>
      </c>
      <c r="FE147" s="13">
        <f>IF('Données projet'!$A$218&gt;35,FE146+FD147-FM146,IF(A147&lt;'Données projet'!$A$218,$FB$205^A147,IF(A147='Données projet'!$A$218,'Données projet'!$B$218,FE146+FD147-FM146)))</f>
        <v>354.99999999999989</v>
      </c>
      <c r="FF147" s="18">
        <f>FE147*VLOOKUP('Données projet'!$B$16,Paramètres!$A$1:$I$89,3,0)*VLOOKUP('Données projet'!$B$16,Paramètres!$A$1:$I$89,5,0)</f>
        <v>343.35599999999994</v>
      </c>
      <c r="FG147" s="14">
        <f t="shared" si="155"/>
        <v>80.192920405774515</v>
      </c>
      <c r="FH147" s="22">
        <f t="shared" si="130"/>
        <v>737.68103637339038</v>
      </c>
      <c r="FI147" s="60">
        <f t="shared" si="131"/>
        <v>1023.6389057546833</v>
      </c>
      <c r="FJ147" s="60">
        <f ca="1">AVERAGE(OFFSET($FI$3,0,0,'Données projet'!$E$16+1,1))-AVERAGE(OFFSET($H$3,0,0,'Données projet'!$E$16+1,1))</f>
        <v>603.52431522262032</v>
      </c>
      <c r="FK147" s="60">
        <f t="shared" si="156"/>
        <v>313.56299786481338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>
        <f>EXP(-LN(2)/35)*FQ146+(1-EXP(-LN(2)/35))/(LN(2)/35)*FM147*FN147*VLOOKUP('Données projet'!$B$16,Paramètres!$A$1:$I$89,3,0)*0.475*44/12</f>
        <v>0</v>
      </c>
      <c r="FR147" s="23">
        <f>EXP(-LN(2)/25)*FR146+(1-EXP(-LN(2)/25))/(LN(2)/25)*Calculateur!FM147*Calculateur!FO147*VLOOKUP('Données projet'!$B$16,Paramètres!$A$1:$I$89,3,0)*0.475*44/12</f>
        <v>0</v>
      </c>
      <c r="FS147" s="23">
        <f>EXP(-LN(2)/2)*FS146+(1-EXP(-LN(2)/2))/(LN(2)/2)*FM147*FP147*VLOOKUP('Données projet'!$B$16,Paramètres!$A$1:$I$89,3,0)*0.475*44/12</f>
        <v>0</v>
      </c>
      <c r="FT147" s="24">
        <f t="shared" si="132"/>
        <v>0</v>
      </c>
      <c r="FU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>
        <f>FZ147*VLOOKUP('Données projet'!$B$17,Paramètres!$A$1:$I$89,3,0)*VLOOKUP('Données projet'!$B$17,Paramètres!$A$1:$I$89,5,0)</f>
        <v>0</v>
      </c>
      <c r="GB147" s="14" t="e">
        <f t="shared" si="157"/>
        <v>#NUM!</v>
      </c>
      <c r="GC147" s="22" t="e">
        <f t="shared" si="133"/>
        <v>#NUM!</v>
      </c>
      <c r="GD147" s="60" t="e">
        <f t="shared" si="134"/>
        <v>#NUM!</v>
      </c>
      <c r="GE147" s="60">
        <f ca="1">AVERAGE(OFFSET($GD$3,0,0,'Données projet'!$E$17+1,1))-AVERAGE(OFFSET($H$3,0,0,'Données projet'!$E$17+1,1))</f>
        <v>396.0878652679051</v>
      </c>
      <c r="GF147" s="60">
        <f t="shared" si="158"/>
        <v>327.26339199235406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>
        <f>EXP(-LN(2)/35)*GL146+(1-EXP(-LN(2)/35))/(LN(2)/35)*GH147*GI147*VLOOKUP('Données projet'!$B$17,Paramètres!$A$1:$I$89,3,0)*0.475*44/12</f>
        <v>0</v>
      </c>
      <c r="GM147" s="23">
        <f>EXP(-LN(2)/25)*GM146+(1-EXP(-LN(2)/25))/(LN(2)/25)*Calculateur!GH147*Calculateur!GJ147*VLOOKUP('Données projet'!$B$17,Paramètres!$A$1:$I$89,3,0)*0.475*44/12</f>
        <v>0</v>
      </c>
      <c r="GN147" s="23">
        <f>EXP(-LN(2)/2)*GN146+(1-EXP(-LN(2)/2))/(LN(2)/2)*GH147*GK147*VLOOKUP('Données projet'!$B$17,Paramètres!$A$1:$I$89,3,0)*0.475*44/12</f>
        <v>0</v>
      </c>
      <c r="GO147" s="23">
        <f t="shared" si="135"/>
        <v>0</v>
      </c>
      <c r="GP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-1.1368683772161603E-13</v>
      </c>
      <c r="GV147" s="18">
        <f>GU147*VLOOKUP('Données projet'!$B$18,Paramètres!$A$1:$I$89,3,0)*VLOOKUP('Données projet'!$B$18,Paramètres!$A$1:$I$89,5,0)</f>
        <v>-9.2222762759774927E-14</v>
      </c>
      <c r="GW147" s="14" t="e">
        <f t="shared" si="159"/>
        <v>#NUM!</v>
      </c>
      <c r="GX147" s="22" t="e">
        <f t="shared" si="136"/>
        <v>#NUM!</v>
      </c>
      <c r="GY147" s="60" t="e">
        <f t="shared" si="137"/>
        <v>#NUM!</v>
      </c>
      <c r="GZ147" s="60">
        <f ca="1">AVERAGE(OFFSET($GY$3,0,0,'Données projet'!$E$18+1,1))-AVERAGE(OFFSET($H$3,0,0,'Données projet'!$E$18+1,1))</f>
        <v>272.69564942740931</v>
      </c>
      <c r="HA147" s="60">
        <f t="shared" si="160"/>
        <v>316.57989180609252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>
        <f>EXP(-LN(2)/35)*HG146+(1-EXP(-LN(2)/35))/(LN(2)/35)*HC147*HD147*VLOOKUP('Données projet'!$B$18,Paramètres!$A$1:$I$89,3,0)*0.475*44/12</f>
        <v>0</v>
      </c>
      <c r="HH147" s="23">
        <f>EXP(-LN(2)/25)*HH146+(1-EXP(-LN(2)/25))/(LN(2)/25)*Calculateur!HC147*Calculateur!HE147*VLOOKUP('Données projet'!$B$18,Paramètres!$A$1:$I$89,3,0)*0.475*44/12</f>
        <v>0</v>
      </c>
      <c r="HI147" s="23">
        <f>EXP(-LN(2)/2)*HI146+(1-EXP(-LN(2)/2))/(LN(2)/2)*HC147*HF147*VLOOKUP('Données projet'!$B$18,Paramètres!$A$1:$I$89,3,0)*0.475*44/12</f>
        <v>0</v>
      </c>
      <c r="HJ147" s="24">
        <f t="shared" si="138"/>
        <v>0</v>
      </c>
    </row>
    <row r="148" spans="1:218" s="5" customFormat="1" x14ac:dyDescent="0.25">
      <c r="A148" s="11">
        <f t="shared" si="139"/>
        <v>145</v>
      </c>
      <c r="B148" s="75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8">
        <f t="shared" si="110"/>
        <v>183.33333333333334</v>
      </c>
      <c r="I148" s="7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3.5</v>
      </c>
      <c r="N148" s="14">
        <f>IF('Données projet'!$A$36&gt;35,N147+M148-V147,IF(A148&lt;'Données projet'!$A$36,$K$205^A148,IF(A148='Données projet'!$A$36,'Données projet'!$B$36,N147+M148-V147)))</f>
        <v>358.49999999999989</v>
      </c>
      <c r="O148" s="14">
        <f>N148*VLOOKUP('Données projet'!$B$9,Paramètres!$A$1:$I$89,3,0)*VLOOKUP('Données projet'!$B$9,Paramètres!$A$1:$I$89,5,0)</f>
        <v>324.37079999999986</v>
      </c>
      <c r="P148" s="14">
        <f t="shared" si="141"/>
        <v>76.262064312013905</v>
      </c>
      <c r="Q148" s="22">
        <f t="shared" si="108"/>
        <v>697.76890534342408</v>
      </c>
      <c r="R148" s="60">
        <f t="shared" si="109"/>
        <v>983.85472253521766</v>
      </c>
      <c r="S148" s="60">
        <f ca="1">AVERAGE(OFFSET($R$3,0,0,'Données projet'!$E$9+1,1))-AVERAGE(OFFSET($H$3,0,0,'Données projet'!$E$9+1,1))</f>
        <v>570.08763950759544</v>
      </c>
      <c r="T148" s="60">
        <f t="shared" si="142"/>
        <v>297.32483725004136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-5.6843418860808015E-14</v>
      </c>
      <c r="AJ148" s="14">
        <f>AI148*VLOOKUP('Données projet'!$B$10,Paramètres!$A$1:$I$89,3,0)*VLOOKUP('Données projet'!$B$10,Paramètres!$A$1:$I$89,5,0)</f>
        <v>-4.5224624045658861E-14</v>
      </c>
      <c r="AK148" s="14" t="e">
        <f t="shared" si="143"/>
        <v>#NUM!</v>
      </c>
      <c r="AL148" s="22" t="e">
        <f t="shared" si="112"/>
        <v>#NUM!</v>
      </c>
      <c r="AM148" s="60" t="e">
        <f t="shared" si="113"/>
        <v>#NUM!</v>
      </c>
      <c r="AN148" s="60">
        <f ca="1">AVERAGE(OFFSET($AM$3,0,0,'Données projet'!$E$10+1,1))-AVERAGE(OFFSET($H$3,0,0,'Données projet'!$E$10+1,1))</f>
        <v>394.49874384716014</v>
      </c>
      <c r="AO148" s="60">
        <f t="shared" si="144"/>
        <v>423.72519584013378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3.4106051316484809E-13</v>
      </c>
      <c r="BE148" s="14">
        <f>BD148*VLOOKUP('Données projet'!$B$11,Paramètres!$A$1:$I$89,3,0)*VLOOKUP('Données projet'!$B$11,Paramètres!$A$1:$I$89,5,0)</f>
        <v>2.9795046430081134E-13</v>
      </c>
      <c r="BF148" s="14">
        <f t="shared" si="145"/>
        <v>3.9419014464513778E-12</v>
      </c>
      <c r="BG148" s="22">
        <f t="shared" si="115"/>
        <v>7.384408744560063E-12</v>
      </c>
      <c r="BH148" s="60">
        <f t="shared" si="116"/>
        <v>286.08581719180097</v>
      </c>
      <c r="BI148" s="60">
        <f ca="1">AVERAGE(OFFSET($BH$3,0,0,'Données projet'!$E$11+1,1))-AVERAGE(OFFSET($H$3,0,0,'Données projet'!$E$11+1,1))</f>
        <v>363.28611056308665</v>
      </c>
      <c r="BJ148" s="60">
        <f t="shared" si="146"/>
        <v>389.43647559455974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5.6843418860808015E-14</v>
      </c>
      <c r="BZ148" s="14">
        <f>BY148*VLOOKUP('Données projet'!$B$12,Paramètres!$A$1:$I$89,3,0)*VLOOKUP('Données projet'!$B$12,Paramètres!$A$1:$I$89,5,0)</f>
        <v>5.4092197387944907E-14</v>
      </c>
      <c r="CA148" s="14">
        <f t="shared" si="147"/>
        <v>8.7287050538073676E-13</v>
      </c>
      <c r="CB148" s="22">
        <f t="shared" si="118"/>
        <v>1.6144600406554537E-12</v>
      </c>
      <c r="CC148" s="60">
        <f t="shared" si="119"/>
        <v>286.08581719179517</v>
      </c>
      <c r="CD148" s="60">
        <f ca="1">AVERAGE(OFFSET($CC$3,0,0,'Données projet'!$E$12+1,1))-AVERAGE(OFFSET($H$3,0,0,'Données projet'!$E$12+1,1))</f>
        <v>441.15969139782891</v>
      </c>
      <c r="CE148" s="60">
        <f t="shared" si="148"/>
        <v>315.06466790224783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-5.6843418860808015E-14</v>
      </c>
      <c r="CU148" s="18">
        <f>CT148*VLOOKUP('Données projet'!$B$13,Paramètres!$A$1:$I$89,3,0)*VLOOKUP('Données projet'!$B$13,Paramètres!$A$1:$I$89,5,0)</f>
        <v>-4.1677594708744434E-14</v>
      </c>
      <c r="CV148" s="14" t="e">
        <f t="shared" si="149"/>
        <v>#NUM!</v>
      </c>
      <c r="CW148" s="22" t="e">
        <f t="shared" si="121"/>
        <v>#NUM!</v>
      </c>
      <c r="CX148" s="60" t="e">
        <f t="shared" si="122"/>
        <v>#NUM!</v>
      </c>
      <c r="CY148" s="60">
        <f ca="1">AVERAGE(OFFSET($CX$3,0,0,'Données projet'!$E$13+1,1))-AVERAGE(OFFSET($H$3,0,0,'Données projet'!$E$13+1,1))</f>
        <v>368.35775920359396</v>
      </c>
      <c r="CZ148" s="60">
        <f t="shared" si="150"/>
        <v>395.5218438652638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1.1368683772161603E-13</v>
      </c>
      <c r="DP148" s="18">
        <f>DO148*VLOOKUP('Données projet'!$B$14,Paramètres!$A$1:$I$89,3,0)*VLOOKUP('Données projet'!$B$14,Paramètres!$A$1:$I$89,5,0)</f>
        <v>8.8675733422860506E-14</v>
      </c>
      <c r="DQ148" s="14">
        <f t="shared" si="151"/>
        <v>1.3509285393066301E-12</v>
      </c>
      <c r="DR148" s="22">
        <f t="shared" si="124"/>
        <v>2.5073107750038623E-12</v>
      </c>
      <c r="DS148" s="60">
        <f t="shared" si="125"/>
        <v>286.08581719179608</v>
      </c>
      <c r="DT148" s="60">
        <f ca="1">AVERAGE(OFFSET($DS$3,0,0,'Données projet'!$E$14+1,1))-AVERAGE(OFFSET($H$3,0,0,'Données projet'!$E$14+1,1))</f>
        <v>312.59632808777332</v>
      </c>
      <c r="DU148" s="60">
        <f t="shared" si="152"/>
        <v>302.59481222418219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0</v>
      </c>
      <c r="EE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-1.1368683772161603E-13</v>
      </c>
      <c r="EK148" s="18">
        <f>EJ148*VLOOKUP('Données projet'!$B$15,Paramètres!$A$1:$I$89,3,0)*VLOOKUP('Données projet'!$B$15,Paramètres!$A$1:$I$89,5,0)</f>
        <v>-9.7543306765146564E-14</v>
      </c>
      <c r="EL148" s="14" t="e">
        <f t="shared" si="153"/>
        <v>#NUM!</v>
      </c>
      <c r="EM148" s="22" t="e">
        <f t="shared" si="127"/>
        <v>#NUM!</v>
      </c>
      <c r="EN148" s="60" t="e">
        <f t="shared" si="128"/>
        <v>#NUM!</v>
      </c>
      <c r="EO148" s="60">
        <f ca="1">AVERAGE(OFFSET($EN$3,0,0,'Données projet'!$E$15+1,1))-AVERAGE(OFFSET($H$3,0,0,'Données projet'!$E$15+1,1))</f>
        <v>478.11504516179713</v>
      </c>
      <c r="EP148" s="60">
        <f t="shared" si="154"/>
        <v>249.93713224442419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0</v>
      </c>
      <c r="EW148" s="23">
        <f>EXP(-LN(2)/25)*EW147+(1-EXP(-LN(2)/25))/(LN(2)/25)*Calculateur!ER148*Calculateur!ET148*VLOOKUP('Données projet'!$B$15,Paramètres!$A$1:$I$89,3,0)*0.475*44/12</f>
        <v>0</v>
      </c>
      <c r="EX148" s="23">
        <f>EXP(-LN(2)/2)*EX147+(1-EXP(-LN(2)/2))/(LN(2)/2)*ER148*EU148*VLOOKUP('Données projet'!$B$15,Paramètres!$A$1:$I$89,3,0)*0.475*44/12</f>
        <v>0</v>
      </c>
      <c r="EY148" s="24">
        <f t="shared" si="129"/>
        <v>0</v>
      </c>
      <c r="EZ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3.5</v>
      </c>
      <c r="FE148" s="13">
        <f>IF('Données projet'!$A$218&gt;35,FE147+FD148-FM147,IF(A148&lt;'Données projet'!$A$218,$FB$205^A148,IF(A148='Données projet'!$A$218,'Données projet'!$B$218,FE147+FD148-FM147)))</f>
        <v>358.49999999999989</v>
      </c>
      <c r="FF148" s="18">
        <f>FE148*VLOOKUP('Données projet'!$B$16,Paramètres!$A$1:$I$89,3,0)*VLOOKUP('Données projet'!$B$16,Paramètres!$A$1:$I$89,5,0)</f>
        <v>346.74119999999988</v>
      </c>
      <c r="FG148" s="14">
        <f t="shared" si="155"/>
        <v>80.891125586888961</v>
      </c>
      <c r="FH148" s="22">
        <f t="shared" si="130"/>
        <v>744.79296706383138</v>
      </c>
      <c r="FI148" s="60">
        <f t="shared" si="131"/>
        <v>1030.8787842556249</v>
      </c>
      <c r="FJ148" s="60">
        <f ca="1">AVERAGE(OFFSET($FI$3,0,0,'Données projet'!$E$16+1,1))-AVERAGE(OFFSET($H$3,0,0,'Données projet'!$E$16+1,1))</f>
        <v>603.52431522262032</v>
      </c>
      <c r="FK148" s="60">
        <f t="shared" si="156"/>
        <v>313.56299786481338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>
        <f>EXP(-LN(2)/35)*FQ147+(1-EXP(-LN(2)/35))/(LN(2)/35)*FM148*FN148*VLOOKUP('Données projet'!$B$16,Paramètres!$A$1:$I$89,3,0)*0.475*44/12</f>
        <v>0</v>
      </c>
      <c r="FR148" s="23">
        <f>EXP(-LN(2)/25)*FR147+(1-EXP(-LN(2)/25))/(LN(2)/25)*Calculateur!FM148*Calculateur!FO148*VLOOKUP('Données projet'!$B$16,Paramètres!$A$1:$I$89,3,0)*0.475*44/12</f>
        <v>0</v>
      </c>
      <c r="FS148" s="23">
        <f>EXP(-LN(2)/2)*FS147+(1-EXP(-LN(2)/2))/(LN(2)/2)*FM148*FP148*VLOOKUP('Données projet'!$B$16,Paramètres!$A$1:$I$89,3,0)*0.475*44/12</f>
        <v>0</v>
      </c>
      <c r="FT148" s="24">
        <f t="shared" si="132"/>
        <v>0</v>
      </c>
      <c r="FU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>
        <f>FZ148*VLOOKUP('Données projet'!$B$17,Paramètres!$A$1:$I$89,3,0)*VLOOKUP('Données projet'!$B$17,Paramètres!$A$1:$I$89,5,0)</f>
        <v>0</v>
      </c>
      <c r="GB148" s="14" t="e">
        <f t="shared" si="157"/>
        <v>#NUM!</v>
      </c>
      <c r="GC148" s="22" t="e">
        <f t="shared" si="133"/>
        <v>#NUM!</v>
      </c>
      <c r="GD148" s="60" t="e">
        <f t="shared" si="134"/>
        <v>#NUM!</v>
      </c>
      <c r="GE148" s="60">
        <f ca="1">AVERAGE(OFFSET($GD$3,0,0,'Données projet'!$E$17+1,1))-AVERAGE(OFFSET($H$3,0,0,'Données projet'!$E$17+1,1))</f>
        <v>396.0878652679051</v>
      </c>
      <c r="GF148" s="60">
        <f t="shared" si="158"/>
        <v>327.26339199235406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>
        <f>EXP(-LN(2)/35)*GL147+(1-EXP(-LN(2)/35))/(LN(2)/35)*GH148*GI148*VLOOKUP('Données projet'!$B$17,Paramètres!$A$1:$I$89,3,0)*0.475*44/12</f>
        <v>0</v>
      </c>
      <c r="GM148" s="23">
        <f>EXP(-LN(2)/25)*GM147+(1-EXP(-LN(2)/25))/(LN(2)/25)*Calculateur!GH148*Calculateur!GJ148*VLOOKUP('Données projet'!$B$17,Paramètres!$A$1:$I$89,3,0)*0.475*44/12</f>
        <v>0</v>
      </c>
      <c r="GN148" s="23">
        <f>EXP(-LN(2)/2)*GN147+(1-EXP(-LN(2)/2))/(LN(2)/2)*GH148*GK148*VLOOKUP('Données projet'!$B$17,Paramètres!$A$1:$I$89,3,0)*0.475*44/12</f>
        <v>0</v>
      </c>
      <c r="GO148" s="23">
        <f t="shared" si="135"/>
        <v>0</v>
      </c>
      <c r="GP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-1.1368683772161603E-13</v>
      </c>
      <c r="GV148" s="18">
        <f>GU148*VLOOKUP('Données projet'!$B$18,Paramètres!$A$1:$I$89,3,0)*VLOOKUP('Données projet'!$B$18,Paramètres!$A$1:$I$89,5,0)</f>
        <v>-9.2222762759774927E-14</v>
      </c>
      <c r="GW148" s="14" t="e">
        <f t="shared" si="159"/>
        <v>#NUM!</v>
      </c>
      <c r="GX148" s="22" t="e">
        <f t="shared" si="136"/>
        <v>#NUM!</v>
      </c>
      <c r="GY148" s="60" t="e">
        <f t="shared" si="137"/>
        <v>#NUM!</v>
      </c>
      <c r="GZ148" s="60">
        <f ca="1">AVERAGE(OFFSET($GY$3,0,0,'Données projet'!$E$18+1,1))-AVERAGE(OFFSET($H$3,0,0,'Données projet'!$E$18+1,1))</f>
        <v>272.69564942740931</v>
      </c>
      <c r="HA148" s="60">
        <f t="shared" si="160"/>
        <v>316.57989180609252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>
        <f>EXP(-LN(2)/35)*HG147+(1-EXP(-LN(2)/35))/(LN(2)/35)*HC148*HD148*VLOOKUP('Données projet'!$B$18,Paramètres!$A$1:$I$89,3,0)*0.475*44/12</f>
        <v>0</v>
      </c>
      <c r="HH148" s="23">
        <f>EXP(-LN(2)/25)*HH147+(1-EXP(-LN(2)/25))/(LN(2)/25)*Calculateur!HC148*Calculateur!HE148*VLOOKUP('Données projet'!$B$18,Paramètres!$A$1:$I$89,3,0)*0.475*44/12</f>
        <v>0</v>
      </c>
      <c r="HI148" s="23">
        <f>EXP(-LN(2)/2)*HI147+(1-EXP(-LN(2)/2))/(LN(2)/2)*HC148*HF148*VLOOKUP('Données projet'!$B$18,Paramètres!$A$1:$I$89,3,0)*0.475*44/12</f>
        <v>0</v>
      </c>
      <c r="HJ148" s="24">
        <f t="shared" si="138"/>
        <v>0</v>
      </c>
    </row>
    <row r="149" spans="1:218" s="5" customFormat="1" x14ac:dyDescent="0.25">
      <c r="A149" s="11">
        <f t="shared" si="139"/>
        <v>146</v>
      </c>
      <c r="B149" s="75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8">
        <f t="shared" si="110"/>
        <v>183.33333333333334</v>
      </c>
      <c r="I149" s="7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3.5</v>
      </c>
      <c r="N149" s="14">
        <f>IF('Données projet'!$A$36&gt;35,N148+M149-V148,IF(A149&lt;'Données projet'!$A$36,$K$205^A149,IF(A149='Données projet'!$A$36,'Données projet'!$B$36,N148+M149-V148)))</f>
        <v>361.99999999999989</v>
      </c>
      <c r="O149" s="14">
        <f>N149*VLOOKUP('Données projet'!$B$9,Paramètres!$A$1:$I$89,3,0)*VLOOKUP('Données projet'!$B$9,Paramètres!$A$1:$I$89,5,0)</f>
        <v>327.53759999999988</v>
      </c>
      <c r="P149" s="14">
        <f t="shared" si="141"/>
        <v>76.919566502794808</v>
      </c>
      <c r="Q149" s="22">
        <f t="shared" si="108"/>
        <v>704.42956499236743</v>
      </c>
      <c r="R149" s="60">
        <f t="shared" si="109"/>
        <v>990.64111038619808</v>
      </c>
      <c r="S149" s="60">
        <f ca="1">AVERAGE(OFFSET($R$3,0,0,'Données projet'!$E$9+1,1))-AVERAGE(OFFSET($H$3,0,0,'Données projet'!$E$9+1,1))</f>
        <v>570.08763950759544</v>
      </c>
      <c r="T149" s="60">
        <f t="shared" si="142"/>
        <v>297.32483725004136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-5.6843418860808015E-14</v>
      </c>
      <c r="AJ149" s="14">
        <f>AI149*VLOOKUP('Données projet'!$B$10,Paramètres!$A$1:$I$89,3,0)*VLOOKUP('Données projet'!$B$10,Paramètres!$A$1:$I$89,5,0)</f>
        <v>-4.5224624045658861E-14</v>
      </c>
      <c r="AK149" s="14" t="e">
        <f t="shared" si="143"/>
        <v>#NUM!</v>
      </c>
      <c r="AL149" s="22" t="e">
        <f t="shared" si="112"/>
        <v>#NUM!</v>
      </c>
      <c r="AM149" s="60" t="e">
        <f t="shared" si="113"/>
        <v>#NUM!</v>
      </c>
      <c r="AN149" s="60">
        <f ca="1">AVERAGE(OFFSET($AM$3,0,0,'Données projet'!$E$10+1,1))-AVERAGE(OFFSET($H$3,0,0,'Données projet'!$E$10+1,1))</f>
        <v>394.49874384716014</v>
      </c>
      <c r="AO149" s="60">
        <f t="shared" si="144"/>
        <v>423.72519584013378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3.4106051316484809E-13</v>
      </c>
      <c r="BE149" s="14">
        <f>BD149*VLOOKUP('Données projet'!$B$11,Paramètres!$A$1:$I$89,3,0)*VLOOKUP('Données projet'!$B$11,Paramètres!$A$1:$I$89,5,0)</f>
        <v>2.9795046430081134E-13</v>
      </c>
      <c r="BF149" s="14">
        <f t="shared" si="145"/>
        <v>3.9419014464513778E-12</v>
      </c>
      <c r="BG149" s="22">
        <f t="shared" si="115"/>
        <v>7.384408744560063E-12</v>
      </c>
      <c r="BH149" s="60">
        <f t="shared" si="116"/>
        <v>286.21154539383804</v>
      </c>
      <c r="BI149" s="60">
        <f ca="1">AVERAGE(OFFSET($BH$3,0,0,'Données projet'!$E$11+1,1))-AVERAGE(OFFSET($H$3,0,0,'Données projet'!$E$11+1,1))</f>
        <v>363.28611056308665</v>
      </c>
      <c r="BJ149" s="60">
        <f t="shared" si="146"/>
        <v>389.43647559455974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5.6843418860808015E-14</v>
      </c>
      <c r="BZ149" s="14">
        <f>BY149*VLOOKUP('Données projet'!$B$12,Paramètres!$A$1:$I$89,3,0)*VLOOKUP('Données projet'!$B$12,Paramètres!$A$1:$I$89,5,0)</f>
        <v>5.4092197387944907E-14</v>
      </c>
      <c r="CA149" s="14">
        <f t="shared" si="147"/>
        <v>8.7287050538073676E-13</v>
      </c>
      <c r="CB149" s="22">
        <f t="shared" si="118"/>
        <v>1.6144600406554537E-12</v>
      </c>
      <c r="CC149" s="60">
        <f t="shared" si="119"/>
        <v>286.21154539383224</v>
      </c>
      <c r="CD149" s="60">
        <f ca="1">AVERAGE(OFFSET($CC$3,0,0,'Données projet'!$E$12+1,1))-AVERAGE(OFFSET($H$3,0,0,'Données projet'!$E$12+1,1))</f>
        <v>441.15969139782891</v>
      </c>
      <c r="CE149" s="60">
        <f t="shared" si="148"/>
        <v>315.06466790224783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-5.6843418860808015E-14</v>
      </c>
      <c r="CU149" s="18">
        <f>CT149*VLOOKUP('Données projet'!$B$13,Paramètres!$A$1:$I$89,3,0)*VLOOKUP('Données projet'!$B$13,Paramètres!$A$1:$I$89,5,0)</f>
        <v>-4.1677594708744434E-14</v>
      </c>
      <c r="CV149" s="14" t="e">
        <f t="shared" si="149"/>
        <v>#NUM!</v>
      </c>
      <c r="CW149" s="22" t="e">
        <f t="shared" si="121"/>
        <v>#NUM!</v>
      </c>
      <c r="CX149" s="60" t="e">
        <f t="shared" si="122"/>
        <v>#NUM!</v>
      </c>
      <c r="CY149" s="60">
        <f ca="1">AVERAGE(OFFSET($CX$3,0,0,'Données projet'!$E$13+1,1))-AVERAGE(OFFSET($H$3,0,0,'Données projet'!$E$13+1,1))</f>
        <v>368.35775920359396</v>
      </c>
      <c r="CZ149" s="60">
        <f t="shared" si="150"/>
        <v>395.5218438652638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1.1368683772161603E-13</v>
      </c>
      <c r="DP149" s="18">
        <f>DO149*VLOOKUP('Données projet'!$B$14,Paramètres!$A$1:$I$89,3,0)*VLOOKUP('Données projet'!$B$14,Paramètres!$A$1:$I$89,5,0)</f>
        <v>8.8675733422860506E-14</v>
      </c>
      <c r="DQ149" s="14">
        <f t="shared" si="151"/>
        <v>1.3509285393066301E-12</v>
      </c>
      <c r="DR149" s="22">
        <f t="shared" si="124"/>
        <v>2.5073107750038623E-12</v>
      </c>
      <c r="DS149" s="60">
        <f t="shared" si="125"/>
        <v>286.21154539383315</v>
      </c>
      <c r="DT149" s="60">
        <f ca="1">AVERAGE(OFFSET($DS$3,0,0,'Données projet'!$E$14+1,1))-AVERAGE(OFFSET($H$3,0,0,'Données projet'!$E$14+1,1))</f>
        <v>312.59632808777332</v>
      </c>
      <c r="DU149" s="60">
        <f t="shared" si="152"/>
        <v>302.59481222418219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0</v>
      </c>
      <c r="EE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-1.1368683772161603E-13</v>
      </c>
      <c r="EK149" s="18">
        <f>EJ149*VLOOKUP('Données projet'!$B$15,Paramètres!$A$1:$I$89,3,0)*VLOOKUP('Données projet'!$B$15,Paramètres!$A$1:$I$89,5,0)</f>
        <v>-9.7543306765146564E-14</v>
      </c>
      <c r="EL149" s="14" t="e">
        <f t="shared" si="153"/>
        <v>#NUM!</v>
      </c>
      <c r="EM149" s="22" t="e">
        <f t="shared" si="127"/>
        <v>#NUM!</v>
      </c>
      <c r="EN149" s="60" t="e">
        <f t="shared" si="128"/>
        <v>#NUM!</v>
      </c>
      <c r="EO149" s="60">
        <f ca="1">AVERAGE(OFFSET($EN$3,0,0,'Données projet'!$E$15+1,1))-AVERAGE(OFFSET($H$3,0,0,'Données projet'!$E$15+1,1))</f>
        <v>478.11504516179713</v>
      </c>
      <c r="EP149" s="60">
        <f t="shared" si="154"/>
        <v>249.93713224442419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0</v>
      </c>
      <c r="EW149" s="23">
        <f>EXP(-LN(2)/25)*EW148+(1-EXP(-LN(2)/25))/(LN(2)/25)*Calculateur!ER149*Calculateur!ET149*VLOOKUP('Données projet'!$B$15,Paramètres!$A$1:$I$89,3,0)*0.475*44/12</f>
        <v>0</v>
      </c>
      <c r="EX149" s="23">
        <f>EXP(-LN(2)/2)*EX148+(1-EXP(-LN(2)/2))/(LN(2)/2)*ER149*EU149*VLOOKUP('Données projet'!$B$15,Paramètres!$A$1:$I$89,3,0)*0.475*44/12</f>
        <v>0</v>
      </c>
      <c r="EY149" s="24">
        <f t="shared" si="129"/>
        <v>0</v>
      </c>
      <c r="EZ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3.5</v>
      </c>
      <c r="FE149" s="13">
        <f>IF('Données projet'!$A$218&gt;35,FE148+FD149-FM148,IF(A149&lt;'Données projet'!$A$218,$FB$205^A149,IF(A149='Données projet'!$A$218,'Données projet'!$B$218,FE148+FD149-FM148)))</f>
        <v>361.99999999999989</v>
      </c>
      <c r="FF149" s="18">
        <f>FE149*VLOOKUP('Données projet'!$B$16,Paramètres!$A$1:$I$89,3,0)*VLOOKUP('Données projet'!$B$16,Paramètres!$A$1:$I$89,5,0)</f>
        <v>350.12639999999993</v>
      </c>
      <c r="FG149" s="14">
        <f t="shared" si="155"/>
        <v>81.588537763807025</v>
      </c>
      <c r="FH149" s="22">
        <f t="shared" si="130"/>
        <v>751.90351660529711</v>
      </c>
      <c r="FI149" s="60">
        <f t="shared" si="131"/>
        <v>1038.1150619991276</v>
      </c>
      <c r="FJ149" s="60">
        <f ca="1">AVERAGE(OFFSET($FI$3,0,0,'Données projet'!$E$16+1,1))-AVERAGE(OFFSET($H$3,0,0,'Données projet'!$E$16+1,1))</f>
        <v>603.52431522262032</v>
      </c>
      <c r="FK149" s="60">
        <f t="shared" si="156"/>
        <v>313.56299786481338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>
        <f>EXP(-LN(2)/35)*FQ148+(1-EXP(-LN(2)/35))/(LN(2)/35)*FM149*FN149*VLOOKUP('Données projet'!$B$16,Paramètres!$A$1:$I$89,3,0)*0.475*44/12</f>
        <v>0</v>
      </c>
      <c r="FR149" s="23">
        <f>EXP(-LN(2)/25)*FR148+(1-EXP(-LN(2)/25))/(LN(2)/25)*Calculateur!FM149*Calculateur!FO149*VLOOKUP('Données projet'!$B$16,Paramètres!$A$1:$I$89,3,0)*0.475*44/12</f>
        <v>0</v>
      </c>
      <c r="FS149" s="23">
        <f>EXP(-LN(2)/2)*FS148+(1-EXP(-LN(2)/2))/(LN(2)/2)*FM149*FP149*VLOOKUP('Données projet'!$B$16,Paramètres!$A$1:$I$89,3,0)*0.475*44/12</f>
        <v>0</v>
      </c>
      <c r="FT149" s="24">
        <f t="shared" si="132"/>
        <v>0</v>
      </c>
      <c r="FU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>
        <f>FZ149*VLOOKUP('Données projet'!$B$17,Paramètres!$A$1:$I$89,3,0)*VLOOKUP('Données projet'!$B$17,Paramètres!$A$1:$I$89,5,0)</f>
        <v>0</v>
      </c>
      <c r="GB149" s="14" t="e">
        <f t="shared" si="157"/>
        <v>#NUM!</v>
      </c>
      <c r="GC149" s="22" t="e">
        <f t="shared" si="133"/>
        <v>#NUM!</v>
      </c>
      <c r="GD149" s="60" t="e">
        <f t="shared" si="134"/>
        <v>#NUM!</v>
      </c>
      <c r="GE149" s="60">
        <f ca="1">AVERAGE(OFFSET($GD$3,0,0,'Données projet'!$E$17+1,1))-AVERAGE(OFFSET($H$3,0,0,'Données projet'!$E$17+1,1))</f>
        <v>396.0878652679051</v>
      </c>
      <c r="GF149" s="60">
        <f t="shared" si="158"/>
        <v>327.26339199235406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>
        <f>EXP(-LN(2)/35)*GL148+(1-EXP(-LN(2)/35))/(LN(2)/35)*GH149*GI149*VLOOKUP('Données projet'!$B$17,Paramètres!$A$1:$I$89,3,0)*0.475*44/12</f>
        <v>0</v>
      </c>
      <c r="GM149" s="23">
        <f>EXP(-LN(2)/25)*GM148+(1-EXP(-LN(2)/25))/(LN(2)/25)*Calculateur!GH149*Calculateur!GJ149*VLOOKUP('Données projet'!$B$17,Paramètres!$A$1:$I$89,3,0)*0.475*44/12</f>
        <v>0</v>
      </c>
      <c r="GN149" s="23">
        <f>EXP(-LN(2)/2)*GN148+(1-EXP(-LN(2)/2))/(LN(2)/2)*GH149*GK149*VLOOKUP('Données projet'!$B$17,Paramètres!$A$1:$I$89,3,0)*0.475*44/12</f>
        <v>0</v>
      </c>
      <c r="GO149" s="23">
        <f t="shared" si="135"/>
        <v>0</v>
      </c>
      <c r="GP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-1.1368683772161603E-13</v>
      </c>
      <c r="GV149" s="18">
        <f>GU149*VLOOKUP('Données projet'!$B$18,Paramètres!$A$1:$I$89,3,0)*VLOOKUP('Données projet'!$B$18,Paramètres!$A$1:$I$89,5,0)</f>
        <v>-9.2222762759774927E-14</v>
      </c>
      <c r="GW149" s="14" t="e">
        <f t="shared" si="159"/>
        <v>#NUM!</v>
      </c>
      <c r="GX149" s="22" t="e">
        <f t="shared" si="136"/>
        <v>#NUM!</v>
      </c>
      <c r="GY149" s="60" t="e">
        <f t="shared" si="137"/>
        <v>#NUM!</v>
      </c>
      <c r="GZ149" s="60">
        <f ca="1">AVERAGE(OFFSET($GY$3,0,0,'Données projet'!$E$18+1,1))-AVERAGE(OFFSET($H$3,0,0,'Données projet'!$E$18+1,1))</f>
        <v>272.69564942740931</v>
      </c>
      <c r="HA149" s="60">
        <f t="shared" si="160"/>
        <v>316.57989180609252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>
        <f>EXP(-LN(2)/35)*HG148+(1-EXP(-LN(2)/35))/(LN(2)/35)*HC149*HD149*VLOOKUP('Données projet'!$B$18,Paramètres!$A$1:$I$89,3,0)*0.475*44/12</f>
        <v>0</v>
      </c>
      <c r="HH149" s="23">
        <f>EXP(-LN(2)/25)*HH148+(1-EXP(-LN(2)/25))/(LN(2)/25)*Calculateur!HC149*Calculateur!HE149*VLOOKUP('Données projet'!$B$18,Paramètres!$A$1:$I$89,3,0)*0.475*44/12</f>
        <v>0</v>
      </c>
      <c r="HI149" s="23">
        <f>EXP(-LN(2)/2)*HI148+(1-EXP(-LN(2)/2))/(LN(2)/2)*HC149*HF149*VLOOKUP('Données projet'!$B$18,Paramètres!$A$1:$I$89,3,0)*0.475*44/12</f>
        <v>0</v>
      </c>
      <c r="HJ149" s="24">
        <f t="shared" si="138"/>
        <v>0</v>
      </c>
    </row>
    <row r="150" spans="1:218" s="5" customFormat="1" x14ac:dyDescent="0.25">
      <c r="A150" s="11">
        <f t="shared" si="139"/>
        <v>147</v>
      </c>
      <c r="B150" s="75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8">
        <f t="shared" si="110"/>
        <v>183.33333333333334</v>
      </c>
      <c r="I150" s="7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3.5</v>
      </c>
      <c r="N150" s="14">
        <f>IF('Données projet'!$A$36&gt;35,N149+M150-V149,IF(A150&lt;'Données projet'!$A$36,$K$205^A150,IF(A150='Données projet'!$A$36,'Données projet'!$B$36,N149+M150-V149)))</f>
        <v>365.49999999999989</v>
      </c>
      <c r="O150" s="14">
        <f>N150*VLOOKUP('Données projet'!$B$9,Paramètres!$A$1:$I$89,3,0)*VLOOKUP('Données projet'!$B$9,Paramètres!$A$1:$I$89,5,0)</f>
        <v>330.70439999999991</v>
      </c>
      <c r="P150" s="14">
        <f t="shared" si="141"/>
        <v>77.576329135205029</v>
      </c>
      <c r="Q150" s="22">
        <f t="shared" si="108"/>
        <v>711.08893657714862</v>
      </c>
      <c r="R150" s="60">
        <f t="shared" si="109"/>
        <v>997.42402906979703</v>
      </c>
      <c r="S150" s="60">
        <f ca="1">AVERAGE(OFFSET($R$3,0,0,'Données projet'!$E$9+1,1))-AVERAGE(OFFSET($H$3,0,0,'Données projet'!$E$9+1,1))</f>
        <v>570.08763950759544</v>
      </c>
      <c r="T150" s="60">
        <f t="shared" si="142"/>
        <v>297.32483725004136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-5.6843418860808015E-14</v>
      </c>
      <c r="AJ150" s="14">
        <f>AI150*VLOOKUP('Données projet'!$B$10,Paramètres!$A$1:$I$89,3,0)*VLOOKUP('Données projet'!$B$10,Paramètres!$A$1:$I$89,5,0)</f>
        <v>-4.5224624045658861E-14</v>
      </c>
      <c r="AK150" s="14" t="e">
        <f t="shared" si="143"/>
        <v>#NUM!</v>
      </c>
      <c r="AL150" s="22" t="e">
        <f t="shared" si="112"/>
        <v>#NUM!</v>
      </c>
      <c r="AM150" s="60" t="e">
        <f t="shared" si="113"/>
        <v>#NUM!</v>
      </c>
      <c r="AN150" s="60">
        <f ca="1">AVERAGE(OFFSET($AM$3,0,0,'Données projet'!$E$10+1,1))-AVERAGE(OFFSET($H$3,0,0,'Données projet'!$E$10+1,1))</f>
        <v>394.49874384716014</v>
      </c>
      <c r="AO150" s="60">
        <f t="shared" si="144"/>
        <v>423.72519584013378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3.4106051316484809E-13</v>
      </c>
      <c r="BE150" s="14">
        <f>BD150*VLOOKUP('Données projet'!$B$11,Paramètres!$A$1:$I$89,3,0)*VLOOKUP('Données projet'!$B$11,Paramètres!$A$1:$I$89,5,0)</f>
        <v>2.9795046430081134E-13</v>
      </c>
      <c r="BF150" s="14">
        <f t="shared" si="145"/>
        <v>3.9419014464513778E-12</v>
      </c>
      <c r="BG150" s="22">
        <f t="shared" si="115"/>
        <v>7.384408744560063E-12</v>
      </c>
      <c r="BH150" s="60">
        <f t="shared" si="116"/>
        <v>286.3350924926558</v>
      </c>
      <c r="BI150" s="60">
        <f ca="1">AVERAGE(OFFSET($BH$3,0,0,'Données projet'!$E$11+1,1))-AVERAGE(OFFSET($H$3,0,0,'Données projet'!$E$11+1,1))</f>
        <v>363.28611056308665</v>
      </c>
      <c r="BJ150" s="60">
        <f t="shared" si="146"/>
        <v>389.43647559455974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5.6843418860808015E-14</v>
      </c>
      <c r="BZ150" s="14">
        <f>BY150*VLOOKUP('Données projet'!$B$12,Paramètres!$A$1:$I$89,3,0)*VLOOKUP('Données projet'!$B$12,Paramètres!$A$1:$I$89,5,0)</f>
        <v>5.4092197387944907E-14</v>
      </c>
      <c r="CA150" s="14">
        <f t="shared" si="147"/>
        <v>8.7287050538073676E-13</v>
      </c>
      <c r="CB150" s="22">
        <f t="shared" si="118"/>
        <v>1.6144600406554537E-12</v>
      </c>
      <c r="CC150" s="60">
        <f t="shared" si="119"/>
        <v>286.33509249265001</v>
      </c>
      <c r="CD150" s="60">
        <f ca="1">AVERAGE(OFFSET($CC$3,0,0,'Données projet'!$E$12+1,1))-AVERAGE(OFFSET($H$3,0,0,'Données projet'!$E$12+1,1))</f>
        <v>441.15969139782891</v>
      </c>
      <c r="CE150" s="60">
        <f t="shared" si="148"/>
        <v>315.06466790224783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-5.6843418860808015E-14</v>
      </c>
      <c r="CU150" s="18">
        <f>CT150*VLOOKUP('Données projet'!$B$13,Paramètres!$A$1:$I$89,3,0)*VLOOKUP('Données projet'!$B$13,Paramètres!$A$1:$I$89,5,0)</f>
        <v>-4.1677594708744434E-14</v>
      </c>
      <c r="CV150" s="14" t="e">
        <f t="shared" si="149"/>
        <v>#NUM!</v>
      </c>
      <c r="CW150" s="22" t="e">
        <f t="shared" si="121"/>
        <v>#NUM!</v>
      </c>
      <c r="CX150" s="60" t="e">
        <f t="shared" si="122"/>
        <v>#NUM!</v>
      </c>
      <c r="CY150" s="60">
        <f ca="1">AVERAGE(OFFSET($CX$3,0,0,'Données projet'!$E$13+1,1))-AVERAGE(OFFSET($H$3,0,0,'Données projet'!$E$13+1,1))</f>
        <v>368.35775920359396</v>
      </c>
      <c r="CZ150" s="60">
        <f t="shared" si="150"/>
        <v>395.5218438652638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1.1368683772161603E-13</v>
      </c>
      <c r="DP150" s="18">
        <f>DO150*VLOOKUP('Données projet'!$B$14,Paramètres!$A$1:$I$89,3,0)*VLOOKUP('Données projet'!$B$14,Paramètres!$A$1:$I$89,5,0)</f>
        <v>8.8675733422860506E-14</v>
      </c>
      <c r="DQ150" s="14">
        <f t="shared" si="151"/>
        <v>1.3509285393066301E-12</v>
      </c>
      <c r="DR150" s="22">
        <f t="shared" si="124"/>
        <v>2.5073107750038623E-12</v>
      </c>
      <c r="DS150" s="60">
        <f t="shared" si="125"/>
        <v>286.33509249265092</v>
      </c>
      <c r="DT150" s="60">
        <f ca="1">AVERAGE(OFFSET($DS$3,0,0,'Données projet'!$E$14+1,1))-AVERAGE(OFFSET($H$3,0,0,'Données projet'!$E$14+1,1))</f>
        <v>312.59632808777332</v>
      </c>
      <c r="DU150" s="60">
        <f t="shared" si="152"/>
        <v>302.59481222418219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0</v>
      </c>
      <c r="EE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-1.1368683772161603E-13</v>
      </c>
      <c r="EK150" s="18">
        <f>EJ150*VLOOKUP('Données projet'!$B$15,Paramètres!$A$1:$I$89,3,0)*VLOOKUP('Données projet'!$B$15,Paramètres!$A$1:$I$89,5,0)</f>
        <v>-9.7543306765146564E-14</v>
      </c>
      <c r="EL150" s="14" t="e">
        <f t="shared" si="153"/>
        <v>#NUM!</v>
      </c>
      <c r="EM150" s="22" t="e">
        <f t="shared" si="127"/>
        <v>#NUM!</v>
      </c>
      <c r="EN150" s="60" t="e">
        <f t="shared" si="128"/>
        <v>#NUM!</v>
      </c>
      <c r="EO150" s="60">
        <f ca="1">AVERAGE(OFFSET($EN$3,0,0,'Données projet'!$E$15+1,1))-AVERAGE(OFFSET($H$3,0,0,'Données projet'!$E$15+1,1))</f>
        <v>478.11504516179713</v>
      </c>
      <c r="EP150" s="60">
        <f t="shared" si="154"/>
        <v>249.93713224442419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0</v>
      </c>
      <c r="EW150" s="23">
        <f>EXP(-LN(2)/25)*EW149+(1-EXP(-LN(2)/25))/(LN(2)/25)*Calculateur!ER150*Calculateur!ET150*VLOOKUP('Données projet'!$B$15,Paramètres!$A$1:$I$89,3,0)*0.475*44/12</f>
        <v>0</v>
      </c>
      <c r="EX150" s="23">
        <f>EXP(-LN(2)/2)*EX149+(1-EXP(-LN(2)/2))/(LN(2)/2)*ER150*EU150*VLOOKUP('Données projet'!$B$15,Paramètres!$A$1:$I$89,3,0)*0.475*44/12</f>
        <v>0</v>
      </c>
      <c r="EY150" s="24">
        <f t="shared" si="129"/>
        <v>0</v>
      </c>
      <c r="EZ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3.5</v>
      </c>
      <c r="FE150" s="13">
        <f>IF('Données projet'!$A$218&gt;35,FE149+FD150-FM149,IF(A150&lt;'Données projet'!$A$218,$FB$205^A150,IF(A150='Données projet'!$A$218,'Données projet'!$B$218,FE149+FD150-FM149)))</f>
        <v>365.49999999999989</v>
      </c>
      <c r="FF150" s="18">
        <f>FE150*VLOOKUP('Données projet'!$B$16,Paramètres!$A$1:$I$89,3,0)*VLOOKUP('Données projet'!$B$16,Paramètres!$A$1:$I$89,5,0)</f>
        <v>353.51159999999987</v>
      </c>
      <c r="FG150" s="14">
        <f t="shared" si="155"/>
        <v>82.285165491607756</v>
      </c>
      <c r="FH150" s="22">
        <f t="shared" si="130"/>
        <v>759.01269989788318</v>
      </c>
      <c r="FI150" s="60">
        <f t="shared" si="131"/>
        <v>1045.3477923905316</v>
      </c>
      <c r="FJ150" s="60">
        <f ca="1">AVERAGE(OFFSET($FI$3,0,0,'Données projet'!$E$16+1,1))-AVERAGE(OFFSET($H$3,0,0,'Données projet'!$E$16+1,1))</f>
        <v>603.52431522262032</v>
      </c>
      <c r="FK150" s="60">
        <f t="shared" si="156"/>
        <v>313.56299786481338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>
        <f>EXP(-LN(2)/35)*FQ149+(1-EXP(-LN(2)/35))/(LN(2)/35)*FM150*FN150*VLOOKUP('Données projet'!$B$16,Paramètres!$A$1:$I$89,3,0)*0.475*44/12</f>
        <v>0</v>
      </c>
      <c r="FR150" s="23">
        <f>EXP(-LN(2)/25)*FR149+(1-EXP(-LN(2)/25))/(LN(2)/25)*Calculateur!FM150*Calculateur!FO150*VLOOKUP('Données projet'!$B$16,Paramètres!$A$1:$I$89,3,0)*0.475*44/12</f>
        <v>0</v>
      </c>
      <c r="FS150" s="23">
        <f>EXP(-LN(2)/2)*FS149+(1-EXP(-LN(2)/2))/(LN(2)/2)*FM150*FP150*VLOOKUP('Données projet'!$B$16,Paramètres!$A$1:$I$89,3,0)*0.475*44/12</f>
        <v>0</v>
      </c>
      <c r="FT150" s="24">
        <f t="shared" si="132"/>
        <v>0</v>
      </c>
      <c r="FU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>
        <f>FZ150*VLOOKUP('Données projet'!$B$17,Paramètres!$A$1:$I$89,3,0)*VLOOKUP('Données projet'!$B$17,Paramètres!$A$1:$I$89,5,0)</f>
        <v>0</v>
      </c>
      <c r="GB150" s="14" t="e">
        <f t="shared" si="157"/>
        <v>#NUM!</v>
      </c>
      <c r="GC150" s="22" t="e">
        <f t="shared" si="133"/>
        <v>#NUM!</v>
      </c>
      <c r="GD150" s="60" t="e">
        <f t="shared" si="134"/>
        <v>#NUM!</v>
      </c>
      <c r="GE150" s="60">
        <f ca="1">AVERAGE(OFFSET($GD$3,0,0,'Données projet'!$E$17+1,1))-AVERAGE(OFFSET($H$3,0,0,'Données projet'!$E$17+1,1))</f>
        <v>396.0878652679051</v>
      </c>
      <c r="GF150" s="60">
        <f t="shared" si="158"/>
        <v>327.26339199235406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>
        <f>EXP(-LN(2)/35)*GL149+(1-EXP(-LN(2)/35))/(LN(2)/35)*GH150*GI150*VLOOKUP('Données projet'!$B$17,Paramètres!$A$1:$I$89,3,0)*0.475*44/12</f>
        <v>0</v>
      </c>
      <c r="GM150" s="23">
        <f>EXP(-LN(2)/25)*GM149+(1-EXP(-LN(2)/25))/(LN(2)/25)*Calculateur!GH150*Calculateur!GJ150*VLOOKUP('Données projet'!$B$17,Paramètres!$A$1:$I$89,3,0)*0.475*44/12</f>
        <v>0</v>
      </c>
      <c r="GN150" s="23">
        <f>EXP(-LN(2)/2)*GN149+(1-EXP(-LN(2)/2))/(LN(2)/2)*GH150*GK150*VLOOKUP('Données projet'!$B$17,Paramètres!$A$1:$I$89,3,0)*0.475*44/12</f>
        <v>0</v>
      </c>
      <c r="GO150" s="23">
        <f t="shared" si="135"/>
        <v>0</v>
      </c>
      <c r="GP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-1.1368683772161603E-13</v>
      </c>
      <c r="GV150" s="18">
        <f>GU150*VLOOKUP('Données projet'!$B$18,Paramètres!$A$1:$I$89,3,0)*VLOOKUP('Données projet'!$B$18,Paramètres!$A$1:$I$89,5,0)</f>
        <v>-9.2222762759774927E-14</v>
      </c>
      <c r="GW150" s="14" t="e">
        <f t="shared" si="159"/>
        <v>#NUM!</v>
      </c>
      <c r="GX150" s="22" t="e">
        <f t="shared" si="136"/>
        <v>#NUM!</v>
      </c>
      <c r="GY150" s="60" t="e">
        <f t="shared" si="137"/>
        <v>#NUM!</v>
      </c>
      <c r="GZ150" s="60">
        <f ca="1">AVERAGE(OFFSET($GY$3,0,0,'Données projet'!$E$18+1,1))-AVERAGE(OFFSET($H$3,0,0,'Données projet'!$E$18+1,1))</f>
        <v>272.69564942740931</v>
      </c>
      <c r="HA150" s="60">
        <f t="shared" si="160"/>
        <v>316.57989180609252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>
        <f>EXP(-LN(2)/35)*HG149+(1-EXP(-LN(2)/35))/(LN(2)/35)*HC150*HD150*VLOOKUP('Données projet'!$B$18,Paramètres!$A$1:$I$89,3,0)*0.475*44/12</f>
        <v>0</v>
      </c>
      <c r="HH150" s="23">
        <f>EXP(-LN(2)/25)*HH149+(1-EXP(-LN(2)/25))/(LN(2)/25)*Calculateur!HC150*Calculateur!HE150*VLOOKUP('Données projet'!$B$18,Paramètres!$A$1:$I$89,3,0)*0.475*44/12</f>
        <v>0</v>
      </c>
      <c r="HI150" s="23">
        <f>EXP(-LN(2)/2)*HI149+(1-EXP(-LN(2)/2))/(LN(2)/2)*HC150*HF150*VLOOKUP('Données projet'!$B$18,Paramètres!$A$1:$I$89,3,0)*0.475*44/12</f>
        <v>0</v>
      </c>
      <c r="HJ150" s="24">
        <f t="shared" si="138"/>
        <v>0</v>
      </c>
    </row>
    <row r="151" spans="1:218" s="5" customFormat="1" x14ac:dyDescent="0.25">
      <c r="A151" s="11">
        <f t="shared" si="139"/>
        <v>148</v>
      </c>
      <c r="B151" s="75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8">
        <f t="shared" si="110"/>
        <v>183.33333333333334</v>
      </c>
      <c r="I151" s="7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3.5</v>
      </c>
      <c r="N151" s="14">
        <f>IF('Données projet'!$A$36&gt;35,N150+M151-V150,IF(A151&lt;'Données projet'!$A$36,$K$205^A151,IF(A151='Données projet'!$A$36,'Données projet'!$B$36,N150+M151-V150)))</f>
        <v>368.99999999999989</v>
      </c>
      <c r="O151" s="14">
        <f>N151*VLOOKUP('Données projet'!$B$9,Paramètres!$A$1:$I$89,3,0)*VLOOKUP('Données projet'!$B$9,Paramètres!$A$1:$I$89,5,0)</f>
        <v>333.87119999999987</v>
      </c>
      <c r="P151" s="14">
        <f t="shared" si="141"/>
        <v>78.232360111376309</v>
      </c>
      <c r="Q151" s="22">
        <f t="shared" si="108"/>
        <v>717.74703386064687</v>
      </c>
      <c r="R151" s="60">
        <f t="shared" si="109"/>
        <v>1004.2035301861586</v>
      </c>
      <c r="S151" s="60">
        <f ca="1">AVERAGE(OFFSET($R$3,0,0,'Données projet'!$E$9+1,1))-AVERAGE(OFFSET($H$3,0,0,'Données projet'!$E$9+1,1))</f>
        <v>570.08763950759544</v>
      </c>
      <c r="T151" s="60">
        <f t="shared" si="142"/>
        <v>297.32483725004136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-5.6843418860808015E-14</v>
      </c>
      <c r="AJ151" s="14">
        <f>AI151*VLOOKUP('Données projet'!$B$10,Paramètres!$A$1:$I$89,3,0)*VLOOKUP('Données projet'!$B$10,Paramètres!$A$1:$I$89,5,0)</f>
        <v>-4.5224624045658861E-14</v>
      </c>
      <c r="AK151" s="14" t="e">
        <f t="shared" si="143"/>
        <v>#NUM!</v>
      </c>
      <c r="AL151" s="22" t="e">
        <f t="shared" si="112"/>
        <v>#NUM!</v>
      </c>
      <c r="AM151" s="60" t="e">
        <f t="shared" si="113"/>
        <v>#NUM!</v>
      </c>
      <c r="AN151" s="60">
        <f ca="1">AVERAGE(OFFSET($AM$3,0,0,'Données projet'!$E$10+1,1))-AVERAGE(OFFSET($H$3,0,0,'Données projet'!$E$10+1,1))</f>
        <v>394.49874384716014</v>
      </c>
      <c r="AO151" s="60">
        <f t="shared" si="144"/>
        <v>423.72519584013378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3.4106051316484809E-13</v>
      </c>
      <c r="BE151" s="14">
        <f>BD151*VLOOKUP('Données projet'!$B$11,Paramètres!$A$1:$I$89,3,0)*VLOOKUP('Données projet'!$B$11,Paramètres!$A$1:$I$89,5,0)</f>
        <v>2.9795046430081134E-13</v>
      </c>
      <c r="BF151" s="14">
        <f t="shared" si="145"/>
        <v>3.9419014464513778E-12</v>
      </c>
      <c r="BG151" s="22">
        <f t="shared" si="115"/>
        <v>7.384408744560063E-12</v>
      </c>
      <c r="BH151" s="60">
        <f t="shared" si="116"/>
        <v>286.45649632551908</v>
      </c>
      <c r="BI151" s="60">
        <f ca="1">AVERAGE(OFFSET($BH$3,0,0,'Données projet'!$E$11+1,1))-AVERAGE(OFFSET($H$3,0,0,'Données projet'!$E$11+1,1))</f>
        <v>363.28611056308665</v>
      </c>
      <c r="BJ151" s="60">
        <f t="shared" si="146"/>
        <v>389.43647559455974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5.6843418860808015E-14</v>
      </c>
      <c r="BZ151" s="14">
        <f>BY151*VLOOKUP('Données projet'!$B$12,Paramètres!$A$1:$I$89,3,0)*VLOOKUP('Données projet'!$B$12,Paramètres!$A$1:$I$89,5,0)</f>
        <v>5.4092197387944907E-14</v>
      </c>
      <c r="CA151" s="14">
        <f t="shared" si="147"/>
        <v>8.7287050538073676E-13</v>
      </c>
      <c r="CB151" s="22">
        <f t="shared" si="118"/>
        <v>1.6144600406554537E-12</v>
      </c>
      <c r="CC151" s="60">
        <f t="shared" si="119"/>
        <v>286.45649632551329</v>
      </c>
      <c r="CD151" s="60">
        <f ca="1">AVERAGE(OFFSET($CC$3,0,0,'Données projet'!$E$12+1,1))-AVERAGE(OFFSET($H$3,0,0,'Données projet'!$E$12+1,1))</f>
        <v>441.15969139782891</v>
      </c>
      <c r="CE151" s="60">
        <f t="shared" si="148"/>
        <v>315.06466790224783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-5.6843418860808015E-14</v>
      </c>
      <c r="CU151" s="18">
        <f>CT151*VLOOKUP('Données projet'!$B$13,Paramètres!$A$1:$I$89,3,0)*VLOOKUP('Données projet'!$B$13,Paramètres!$A$1:$I$89,5,0)</f>
        <v>-4.1677594708744434E-14</v>
      </c>
      <c r="CV151" s="14" t="e">
        <f t="shared" si="149"/>
        <v>#NUM!</v>
      </c>
      <c r="CW151" s="22" t="e">
        <f t="shared" si="121"/>
        <v>#NUM!</v>
      </c>
      <c r="CX151" s="60" t="e">
        <f t="shared" si="122"/>
        <v>#NUM!</v>
      </c>
      <c r="CY151" s="60">
        <f ca="1">AVERAGE(OFFSET($CX$3,0,0,'Données projet'!$E$13+1,1))-AVERAGE(OFFSET($H$3,0,0,'Données projet'!$E$13+1,1))</f>
        <v>368.35775920359396</v>
      </c>
      <c r="CZ151" s="60">
        <f t="shared" si="150"/>
        <v>395.5218438652638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1.1368683772161603E-13</v>
      </c>
      <c r="DP151" s="18">
        <f>DO151*VLOOKUP('Données projet'!$B$14,Paramètres!$A$1:$I$89,3,0)*VLOOKUP('Données projet'!$B$14,Paramètres!$A$1:$I$89,5,0)</f>
        <v>8.8675733422860506E-14</v>
      </c>
      <c r="DQ151" s="14">
        <f t="shared" si="151"/>
        <v>1.3509285393066301E-12</v>
      </c>
      <c r="DR151" s="22">
        <f t="shared" si="124"/>
        <v>2.5073107750038623E-12</v>
      </c>
      <c r="DS151" s="60">
        <f t="shared" si="125"/>
        <v>286.45649632551419</v>
      </c>
      <c r="DT151" s="60">
        <f ca="1">AVERAGE(OFFSET($DS$3,0,0,'Données projet'!$E$14+1,1))-AVERAGE(OFFSET($H$3,0,0,'Données projet'!$E$14+1,1))</f>
        <v>312.59632808777332</v>
      </c>
      <c r="DU151" s="60">
        <f t="shared" si="152"/>
        <v>302.59481222418219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0</v>
      </c>
      <c r="EE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-1.1368683772161603E-13</v>
      </c>
      <c r="EK151" s="18">
        <f>EJ151*VLOOKUP('Données projet'!$B$15,Paramètres!$A$1:$I$89,3,0)*VLOOKUP('Données projet'!$B$15,Paramètres!$A$1:$I$89,5,0)</f>
        <v>-9.7543306765146564E-14</v>
      </c>
      <c r="EL151" s="14" t="e">
        <f t="shared" si="153"/>
        <v>#NUM!</v>
      </c>
      <c r="EM151" s="22" t="e">
        <f t="shared" si="127"/>
        <v>#NUM!</v>
      </c>
      <c r="EN151" s="60" t="e">
        <f t="shared" si="128"/>
        <v>#NUM!</v>
      </c>
      <c r="EO151" s="60">
        <f ca="1">AVERAGE(OFFSET($EN$3,0,0,'Données projet'!$E$15+1,1))-AVERAGE(OFFSET($H$3,0,0,'Données projet'!$E$15+1,1))</f>
        <v>478.11504516179713</v>
      </c>
      <c r="EP151" s="60">
        <f t="shared" si="154"/>
        <v>249.93713224442419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0</v>
      </c>
      <c r="EW151" s="23">
        <f>EXP(-LN(2)/25)*EW150+(1-EXP(-LN(2)/25))/(LN(2)/25)*Calculateur!ER151*Calculateur!ET151*VLOOKUP('Données projet'!$B$15,Paramètres!$A$1:$I$89,3,0)*0.475*44/12</f>
        <v>0</v>
      </c>
      <c r="EX151" s="23">
        <f>EXP(-LN(2)/2)*EX150+(1-EXP(-LN(2)/2))/(LN(2)/2)*ER151*EU151*VLOOKUP('Données projet'!$B$15,Paramètres!$A$1:$I$89,3,0)*0.475*44/12</f>
        <v>0</v>
      </c>
      <c r="EY151" s="24">
        <f t="shared" si="129"/>
        <v>0</v>
      </c>
      <c r="EZ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3.5</v>
      </c>
      <c r="FE151" s="13">
        <f>IF('Données projet'!$A$218&gt;35,FE150+FD151-FM150,IF(A151&lt;'Données projet'!$A$218,$FB$205^A151,IF(A151='Données projet'!$A$218,'Données projet'!$B$218,FE150+FD151-FM150)))</f>
        <v>368.99999999999989</v>
      </c>
      <c r="FF151" s="18">
        <f>FE151*VLOOKUP('Données projet'!$B$16,Paramètres!$A$1:$I$89,3,0)*VLOOKUP('Données projet'!$B$16,Paramètres!$A$1:$I$89,5,0)</f>
        <v>356.89679999999987</v>
      </c>
      <c r="FG151" s="14">
        <f t="shared" si="155"/>
        <v>82.981017152077499</v>
      </c>
      <c r="FH151" s="22">
        <f t="shared" si="130"/>
        <v>766.12053153986801</v>
      </c>
      <c r="FI151" s="60">
        <f t="shared" si="131"/>
        <v>1052.5770278653797</v>
      </c>
      <c r="FJ151" s="60">
        <f ca="1">AVERAGE(OFFSET($FI$3,0,0,'Données projet'!$E$16+1,1))-AVERAGE(OFFSET($H$3,0,0,'Données projet'!$E$16+1,1))</f>
        <v>603.52431522262032</v>
      </c>
      <c r="FK151" s="60">
        <f t="shared" si="156"/>
        <v>313.56299786481338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>
        <f>EXP(-LN(2)/35)*FQ150+(1-EXP(-LN(2)/35))/(LN(2)/35)*FM151*FN151*VLOOKUP('Données projet'!$B$16,Paramètres!$A$1:$I$89,3,0)*0.475*44/12</f>
        <v>0</v>
      </c>
      <c r="FR151" s="23">
        <f>EXP(-LN(2)/25)*FR150+(1-EXP(-LN(2)/25))/(LN(2)/25)*Calculateur!FM151*Calculateur!FO151*VLOOKUP('Données projet'!$B$16,Paramètres!$A$1:$I$89,3,0)*0.475*44/12</f>
        <v>0</v>
      </c>
      <c r="FS151" s="23">
        <f>EXP(-LN(2)/2)*FS150+(1-EXP(-LN(2)/2))/(LN(2)/2)*FM151*FP151*VLOOKUP('Données projet'!$B$16,Paramètres!$A$1:$I$89,3,0)*0.475*44/12</f>
        <v>0</v>
      </c>
      <c r="FT151" s="24">
        <f t="shared" si="132"/>
        <v>0</v>
      </c>
      <c r="FU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>
        <f>FZ151*VLOOKUP('Données projet'!$B$17,Paramètres!$A$1:$I$89,3,0)*VLOOKUP('Données projet'!$B$17,Paramètres!$A$1:$I$89,5,0)</f>
        <v>0</v>
      </c>
      <c r="GB151" s="14" t="e">
        <f t="shared" si="157"/>
        <v>#NUM!</v>
      </c>
      <c r="GC151" s="22" t="e">
        <f t="shared" si="133"/>
        <v>#NUM!</v>
      </c>
      <c r="GD151" s="60" t="e">
        <f t="shared" si="134"/>
        <v>#NUM!</v>
      </c>
      <c r="GE151" s="60">
        <f ca="1">AVERAGE(OFFSET($GD$3,0,0,'Données projet'!$E$17+1,1))-AVERAGE(OFFSET($H$3,0,0,'Données projet'!$E$17+1,1))</f>
        <v>396.0878652679051</v>
      </c>
      <c r="GF151" s="60">
        <f t="shared" si="158"/>
        <v>327.26339199235406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>
        <f>EXP(-LN(2)/35)*GL150+(1-EXP(-LN(2)/35))/(LN(2)/35)*GH151*GI151*VLOOKUP('Données projet'!$B$17,Paramètres!$A$1:$I$89,3,0)*0.475*44/12</f>
        <v>0</v>
      </c>
      <c r="GM151" s="23">
        <f>EXP(-LN(2)/25)*GM150+(1-EXP(-LN(2)/25))/(LN(2)/25)*Calculateur!GH151*Calculateur!GJ151*VLOOKUP('Données projet'!$B$17,Paramètres!$A$1:$I$89,3,0)*0.475*44/12</f>
        <v>0</v>
      </c>
      <c r="GN151" s="23">
        <f>EXP(-LN(2)/2)*GN150+(1-EXP(-LN(2)/2))/(LN(2)/2)*GH151*GK151*VLOOKUP('Données projet'!$B$17,Paramètres!$A$1:$I$89,3,0)*0.475*44/12</f>
        <v>0</v>
      </c>
      <c r="GO151" s="23">
        <f t="shared" si="135"/>
        <v>0</v>
      </c>
      <c r="GP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-1.1368683772161603E-13</v>
      </c>
      <c r="GV151" s="18">
        <f>GU151*VLOOKUP('Données projet'!$B$18,Paramètres!$A$1:$I$89,3,0)*VLOOKUP('Données projet'!$B$18,Paramètres!$A$1:$I$89,5,0)</f>
        <v>-9.2222762759774927E-14</v>
      </c>
      <c r="GW151" s="14" t="e">
        <f t="shared" si="159"/>
        <v>#NUM!</v>
      </c>
      <c r="GX151" s="22" t="e">
        <f t="shared" si="136"/>
        <v>#NUM!</v>
      </c>
      <c r="GY151" s="60" t="e">
        <f t="shared" si="137"/>
        <v>#NUM!</v>
      </c>
      <c r="GZ151" s="60">
        <f ca="1">AVERAGE(OFFSET($GY$3,0,0,'Données projet'!$E$18+1,1))-AVERAGE(OFFSET($H$3,0,0,'Données projet'!$E$18+1,1))</f>
        <v>272.69564942740931</v>
      </c>
      <c r="HA151" s="60">
        <f t="shared" si="160"/>
        <v>316.57989180609252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>
        <f>EXP(-LN(2)/35)*HG150+(1-EXP(-LN(2)/35))/(LN(2)/35)*HC151*HD151*VLOOKUP('Données projet'!$B$18,Paramètres!$A$1:$I$89,3,0)*0.475*44/12</f>
        <v>0</v>
      </c>
      <c r="HH151" s="23">
        <f>EXP(-LN(2)/25)*HH150+(1-EXP(-LN(2)/25))/(LN(2)/25)*Calculateur!HC151*Calculateur!HE151*VLOOKUP('Données projet'!$B$18,Paramètres!$A$1:$I$89,3,0)*0.475*44/12</f>
        <v>0</v>
      </c>
      <c r="HI151" s="23">
        <f>EXP(-LN(2)/2)*HI150+(1-EXP(-LN(2)/2))/(LN(2)/2)*HC151*HF151*VLOOKUP('Données projet'!$B$18,Paramètres!$A$1:$I$89,3,0)*0.475*44/12</f>
        <v>0</v>
      </c>
      <c r="HJ151" s="24">
        <f t="shared" si="138"/>
        <v>0</v>
      </c>
    </row>
    <row r="152" spans="1:218" s="5" customFormat="1" x14ac:dyDescent="0.25">
      <c r="A152" s="11">
        <f t="shared" si="139"/>
        <v>149</v>
      </c>
      <c r="B152" s="75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8">
        <f t="shared" si="110"/>
        <v>183.33333333333334</v>
      </c>
      <c r="I152" s="7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3.5</v>
      </c>
      <c r="N152" s="14">
        <f>IF('Données projet'!$A$36&gt;35,N151+M152-V151,IF(A152&lt;'Données projet'!$A$36,$K$205^A152,IF(A152='Données projet'!$A$36,'Données projet'!$B$36,N151+M152-V151)))</f>
        <v>372.49999999999989</v>
      </c>
      <c r="O152" s="14">
        <f>N152*VLOOKUP('Données projet'!$B$9,Paramètres!$A$1:$I$89,3,0)*VLOOKUP('Données projet'!$B$9,Paramètres!$A$1:$I$89,5,0)</f>
        <v>337.0379999999999</v>
      </c>
      <c r="P152" s="14">
        <f t="shared" si="141"/>
        <v>78.887667174891362</v>
      </c>
      <c r="Q152" s="22">
        <f t="shared" si="108"/>
        <v>724.40387032960223</v>
      </c>
      <c r="R152" s="60">
        <f t="shared" si="109"/>
        <v>1010.9796644028953</v>
      </c>
      <c r="S152" s="60">
        <f ca="1">AVERAGE(OFFSET($R$3,0,0,'Données projet'!$E$9+1,1))-AVERAGE(OFFSET($H$3,0,0,'Données projet'!$E$9+1,1))</f>
        <v>570.08763950759544</v>
      </c>
      <c r="T152" s="60">
        <f t="shared" si="142"/>
        <v>297.32483725004136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-5.6843418860808015E-14</v>
      </c>
      <c r="AJ152" s="14">
        <f>AI152*VLOOKUP('Données projet'!$B$10,Paramètres!$A$1:$I$89,3,0)*VLOOKUP('Données projet'!$B$10,Paramètres!$A$1:$I$89,5,0)</f>
        <v>-4.5224624045658861E-14</v>
      </c>
      <c r="AK152" s="14" t="e">
        <f t="shared" si="143"/>
        <v>#NUM!</v>
      </c>
      <c r="AL152" s="22" t="e">
        <f t="shared" si="112"/>
        <v>#NUM!</v>
      </c>
      <c r="AM152" s="60" t="e">
        <f t="shared" si="113"/>
        <v>#NUM!</v>
      </c>
      <c r="AN152" s="60">
        <f ca="1">AVERAGE(OFFSET($AM$3,0,0,'Données projet'!$E$10+1,1))-AVERAGE(OFFSET($H$3,0,0,'Données projet'!$E$10+1,1))</f>
        <v>394.49874384716014</v>
      </c>
      <c r="AO152" s="60">
        <f t="shared" si="144"/>
        <v>423.72519584013378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3.4106051316484809E-13</v>
      </c>
      <c r="BE152" s="14">
        <f>BD152*VLOOKUP('Données projet'!$B$11,Paramètres!$A$1:$I$89,3,0)*VLOOKUP('Données projet'!$B$11,Paramètres!$A$1:$I$89,5,0)</f>
        <v>2.9795046430081134E-13</v>
      </c>
      <c r="BF152" s="14">
        <f t="shared" si="145"/>
        <v>3.9419014464513778E-12</v>
      </c>
      <c r="BG152" s="22">
        <f t="shared" si="115"/>
        <v>7.384408744560063E-12</v>
      </c>
      <c r="BH152" s="60">
        <f t="shared" si="116"/>
        <v>286.57579407330047</v>
      </c>
      <c r="BI152" s="60">
        <f ca="1">AVERAGE(OFFSET($BH$3,0,0,'Données projet'!$E$11+1,1))-AVERAGE(OFFSET($H$3,0,0,'Données projet'!$E$11+1,1))</f>
        <v>363.28611056308665</v>
      </c>
      <c r="BJ152" s="60">
        <f t="shared" si="146"/>
        <v>389.43647559455974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5.6843418860808015E-14</v>
      </c>
      <c r="BZ152" s="14">
        <f>BY152*VLOOKUP('Données projet'!$B$12,Paramètres!$A$1:$I$89,3,0)*VLOOKUP('Données projet'!$B$12,Paramètres!$A$1:$I$89,5,0)</f>
        <v>5.4092197387944907E-14</v>
      </c>
      <c r="CA152" s="14">
        <f t="shared" si="147"/>
        <v>8.7287050538073676E-13</v>
      </c>
      <c r="CB152" s="22">
        <f t="shared" si="118"/>
        <v>1.6144600406554537E-12</v>
      </c>
      <c r="CC152" s="60">
        <f t="shared" si="119"/>
        <v>286.57579407329467</v>
      </c>
      <c r="CD152" s="60">
        <f ca="1">AVERAGE(OFFSET($CC$3,0,0,'Données projet'!$E$12+1,1))-AVERAGE(OFFSET($H$3,0,0,'Données projet'!$E$12+1,1))</f>
        <v>441.15969139782891</v>
      </c>
      <c r="CE152" s="60">
        <f t="shared" si="148"/>
        <v>315.06466790224783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-5.6843418860808015E-14</v>
      </c>
      <c r="CU152" s="18">
        <f>CT152*VLOOKUP('Données projet'!$B$13,Paramètres!$A$1:$I$89,3,0)*VLOOKUP('Données projet'!$B$13,Paramètres!$A$1:$I$89,5,0)</f>
        <v>-4.1677594708744434E-14</v>
      </c>
      <c r="CV152" s="14" t="e">
        <f t="shared" si="149"/>
        <v>#NUM!</v>
      </c>
      <c r="CW152" s="22" t="e">
        <f t="shared" si="121"/>
        <v>#NUM!</v>
      </c>
      <c r="CX152" s="60" t="e">
        <f t="shared" si="122"/>
        <v>#NUM!</v>
      </c>
      <c r="CY152" s="60">
        <f ca="1">AVERAGE(OFFSET($CX$3,0,0,'Données projet'!$E$13+1,1))-AVERAGE(OFFSET($H$3,0,0,'Données projet'!$E$13+1,1))</f>
        <v>368.35775920359396</v>
      </c>
      <c r="CZ152" s="60">
        <f t="shared" si="150"/>
        <v>395.5218438652638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1.1368683772161603E-13</v>
      </c>
      <c r="DP152" s="18">
        <f>DO152*VLOOKUP('Données projet'!$B$14,Paramètres!$A$1:$I$89,3,0)*VLOOKUP('Données projet'!$B$14,Paramètres!$A$1:$I$89,5,0)</f>
        <v>8.8675733422860506E-14</v>
      </c>
      <c r="DQ152" s="14">
        <f t="shared" si="151"/>
        <v>1.3509285393066301E-12</v>
      </c>
      <c r="DR152" s="22">
        <f t="shared" si="124"/>
        <v>2.5073107750038623E-12</v>
      </c>
      <c r="DS152" s="60">
        <f t="shared" si="125"/>
        <v>286.57579407329558</v>
      </c>
      <c r="DT152" s="60">
        <f ca="1">AVERAGE(OFFSET($DS$3,0,0,'Données projet'!$E$14+1,1))-AVERAGE(OFFSET($H$3,0,0,'Données projet'!$E$14+1,1))</f>
        <v>312.59632808777332</v>
      </c>
      <c r="DU152" s="60">
        <f t="shared" si="152"/>
        <v>302.59481222418219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0</v>
      </c>
      <c r="EE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-1.1368683772161603E-13</v>
      </c>
      <c r="EK152" s="18">
        <f>EJ152*VLOOKUP('Données projet'!$B$15,Paramètres!$A$1:$I$89,3,0)*VLOOKUP('Données projet'!$B$15,Paramètres!$A$1:$I$89,5,0)</f>
        <v>-9.7543306765146564E-14</v>
      </c>
      <c r="EL152" s="14" t="e">
        <f t="shared" si="153"/>
        <v>#NUM!</v>
      </c>
      <c r="EM152" s="22" t="e">
        <f t="shared" si="127"/>
        <v>#NUM!</v>
      </c>
      <c r="EN152" s="60" t="e">
        <f t="shared" si="128"/>
        <v>#NUM!</v>
      </c>
      <c r="EO152" s="60">
        <f ca="1">AVERAGE(OFFSET($EN$3,0,0,'Données projet'!$E$15+1,1))-AVERAGE(OFFSET($H$3,0,0,'Données projet'!$E$15+1,1))</f>
        <v>478.11504516179713</v>
      </c>
      <c r="EP152" s="60">
        <f t="shared" si="154"/>
        <v>249.93713224442419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0</v>
      </c>
      <c r="EW152" s="23">
        <f>EXP(-LN(2)/25)*EW151+(1-EXP(-LN(2)/25))/(LN(2)/25)*Calculateur!ER152*Calculateur!ET152*VLOOKUP('Données projet'!$B$15,Paramètres!$A$1:$I$89,3,0)*0.475*44/12</f>
        <v>0</v>
      </c>
      <c r="EX152" s="23">
        <f>EXP(-LN(2)/2)*EX151+(1-EXP(-LN(2)/2))/(LN(2)/2)*ER152*EU152*VLOOKUP('Données projet'!$B$15,Paramètres!$A$1:$I$89,3,0)*0.475*44/12</f>
        <v>0</v>
      </c>
      <c r="EY152" s="24">
        <f t="shared" si="129"/>
        <v>0</v>
      </c>
      <c r="EZ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3.5</v>
      </c>
      <c r="FE152" s="13">
        <f>IF('Données projet'!$A$218&gt;35,FE151+FD152-FM151,IF(A152&lt;'Données projet'!$A$218,$FB$205^A152,IF(A152='Données projet'!$A$218,'Données projet'!$B$218,FE151+FD152-FM151)))</f>
        <v>372.49999999999989</v>
      </c>
      <c r="FF152" s="18">
        <f>FE152*VLOOKUP('Données projet'!$B$16,Paramètres!$A$1:$I$89,3,0)*VLOOKUP('Données projet'!$B$16,Paramètres!$A$1:$I$89,5,0)</f>
        <v>360.28199999999993</v>
      </c>
      <c r="FG152" s="14">
        <f t="shared" si="155"/>
        <v>83.676100958829579</v>
      </c>
      <c r="FH152" s="22">
        <f t="shared" si="130"/>
        <v>773.22702583662794</v>
      </c>
      <c r="FI152" s="60">
        <f t="shared" si="131"/>
        <v>1059.802819909921</v>
      </c>
      <c r="FJ152" s="60">
        <f ca="1">AVERAGE(OFFSET($FI$3,0,0,'Données projet'!$E$16+1,1))-AVERAGE(OFFSET($H$3,0,0,'Données projet'!$E$16+1,1))</f>
        <v>603.52431522262032</v>
      </c>
      <c r="FK152" s="60">
        <f t="shared" si="156"/>
        <v>313.56299786481338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>
        <f>EXP(-LN(2)/35)*FQ151+(1-EXP(-LN(2)/35))/(LN(2)/35)*FM152*FN152*VLOOKUP('Données projet'!$B$16,Paramètres!$A$1:$I$89,3,0)*0.475*44/12</f>
        <v>0</v>
      </c>
      <c r="FR152" s="23">
        <f>EXP(-LN(2)/25)*FR151+(1-EXP(-LN(2)/25))/(LN(2)/25)*Calculateur!FM152*Calculateur!FO152*VLOOKUP('Données projet'!$B$16,Paramètres!$A$1:$I$89,3,0)*0.475*44/12</f>
        <v>0</v>
      </c>
      <c r="FS152" s="23">
        <f>EXP(-LN(2)/2)*FS151+(1-EXP(-LN(2)/2))/(LN(2)/2)*FM152*FP152*VLOOKUP('Données projet'!$B$16,Paramètres!$A$1:$I$89,3,0)*0.475*44/12</f>
        <v>0</v>
      </c>
      <c r="FT152" s="24">
        <f t="shared" si="132"/>
        <v>0</v>
      </c>
      <c r="FU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>
        <f>FZ152*VLOOKUP('Données projet'!$B$17,Paramètres!$A$1:$I$89,3,0)*VLOOKUP('Données projet'!$B$17,Paramètres!$A$1:$I$89,5,0)</f>
        <v>0</v>
      </c>
      <c r="GB152" s="14" t="e">
        <f t="shared" si="157"/>
        <v>#NUM!</v>
      </c>
      <c r="GC152" s="22" t="e">
        <f t="shared" si="133"/>
        <v>#NUM!</v>
      </c>
      <c r="GD152" s="60" t="e">
        <f t="shared" si="134"/>
        <v>#NUM!</v>
      </c>
      <c r="GE152" s="60">
        <f ca="1">AVERAGE(OFFSET($GD$3,0,0,'Données projet'!$E$17+1,1))-AVERAGE(OFFSET($H$3,0,0,'Données projet'!$E$17+1,1))</f>
        <v>396.0878652679051</v>
      </c>
      <c r="GF152" s="60">
        <f t="shared" si="158"/>
        <v>327.26339199235406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>
        <f>EXP(-LN(2)/35)*GL151+(1-EXP(-LN(2)/35))/(LN(2)/35)*GH152*GI152*VLOOKUP('Données projet'!$B$17,Paramètres!$A$1:$I$89,3,0)*0.475*44/12</f>
        <v>0</v>
      </c>
      <c r="GM152" s="23">
        <f>EXP(-LN(2)/25)*GM151+(1-EXP(-LN(2)/25))/(LN(2)/25)*Calculateur!GH152*Calculateur!GJ152*VLOOKUP('Données projet'!$B$17,Paramètres!$A$1:$I$89,3,0)*0.475*44/12</f>
        <v>0</v>
      </c>
      <c r="GN152" s="23">
        <f>EXP(-LN(2)/2)*GN151+(1-EXP(-LN(2)/2))/(LN(2)/2)*GH152*GK152*VLOOKUP('Données projet'!$B$17,Paramètres!$A$1:$I$89,3,0)*0.475*44/12</f>
        <v>0</v>
      </c>
      <c r="GO152" s="23">
        <f t="shared" si="135"/>
        <v>0</v>
      </c>
      <c r="GP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-1.1368683772161603E-13</v>
      </c>
      <c r="GV152" s="18">
        <f>GU152*VLOOKUP('Données projet'!$B$18,Paramètres!$A$1:$I$89,3,0)*VLOOKUP('Données projet'!$B$18,Paramètres!$A$1:$I$89,5,0)</f>
        <v>-9.2222762759774927E-14</v>
      </c>
      <c r="GW152" s="14" t="e">
        <f t="shared" si="159"/>
        <v>#NUM!</v>
      </c>
      <c r="GX152" s="22" t="e">
        <f t="shared" si="136"/>
        <v>#NUM!</v>
      </c>
      <c r="GY152" s="60" t="e">
        <f t="shared" si="137"/>
        <v>#NUM!</v>
      </c>
      <c r="GZ152" s="60">
        <f ca="1">AVERAGE(OFFSET($GY$3,0,0,'Données projet'!$E$18+1,1))-AVERAGE(OFFSET($H$3,0,0,'Données projet'!$E$18+1,1))</f>
        <v>272.69564942740931</v>
      </c>
      <c r="HA152" s="60">
        <f t="shared" si="160"/>
        <v>316.57989180609252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>
        <f>EXP(-LN(2)/35)*HG151+(1-EXP(-LN(2)/35))/(LN(2)/35)*HC152*HD152*VLOOKUP('Données projet'!$B$18,Paramètres!$A$1:$I$89,3,0)*0.475*44/12</f>
        <v>0</v>
      </c>
      <c r="HH152" s="23">
        <f>EXP(-LN(2)/25)*HH151+(1-EXP(-LN(2)/25))/(LN(2)/25)*Calculateur!HC152*Calculateur!HE152*VLOOKUP('Données projet'!$B$18,Paramètres!$A$1:$I$89,3,0)*0.475*44/12</f>
        <v>0</v>
      </c>
      <c r="HI152" s="23">
        <f>EXP(-LN(2)/2)*HI151+(1-EXP(-LN(2)/2))/(LN(2)/2)*HC152*HF152*VLOOKUP('Données projet'!$B$18,Paramètres!$A$1:$I$89,3,0)*0.475*44/12</f>
        <v>0</v>
      </c>
      <c r="HJ152" s="24">
        <f t="shared" si="138"/>
        <v>0</v>
      </c>
    </row>
    <row r="153" spans="1:218" s="5" customFormat="1" x14ac:dyDescent="0.25">
      <c r="A153" s="11">
        <f>A152+1</f>
        <v>150</v>
      </c>
      <c r="B153" s="75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8">
        <f t="shared" si="110"/>
        <v>183.33333333333334</v>
      </c>
      <c r="I153" s="7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>
        <f>VLOOKUP(A153,'Données projet'!$A$35:$I$55,2,0)</f>
        <v>376</v>
      </c>
      <c r="L153" s="13">
        <f>VLOOKUP(A153,'Données projet'!$A$35:$I$55,9,0)</f>
        <v>3.5</v>
      </c>
      <c r="M153" s="13">
        <f t="array" ref="M153">INDEX(L:L,MIN(IF(ISNUMBER(L153:L349),ROW(L153:L349),"")))</f>
        <v>3.5</v>
      </c>
      <c r="N153" s="14">
        <f>IF('Données projet'!$A$36&gt;35,N152+M153-V152,IF(A153&lt;'Données projet'!$A$36,$K$205^A153,IF(A153='Données projet'!$A$36,'Données projet'!$B$36,N152+M153-V152)))</f>
        <v>375.99999999999989</v>
      </c>
      <c r="O153" s="14">
        <f>N153*VLOOKUP('Données projet'!$B$9,Paramètres!$A$1:$I$89,3,0)*VLOOKUP('Données projet'!$B$9,Paramètres!$A$1:$I$89,5,0)</f>
        <v>340.20479999999992</v>
      </c>
      <c r="P153" s="14">
        <f t="shared" si="141"/>
        <v>79.542257915424329</v>
      </c>
      <c r="Q153" s="22">
        <f t="shared" si="108"/>
        <v>731.05945920269721</v>
      </c>
      <c r="R153" s="60">
        <f t="shared" si="109"/>
        <v>1017.7524814745575</v>
      </c>
      <c r="S153" s="60">
        <f ca="1">AVERAGE(OFFSET($R$3,0,0,'Données projet'!$E$9+1,1))-AVERAGE(OFFSET($H$3,0,0,'Données projet'!$E$9+1,1))</f>
        <v>570.08763950759544</v>
      </c>
      <c r="T153" s="60">
        <f t="shared" si="142"/>
        <v>297.32483725004136</v>
      </c>
      <c r="U153" s="16">
        <f>IF(ISNA(VLOOKUP(A153,'Données projet'!$A$35:$I$55,3,0)),0,VLOOKUP(A153,'Données projet'!$A$35:$I$55,3,0))</f>
        <v>10</v>
      </c>
      <c r="V153" s="16">
        <f>IF(ISNA(VLOOKUP(A153,'Données projet'!$A$35:$I$55,4,0)),0,VLOOKUP(A153,'Données projet'!$A$35:$I$55,4,0))</f>
        <v>376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-5.6843418860808015E-14</v>
      </c>
      <c r="AJ153" s="14">
        <f>AI153*VLOOKUP('Données projet'!$B$10,Paramètres!$A$1:$I$89,3,0)*VLOOKUP('Données projet'!$B$10,Paramètres!$A$1:$I$89,5,0)</f>
        <v>-4.5224624045658861E-14</v>
      </c>
      <c r="AK153" s="14" t="e">
        <f t="shared" si="143"/>
        <v>#NUM!</v>
      </c>
      <c r="AL153" s="22" t="e">
        <f t="shared" si="112"/>
        <v>#NUM!</v>
      </c>
      <c r="AM153" s="60" t="e">
        <f t="shared" si="113"/>
        <v>#NUM!</v>
      </c>
      <c r="AN153" s="60">
        <f ca="1">AVERAGE(OFFSET($AM$3,0,0,'Données projet'!$E$10+1,1))-AVERAGE(OFFSET($H$3,0,0,'Données projet'!$E$10+1,1))</f>
        <v>394.49874384716014</v>
      </c>
      <c r="AO153" s="60">
        <f t="shared" si="144"/>
        <v>423.72519584013378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3.4106051316484809E-13</v>
      </c>
      <c r="BE153" s="14">
        <f>BD153*VLOOKUP('Données projet'!$B$11,Paramètres!$A$1:$I$89,3,0)*VLOOKUP('Données projet'!$B$11,Paramètres!$A$1:$I$89,5,0)</f>
        <v>2.9795046430081134E-13</v>
      </c>
      <c r="BF153" s="14">
        <f t="shared" si="145"/>
        <v>3.9419014464513778E-12</v>
      </c>
      <c r="BG153" s="22">
        <f t="shared" si="115"/>
        <v>7.384408744560063E-12</v>
      </c>
      <c r="BH153" s="60">
        <f t="shared" si="116"/>
        <v>286.69302227186773</v>
      </c>
      <c r="BI153" s="60">
        <f ca="1">AVERAGE(OFFSET($BH$3,0,0,'Données projet'!$E$11+1,1))-AVERAGE(OFFSET($H$3,0,0,'Données projet'!$E$11+1,1))</f>
        <v>363.28611056308665</v>
      </c>
      <c r="BJ153" s="60">
        <f t="shared" si="146"/>
        <v>389.43647559455974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5.6843418860808015E-14</v>
      </c>
      <c r="BZ153" s="14">
        <f>BY153*VLOOKUP('Données projet'!$B$12,Paramètres!$A$1:$I$89,3,0)*VLOOKUP('Données projet'!$B$12,Paramètres!$A$1:$I$89,5,0)</f>
        <v>5.4092197387944907E-14</v>
      </c>
      <c r="CA153" s="14">
        <f t="shared" si="147"/>
        <v>8.7287050538073676E-13</v>
      </c>
      <c r="CB153" s="22">
        <f t="shared" si="118"/>
        <v>1.6144600406554537E-12</v>
      </c>
      <c r="CC153" s="60">
        <f t="shared" si="119"/>
        <v>286.69302227186193</v>
      </c>
      <c r="CD153" s="60">
        <f ca="1">AVERAGE(OFFSET($CC$3,0,0,'Données projet'!$E$12+1,1))-AVERAGE(OFFSET($H$3,0,0,'Données projet'!$E$12+1,1))</f>
        <v>441.15969139782891</v>
      </c>
      <c r="CE153" s="60">
        <f t="shared" si="148"/>
        <v>315.06466790224783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-5.6843418860808015E-14</v>
      </c>
      <c r="CU153" s="18">
        <f>CT153*VLOOKUP('Données projet'!$B$13,Paramètres!$A$1:$I$89,3,0)*VLOOKUP('Données projet'!$B$13,Paramètres!$A$1:$I$89,5,0)</f>
        <v>-4.1677594708744434E-14</v>
      </c>
      <c r="CV153" s="14" t="e">
        <f t="shared" si="149"/>
        <v>#NUM!</v>
      </c>
      <c r="CW153" s="22" t="e">
        <f t="shared" si="121"/>
        <v>#NUM!</v>
      </c>
      <c r="CX153" s="60" t="e">
        <f t="shared" si="122"/>
        <v>#NUM!</v>
      </c>
      <c r="CY153" s="60">
        <f ca="1">AVERAGE(OFFSET($CX$3,0,0,'Données projet'!$E$13+1,1))-AVERAGE(OFFSET($H$3,0,0,'Données projet'!$E$13+1,1))</f>
        <v>368.35775920359396</v>
      </c>
      <c r="CZ153" s="60">
        <f t="shared" si="150"/>
        <v>395.5218438652638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1.1368683772161603E-13</v>
      </c>
      <c r="DP153" s="18">
        <f>DO153*VLOOKUP('Données projet'!$B$14,Paramètres!$A$1:$I$89,3,0)*VLOOKUP('Données projet'!$B$14,Paramètres!$A$1:$I$89,5,0)</f>
        <v>8.8675733422860506E-14</v>
      </c>
      <c r="DQ153" s="14">
        <f t="shared" si="151"/>
        <v>1.3509285393066301E-12</v>
      </c>
      <c r="DR153" s="22">
        <f t="shared" si="124"/>
        <v>2.5073107750038623E-12</v>
      </c>
      <c r="DS153" s="60">
        <f t="shared" si="125"/>
        <v>286.69302227186284</v>
      </c>
      <c r="DT153" s="60">
        <f ca="1">AVERAGE(OFFSET($DS$3,0,0,'Données projet'!$E$14+1,1))-AVERAGE(OFFSET($H$3,0,0,'Données projet'!$E$14+1,1))</f>
        <v>312.59632808777332</v>
      </c>
      <c r="DU153" s="60">
        <f t="shared" si="152"/>
        <v>302.59481222418219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0</v>
      </c>
      <c r="EE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-1.1368683772161603E-13</v>
      </c>
      <c r="EK153" s="18">
        <f>EJ153*VLOOKUP('Données projet'!$B$15,Paramètres!$A$1:$I$89,3,0)*VLOOKUP('Données projet'!$B$15,Paramètres!$A$1:$I$89,5,0)</f>
        <v>-9.7543306765146564E-14</v>
      </c>
      <c r="EL153" s="14" t="e">
        <f t="shared" si="153"/>
        <v>#NUM!</v>
      </c>
      <c r="EM153" s="22" t="e">
        <f t="shared" si="127"/>
        <v>#NUM!</v>
      </c>
      <c r="EN153" s="60" t="e">
        <f t="shared" si="128"/>
        <v>#NUM!</v>
      </c>
      <c r="EO153" s="60">
        <f ca="1">AVERAGE(OFFSET($EN$3,0,0,'Données projet'!$E$15+1,1))-AVERAGE(OFFSET($H$3,0,0,'Données projet'!$E$15+1,1))</f>
        <v>478.11504516179713</v>
      </c>
      <c r="EP153" s="60">
        <f t="shared" si="154"/>
        <v>249.93713224442419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0</v>
      </c>
      <c r="EW153" s="23">
        <f>EXP(-LN(2)/25)*EW152+(1-EXP(-LN(2)/25))/(LN(2)/25)*Calculateur!ER153*Calculateur!ET153*VLOOKUP('Données projet'!$B$15,Paramètres!$A$1:$I$89,3,0)*0.475*44/12</f>
        <v>0</v>
      </c>
      <c r="EX153" s="23">
        <f>EXP(-LN(2)/2)*EX152+(1-EXP(-LN(2)/2))/(LN(2)/2)*ER153*EU153*VLOOKUP('Données projet'!$B$15,Paramètres!$A$1:$I$89,3,0)*0.475*44/12</f>
        <v>0</v>
      </c>
      <c r="EY153" s="24">
        <f t="shared" si="129"/>
        <v>0</v>
      </c>
      <c r="EZ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>
        <f>VLOOKUP(A153,'Données projet'!$A$217:$I$237,2,0)</f>
        <v>376</v>
      </c>
      <c r="FC153" s="13">
        <f>VLOOKUP(A153,'Données projet'!$A$217:$I$237,9,0)</f>
        <v>3.5</v>
      </c>
      <c r="FD153" s="13">
        <f t="array" ref="FD153">INDEX(FC:FC,MIN(IF(ISNUMBER(FC153:FC349),ROW(FC153:FC349),"")))</f>
        <v>3.5</v>
      </c>
      <c r="FE153" s="13">
        <f>IF('Données projet'!$A$218&gt;35,FE152+FD153-FM152,IF(A153&lt;'Données projet'!$A$218,$FB$205^A153,IF(A153='Données projet'!$A$218,'Données projet'!$B$218,FE152+FD153-FM152)))</f>
        <v>375.99999999999989</v>
      </c>
      <c r="FF153" s="18">
        <f>FE153*VLOOKUP('Données projet'!$B$16,Paramètres!$A$1:$I$89,3,0)*VLOOKUP('Données projet'!$B$16,Paramètres!$A$1:$I$89,5,0)</f>
        <v>363.66719999999987</v>
      </c>
      <c r="FG153" s="14">
        <f t="shared" si="155"/>
        <v>84.370424962226963</v>
      </c>
      <c r="FH153" s="22">
        <f t="shared" si="130"/>
        <v>780.33219680921172</v>
      </c>
      <c r="FI153" s="60">
        <f t="shared" si="131"/>
        <v>1067.025219081072</v>
      </c>
      <c r="FJ153" s="60">
        <f ca="1">AVERAGE(OFFSET($FI$3,0,0,'Données projet'!$E$16+1,1))-AVERAGE(OFFSET($H$3,0,0,'Données projet'!$E$16+1,1))</f>
        <v>603.52431522262032</v>
      </c>
      <c r="FK153" s="60">
        <f t="shared" si="156"/>
        <v>313.56299786481338</v>
      </c>
      <c r="FL153" s="16">
        <f>IF(ISNA(VLOOKUP(A153,'Données projet'!$A$217:$I$237,3,0)),0,VLOOKUP(A153,'Données projet'!$A$217:$I$237,3,0))</f>
        <v>10</v>
      </c>
      <c r="FM153" s="16">
        <f>IF(ISNA(VLOOKUP(A153,'Données projet'!$A$217:$I$237,4,0)),0,VLOOKUP(A153,'Données projet'!$A$217:$I$237,4,0))</f>
        <v>376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>
        <f>EXP(-LN(2)/35)*FQ152+(1-EXP(-LN(2)/35))/(LN(2)/35)*FM153*FN153*VLOOKUP('Données projet'!$B$16,Paramètres!$A$1:$I$89,3,0)*0.475*44/12</f>
        <v>0</v>
      </c>
      <c r="FR153" s="23">
        <f>EXP(-LN(2)/25)*FR152+(1-EXP(-LN(2)/25))/(LN(2)/25)*Calculateur!FM153*Calculateur!FO153*VLOOKUP('Données projet'!$B$16,Paramètres!$A$1:$I$89,3,0)*0.475*44/12</f>
        <v>0</v>
      </c>
      <c r="FS153" s="23">
        <f>EXP(-LN(2)/2)*FS152+(1-EXP(-LN(2)/2))/(LN(2)/2)*FM153*FP153*VLOOKUP('Données projet'!$B$16,Paramètres!$A$1:$I$89,3,0)*0.475*44/12</f>
        <v>0</v>
      </c>
      <c r="FT153" s="24">
        <f t="shared" si="132"/>
        <v>0</v>
      </c>
      <c r="FU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>
        <f>FZ153*VLOOKUP('Données projet'!$B$17,Paramètres!$A$1:$I$89,3,0)*VLOOKUP('Données projet'!$B$17,Paramètres!$A$1:$I$89,5,0)</f>
        <v>0</v>
      </c>
      <c r="GB153" s="14" t="e">
        <f t="shared" si="157"/>
        <v>#NUM!</v>
      </c>
      <c r="GC153" s="22" t="e">
        <f t="shared" si="133"/>
        <v>#NUM!</v>
      </c>
      <c r="GD153" s="60" t="e">
        <f t="shared" si="134"/>
        <v>#NUM!</v>
      </c>
      <c r="GE153" s="60">
        <f ca="1">AVERAGE(OFFSET($GD$3,0,0,'Données projet'!$E$17+1,1))-AVERAGE(OFFSET($H$3,0,0,'Données projet'!$E$17+1,1))</f>
        <v>396.0878652679051</v>
      </c>
      <c r="GF153" s="60">
        <f t="shared" si="158"/>
        <v>327.26339199235406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>
        <f>EXP(-LN(2)/35)*GL152+(1-EXP(-LN(2)/35))/(LN(2)/35)*GH153*GI153*VLOOKUP('Données projet'!$B$17,Paramètres!$A$1:$I$89,3,0)*0.475*44/12</f>
        <v>0</v>
      </c>
      <c r="GM153" s="23">
        <f>EXP(-LN(2)/25)*GM152+(1-EXP(-LN(2)/25))/(LN(2)/25)*Calculateur!GH153*Calculateur!GJ153*VLOOKUP('Données projet'!$B$17,Paramètres!$A$1:$I$89,3,0)*0.475*44/12</f>
        <v>0</v>
      </c>
      <c r="GN153" s="23">
        <f>EXP(-LN(2)/2)*GN152+(1-EXP(-LN(2)/2))/(LN(2)/2)*GH153*GK153*VLOOKUP('Données projet'!$B$17,Paramètres!$A$1:$I$89,3,0)*0.475*44/12</f>
        <v>0</v>
      </c>
      <c r="GO153" s="23">
        <f t="shared" si="135"/>
        <v>0</v>
      </c>
      <c r="GP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-1.1368683772161603E-13</v>
      </c>
      <c r="GV153" s="18">
        <f>GU153*VLOOKUP('Données projet'!$B$18,Paramètres!$A$1:$I$89,3,0)*VLOOKUP('Données projet'!$B$18,Paramètres!$A$1:$I$89,5,0)</f>
        <v>-9.2222762759774927E-14</v>
      </c>
      <c r="GW153" s="14" t="e">
        <f t="shared" si="159"/>
        <v>#NUM!</v>
      </c>
      <c r="GX153" s="22" t="e">
        <f t="shared" si="136"/>
        <v>#NUM!</v>
      </c>
      <c r="GY153" s="60" t="e">
        <f t="shared" si="137"/>
        <v>#NUM!</v>
      </c>
      <c r="GZ153" s="60">
        <f ca="1">AVERAGE(OFFSET($GY$3,0,0,'Données projet'!$E$18+1,1))-AVERAGE(OFFSET($H$3,0,0,'Données projet'!$E$18+1,1))</f>
        <v>272.69564942740931</v>
      </c>
      <c r="HA153" s="60">
        <f t="shared" si="160"/>
        <v>316.57989180609252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>
        <f>EXP(-LN(2)/35)*HG152+(1-EXP(-LN(2)/35))/(LN(2)/35)*HC153*HD153*VLOOKUP('Données projet'!$B$18,Paramètres!$A$1:$I$89,3,0)*0.475*44/12</f>
        <v>0</v>
      </c>
      <c r="HH153" s="23">
        <f>EXP(-LN(2)/25)*HH152+(1-EXP(-LN(2)/25))/(LN(2)/25)*Calculateur!HC153*Calculateur!HE153*VLOOKUP('Données projet'!$B$18,Paramètres!$A$1:$I$89,3,0)*0.475*44/12</f>
        <v>0</v>
      </c>
      <c r="HI153" s="23">
        <f>EXP(-LN(2)/2)*HI152+(1-EXP(-LN(2)/2))/(LN(2)/2)*HC153*HF153*VLOOKUP('Données projet'!$B$18,Paramètres!$A$1:$I$89,3,0)*0.475*44/12</f>
        <v>0</v>
      </c>
      <c r="HJ153" s="24">
        <f t="shared" si="138"/>
        <v>0</v>
      </c>
    </row>
    <row r="154" spans="1:218" x14ac:dyDescent="0.25">
      <c r="A154" s="11">
        <f t="shared" ref="A154:A202" si="161">A153+1</f>
        <v>151</v>
      </c>
      <c r="B154" s="75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8">
        <f t="shared" si="110"/>
        <v>183.33333333333334</v>
      </c>
      <c r="I154" s="7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-1.1368683772161603E-13</v>
      </c>
      <c r="O154" s="14">
        <f>N154*VLOOKUP('Données projet'!$B$9,Paramètres!$A$1:$I$89,3,0)*VLOOKUP('Données projet'!$B$9,Paramètres!$A$1:$I$89,5,0)</f>
        <v>-1.0286385077051818E-13</v>
      </c>
      <c r="P154" s="14" t="e">
        <f t="shared" si="141"/>
        <v>#NUM!</v>
      </c>
      <c r="Q154" s="22" t="e">
        <f t="shared" ref="Q154:Q203" si="162">(O154+P154)*0.475*44/12</f>
        <v>#NUM!</v>
      </c>
      <c r="R154" s="60" t="e">
        <f t="shared" si="109"/>
        <v>#NUM!</v>
      </c>
      <c r="S154" s="60">
        <f ca="1">AVERAGE(OFFSET($R$3,0,0,'Données projet'!$E$9+1,1))-AVERAGE(OFFSET($H$3,0,0,'Données projet'!$E$9+1,1))</f>
        <v>570.08763950759544</v>
      </c>
      <c r="T154" s="60">
        <f t="shared" si="142"/>
        <v>297.32483725004136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-5.6843418860808015E-14</v>
      </c>
      <c r="AJ154" s="14">
        <f>AI154*VLOOKUP('Données projet'!$B$10,Paramètres!$A$1:$I$89,3,0)*VLOOKUP('Données projet'!$B$10,Paramètres!$A$1:$I$89,5,0)</f>
        <v>-4.5224624045658861E-14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0" t="e">
        <f t="shared" si="113"/>
        <v>#NUM!</v>
      </c>
      <c r="AN154" s="60">
        <f ca="1">AVERAGE(OFFSET($AM$3,0,0,'Données projet'!$E$10+1,1))-AVERAGE(OFFSET($H$3,0,0,'Données projet'!$E$10+1,1))</f>
        <v>394.49874384716014</v>
      </c>
      <c r="AO154" s="60">
        <f t="shared" si="144"/>
        <v>423.72519584013378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3.4106051316484809E-13</v>
      </c>
      <c r="BE154" s="14">
        <f>BD154*VLOOKUP('Données projet'!$B$11,Paramètres!$A$1:$I$89,3,0)*VLOOKUP('Données projet'!$B$11,Paramètres!$A$1:$I$89,5,0)</f>
        <v>2.9795046430081134E-13</v>
      </c>
      <c r="BF154" s="14">
        <f t="shared" ref="BF154:BF203" si="167">EXP(-1.0587+0.8836*LN(BE154)+0.284)</f>
        <v>3.9419014464513778E-12</v>
      </c>
      <c r="BG154" s="22">
        <f t="shared" ref="BG154:BG203" si="168">(BE154+BF154)*0.475*44/12</f>
        <v>7.384408744560063E-12</v>
      </c>
      <c r="BH154" s="60">
        <f t="shared" si="116"/>
        <v>286.80821682327274</v>
      </c>
      <c r="BI154" s="60">
        <f ca="1">AVERAGE(OFFSET($BH$3,0,0,'Données projet'!$E$11+1,1))-AVERAGE(OFFSET($H$3,0,0,'Données projet'!$E$11+1,1))</f>
        <v>363.28611056308665</v>
      </c>
      <c r="BJ154" s="60">
        <f t="shared" si="146"/>
        <v>389.43647559455974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5.6843418860808015E-14</v>
      </c>
      <c r="BZ154" s="14">
        <f>BY154*VLOOKUP('Données projet'!$B$12,Paramètres!$A$1:$I$89,3,0)*VLOOKUP('Données projet'!$B$12,Paramètres!$A$1:$I$89,5,0)</f>
        <v>5.4092197387944907E-14</v>
      </c>
      <c r="CA154" s="14">
        <f t="shared" ref="CA154:CA203" si="170">EXP(-1.0587+0.8836*LN(BZ154)+0.284)</f>
        <v>8.7287050538073676E-13</v>
      </c>
      <c r="CB154" s="22">
        <f t="shared" ref="CB154:CB203" si="171">(BZ154+CA154)*0.475*44/12</f>
        <v>1.6144600406554537E-12</v>
      </c>
      <c r="CC154" s="60">
        <f t="shared" si="119"/>
        <v>286.80821682326695</v>
      </c>
      <c r="CD154" s="60">
        <f ca="1">AVERAGE(OFFSET($CC$3,0,0,'Données projet'!$E$12+1,1))-AVERAGE(OFFSET($H$3,0,0,'Données projet'!$E$12+1,1))</f>
        <v>441.15969139782891</v>
      </c>
      <c r="CE154" s="60">
        <f t="shared" si="148"/>
        <v>315.06466790224783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-5.6843418860808015E-14</v>
      </c>
      <c r="CU154" s="18">
        <f>CT154*VLOOKUP('Données projet'!$B$13,Paramètres!$A$1:$I$89,3,0)*VLOOKUP('Données projet'!$B$13,Paramètres!$A$1:$I$89,5,0)</f>
        <v>-4.1677594708744434E-14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0" t="e">
        <f t="shared" si="122"/>
        <v>#NUM!</v>
      </c>
      <c r="CY154" s="60">
        <f ca="1">AVERAGE(OFFSET($CX$3,0,0,'Données projet'!$E$13+1,1))-AVERAGE(OFFSET($H$3,0,0,'Données projet'!$E$13+1,1))</f>
        <v>368.35775920359396</v>
      </c>
      <c r="CZ154" s="60">
        <f t="shared" si="150"/>
        <v>395.5218438652638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1.1368683772161603E-13</v>
      </c>
      <c r="DP154" s="18">
        <f>DO154*VLOOKUP('Données projet'!$B$14,Paramètres!$A$1:$I$89,3,0)*VLOOKUP('Données projet'!$B$14,Paramètres!$A$1:$I$89,5,0)</f>
        <v>8.8675733422860506E-14</v>
      </c>
      <c r="DQ154" s="14">
        <f t="shared" ref="DQ154:DQ203" si="176">EXP(-1.0587+0.8836*LN(DP154)+0.284)</f>
        <v>1.3509285393066301E-12</v>
      </c>
      <c r="DR154" s="22">
        <f t="shared" ref="DR154:DR203" si="177">(DP154+DQ154)*0.475*44/12</f>
        <v>2.5073107750038623E-12</v>
      </c>
      <c r="DS154" s="60">
        <f t="shared" si="125"/>
        <v>286.80821682326786</v>
      </c>
      <c r="DT154" s="60">
        <f ca="1">AVERAGE(OFFSET($DS$3,0,0,'Données projet'!$E$14+1,1))-AVERAGE(OFFSET($H$3,0,0,'Données projet'!$E$14+1,1))</f>
        <v>312.59632808777332</v>
      </c>
      <c r="DU154" s="60">
        <f t="shared" si="152"/>
        <v>302.59481222418219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0</v>
      </c>
      <c r="EE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-1.1368683772161603E-13</v>
      </c>
      <c r="EK154" s="18">
        <f>EJ154*VLOOKUP('Données projet'!$B$15,Paramètres!$A$1:$I$89,3,0)*VLOOKUP('Données projet'!$B$15,Paramètres!$A$1:$I$89,5,0)</f>
        <v>-9.7543306765146564E-14</v>
      </c>
      <c r="EL154" s="14" t="e">
        <f t="shared" ref="EL154:EL203" si="179">EXP(-1.0587+0.8836*LN(EK154)+0.284)</f>
        <v>#NUM!</v>
      </c>
      <c r="EM154" s="22" t="e">
        <f t="shared" ref="EM154:EM203" si="180">(EK154+EL154)*0.475*44/12</f>
        <v>#NUM!</v>
      </c>
      <c r="EN154" s="60" t="e">
        <f t="shared" si="128"/>
        <v>#NUM!</v>
      </c>
      <c r="EO154" s="60">
        <f ca="1">AVERAGE(OFFSET($EN$3,0,0,'Données projet'!$E$15+1,1))-AVERAGE(OFFSET($H$3,0,0,'Données projet'!$E$15+1,1))</f>
        <v>478.11504516179713</v>
      </c>
      <c r="EP154" s="60">
        <f t="shared" si="154"/>
        <v>249.93713224442419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0</v>
      </c>
      <c r="EW154" s="23">
        <f>EXP(-LN(2)/25)*EW153+(1-EXP(-LN(2)/25))/(LN(2)/25)*Calculateur!ER154*Calculateur!ET154*VLOOKUP('Données projet'!$B$15,Paramètres!$A$1:$I$89,3,0)*0.475*44/12</f>
        <v>0</v>
      </c>
      <c r="EX154" s="23">
        <f>EXP(-LN(2)/2)*EX153+(1-EXP(-LN(2)/2))/(LN(2)/2)*ER154*EU154*VLOOKUP('Données projet'!$B$15,Paramètres!$A$1:$I$89,3,0)*0.475*44/12</f>
        <v>0</v>
      </c>
      <c r="EY154" s="24">
        <f t="shared" ref="EY154:EY203" si="181">SUM(EV154:EX154)</f>
        <v>0</v>
      </c>
      <c r="EZ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-1.1368683772161603E-13</v>
      </c>
      <c r="FF154" s="18">
        <f>FE154*VLOOKUP('Données projet'!$B$16,Paramètres!$A$1:$I$89,3,0)*VLOOKUP('Données projet'!$B$16,Paramètres!$A$1:$I$89,5,0)</f>
        <v>-1.0995790944434703E-13</v>
      </c>
      <c r="FG154" s="14" t="e">
        <f t="shared" ref="FG154:FG203" si="182">EXP(-1.0587+0.8836*LN(FF154)+0.284)</f>
        <v>#NUM!</v>
      </c>
      <c r="FH154" s="22" t="e">
        <f t="shared" ref="FH154:FH203" si="183">(FF154+FG154)*0.475*44/12</f>
        <v>#NUM!</v>
      </c>
      <c r="FI154" s="60" t="e">
        <f t="shared" si="131"/>
        <v>#NUM!</v>
      </c>
      <c r="FJ154" s="60">
        <f ca="1">AVERAGE(OFFSET($FI$3,0,0,'Données projet'!$E$16+1,1))-AVERAGE(OFFSET($H$3,0,0,'Données projet'!$E$16+1,1))</f>
        <v>603.52431522262032</v>
      </c>
      <c r="FK154" s="60">
        <f t="shared" si="156"/>
        <v>313.56299786481338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>
        <f>EXP(-LN(2)/35)*FQ153+(1-EXP(-LN(2)/35))/(LN(2)/35)*FM154*FN154*VLOOKUP('Données projet'!$B$16,Paramètres!$A$1:$I$89,3,0)*0.475*44/12</f>
        <v>0</v>
      </c>
      <c r="FR154" s="23">
        <f>EXP(-LN(2)/25)*FR153+(1-EXP(-LN(2)/25))/(LN(2)/25)*Calculateur!FM154*Calculateur!FO154*VLOOKUP('Données projet'!$B$16,Paramètres!$A$1:$I$89,3,0)*0.475*44/12</f>
        <v>0</v>
      </c>
      <c r="FS154" s="23">
        <f>EXP(-LN(2)/2)*FS153+(1-EXP(-LN(2)/2))/(LN(2)/2)*FM154*FP154*VLOOKUP('Données projet'!$B$16,Paramètres!$A$1:$I$89,3,0)*0.475*44/12</f>
        <v>0</v>
      </c>
      <c r="FT154" s="24">
        <f t="shared" ref="FT154:FT203" si="184">SUM(FQ154:FS154)</f>
        <v>0</v>
      </c>
      <c r="FU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>
        <f>FZ154*VLOOKUP('Données projet'!$B$17,Paramètres!$A$1:$I$89,3,0)*VLOOKUP('Données projet'!$B$17,Paramètres!$A$1:$I$89,5,0)</f>
        <v>0</v>
      </c>
      <c r="GB154" s="14" t="e">
        <f t="shared" ref="GB154:GB203" si="185">EXP(-1.0587+0.8836*LN(GA154)+0.284)</f>
        <v>#NUM!</v>
      </c>
      <c r="GC154" s="22" t="e">
        <f t="shared" ref="GC154:GC203" si="186">(GA154+GB154)*0.475*44/12</f>
        <v>#NUM!</v>
      </c>
      <c r="GD154" s="60" t="e">
        <f t="shared" si="134"/>
        <v>#NUM!</v>
      </c>
      <c r="GE154" s="60">
        <f ca="1">AVERAGE(OFFSET($GD$3,0,0,'Données projet'!$E$17+1,1))-AVERAGE(OFFSET($H$3,0,0,'Données projet'!$E$17+1,1))</f>
        <v>396.0878652679051</v>
      </c>
      <c r="GF154" s="60">
        <f t="shared" si="158"/>
        <v>327.26339199235406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>
        <f>EXP(-LN(2)/35)*GL153+(1-EXP(-LN(2)/35))/(LN(2)/35)*GH154*GI154*VLOOKUP('Données projet'!$B$17,Paramètres!$A$1:$I$89,3,0)*0.475*44/12</f>
        <v>0</v>
      </c>
      <c r="GM154" s="23">
        <f>EXP(-LN(2)/25)*GM153+(1-EXP(-LN(2)/25))/(LN(2)/25)*Calculateur!GH154*Calculateur!GJ154*VLOOKUP('Données projet'!$B$17,Paramètres!$A$1:$I$89,3,0)*0.475*44/12</f>
        <v>0</v>
      </c>
      <c r="GN154" s="23">
        <f>EXP(-LN(2)/2)*GN153+(1-EXP(-LN(2)/2))/(LN(2)/2)*GH154*GK154*VLOOKUP('Données projet'!$B$17,Paramètres!$A$1:$I$89,3,0)*0.475*44/12</f>
        <v>0</v>
      </c>
      <c r="GO154" s="23">
        <f t="shared" ref="GO154:GO203" si="187">SUM(GL154:GN154)</f>
        <v>0</v>
      </c>
      <c r="GP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-1.1368683772161603E-13</v>
      </c>
      <c r="GV154" s="18">
        <f>GU154*VLOOKUP('Données projet'!$B$18,Paramètres!$A$1:$I$89,3,0)*VLOOKUP('Données projet'!$B$18,Paramètres!$A$1:$I$89,5,0)</f>
        <v>-9.2222762759774927E-14</v>
      </c>
      <c r="GW154" s="14" t="e">
        <f t="shared" ref="GW154:GW203" si="188">EXP(-1.0587+0.8836*LN(GV154)+0.284)</f>
        <v>#NUM!</v>
      </c>
      <c r="GX154" s="22" t="e">
        <f t="shared" ref="GX154:GX203" si="189">(GV154+GW154)*0.475*44/12</f>
        <v>#NUM!</v>
      </c>
      <c r="GY154" s="60" t="e">
        <f t="shared" si="137"/>
        <v>#NUM!</v>
      </c>
      <c r="GZ154" s="60">
        <f ca="1">AVERAGE(OFFSET($GY$3,0,0,'Données projet'!$E$18+1,1))-AVERAGE(OFFSET($H$3,0,0,'Données projet'!$E$18+1,1))</f>
        <v>272.69564942740931</v>
      </c>
      <c r="HA154" s="60">
        <f t="shared" si="160"/>
        <v>316.57989180609252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>
        <f>EXP(-LN(2)/35)*HG153+(1-EXP(-LN(2)/35))/(LN(2)/35)*HC154*HD154*VLOOKUP('Données projet'!$B$18,Paramètres!$A$1:$I$89,3,0)*0.475*44/12</f>
        <v>0</v>
      </c>
      <c r="HH154" s="23">
        <f>EXP(-LN(2)/25)*HH153+(1-EXP(-LN(2)/25))/(LN(2)/25)*Calculateur!HC154*Calculateur!HE154*VLOOKUP('Données projet'!$B$18,Paramètres!$A$1:$I$89,3,0)*0.475*44/12</f>
        <v>0</v>
      </c>
      <c r="HI154" s="23">
        <f>EXP(-LN(2)/2)*HI153+(1-EXP(-LN(2)/2))/(LN(2)/2)*HC154*HF154*VLOOKUP('Données projet'!$B$18,Paramètres!$A$1:$I$89,3,0)*0.475*44/12</f>
        <v>0</v>
      </c>
      <c r="HJ154" s="24">
        <f t="shared" ref="HJ154:HJ203" si="190">SUM(HG154:HI154)</f>
        <v>0</v>
      </c>
    </row>
    <row r="155" spans="1:218" x14ac:dyDescent="0.25">
      <c r="A155" s="11">
        <f t="shared" si="161"/>
        <v>152</v>
      </c>
      <c r="B155" s="75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8">
        <f t="shared" si="110"/>
        <v>183.33333333333334</v>
      </c>
      <c r="I155" s="7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-1.1368683772161603E-13</v>
      </c>
      <c r="O155" s="14">
        <f>N155*VLOOKUP('Données projet'!$B$9,Paramètres!$A$1:$I$89,3,0)*VLOOKUP('Données projet'!$B$9,Paramètres!$A$1:$I$89,5,0)</f>
        <v>-1.0286385077051818E-13</v>
      </c>
      <c r="P155" s="14" t="e">
        <f t="shared" si="141"/>
        <v>#NUM!</v>
      </c>
      <c r="Q155" s="22" t="e">
        <f t="shared" si="162"/>
        <v>#NUM!</v>
      </c>
      <c r="R155" s="60" t="e">
        <f t="shared" si="109"/>
        <v>#NUM!</v>
      </c>
      <c r="S155" s="60">
        <f ca="1">AVERAGE(OFFSET($R$3,0,0,'Données projet'!$E$9+1,1))-AVERAGE(OFFSET($H$3,0,0,'Données projet'!$E$9+1,1))</f>
        <v>570.08763950759544</v>
      </c>
      <c r="T155" s="60">
        <f t="shared" si="142"/>
        <v>297.32483725004136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-5.6843418860808015E-14</v>
      </c>
      <c r="AJ155" s="14">
        <f>AI155*VLOOKUP('Données projet'!$B$10,Paramètres!$A$1:$I$89,3,0)*VLOOKUP('Données projet'!$B$10,Paramètres!$A$1:$I$89,5,0)</f>
        <v>-4.5224624045658861E-14</v>
      </c>
      <c r="AK155" s="14" t="e">
        <f t="shared" si="164"/>
        <v>#NUM!</v>
      </c>
      <c r="AL155" s="22" t="e">
        <f t="shared" si="165"/>
        <v>#NUM!</v>
      </c>
      <c r="AM155" s="60" t="e">
        <f t="shared" si="113"/>
        <v>#NUM!</v>
      </c>
      <c r="AN155" s="60">
        <f ca="1">AVERAGE(OFFSET($AM$3,0,0,'Données projet'!$E$10+1,1))-AVERAGE(OFFSET($H$3,0,0,'Données projet'!$E$10+1,1))</f>
        <v>394.49874384716014</v>
      </c>
      <c r="AO155" s="60">
        <f t="shared" si="144"/>
        <v>423.72519584013378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3.4106051316484809E-13</v>
      </c>
      <c r="BE155" s="14">
        <f>BD155*VLOOKUP('Données projet'!$B$11,Paramètres!$A$1:$I$89,3,0)*VLOOKUP('Données projet'!$B$11,Paramètres!$A$1:$I$89,5,0)</f>
        <v>2.9795046430081134E-13</v>
      </c>
      <c r="BF155" s="14">
        <f t="shared" si="167"/>
        <v>3.9419014464513778E-12</v>
      </c>
      <c r="BG155" s="22">
        <f t="shared" si="168"/>
        <v>7.384408744560063E-12</v>
      </c>
      <c r="BH155" s="60">
        <f t="shared" si="116"/>
        <v>286.92141300674729</v>
      </c>
      <c r="BI155" s="60">
        <f ca="1">AVERAGE(OFFSET($BH$3,0,0,'Données projet'!$E$11+1,1))-AVERAGE(OFFSET($H$3,0,0,'Données projet'!$E$11+1,1))</f>
        <v>363.28611056308665</v>
      </c>
      <c r="BJ155" s="60">
        <f t="shared" si="146"/>
        <v>389.43647559455974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5.6843418860808015E-14</v>
      </c>
      <c r="BZ155" s="14">
        <f>BY155*VLOOKUP('Données projet'!$B$12,Paramètres!$A$1:$I$89,3,0)*VLOOKUP('Données projet'!$B$12,Paramètres!$A$1:$I$89,5,0)</f>
        <v>5.4092197387944907E-14</v>
      </c>
      <c r="CA155" s="14">
        <f t="shared" si="170"/>
        <v>8.7287050538073676E-13</v>
      </c>
      <c r="CB155" s="22">
        <f t="shared" si="171"/>
        <v>1.6144600406554537E-12</v>
      </c>
      <c r="CC155" s="60">
        <f t="shared" si="119"/>
        <v>286.92141300674149</v>
      </c>
      <c r="CD155" s="60">
        <f ca="1">AVERAGE(OFFSET($CC$3,0,0,'Données projet'!$E$12+1,1))-AVERAGE(OFFSET($H$3,0,0,'Données projet'!$E$12+1,1))</f>
        <v>441.15969139782891</v>
      </c>
      <c r="CE155" s="60">
        <f t="shared" si="148"/>
        <v>315.06466790224783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-5.6843418860808015E-14</v>
      </c>
      <c r="CU155" s="18">
        <f>CT155*VLOOKUP('Données projet'!$B$13,Paramètres!$A$1:$I$89,3,0)*VLOOKUP('Données projet'!$B$13,Paramètres!$A$1:$I$89,5,0)</f>
        <v>-4.1677594708744434E-14</v>
      </c>
      <c r="CV155" s="14" t="e">
        <f t="shared" si="173"/>
        <v>#NUM!</v>
      </c>
      <c r="CW155" s="22" t="e">
        <f t="shared" si="174"/>
        <v>#NUM!</v>
      </c>
      <c r="CX155" s="60" t="e">
        <f t="shared" si="122"/>
        <v>#NUM!</v>
      </c>
      <c r="CY155" s="60">
        <f ca="1">AVERAGE(OFFSET($CX$3,0,0,'Données projet'!$E$13+1,1))-AVERAGE(OFFSET($H$3,0,0,'Données projet'!$E$13+1,1))</f>
        <v>368.35775920359396</v>
      </c>
      <c r="CZ155" s="60">
        <f t="shared" si="150"/>
        <v>395.5218438652638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1.1368683772161603E-13</v>
      </c>
      <c r="DP155" s="18">
        <f>DO155*VLOOKUP('Données projet'!$B$14,Paramètres!$A$1:$I$89,3,0)*VLOOKUP('Données projet'!$B$14,Paramètres!$A$1:$I$89,5,0)</f>
        <v>8.8675733422860506E-14</v>
      </c>
      <c r="DQ155" s="14">
        <f t="shared" si="176"/>
        <v>1.3509285393066301E-12</v>
      </c>
      <c r="DR155" s="22">
        <f t="shared" si="177"/>
        <v>2.5073107750038623E-12</v>
      </c>
      <c r="DS155" s="60">
        <f t="shared" si="125"/>
        <v>286.9214130067424</v>
      </c>
      <c r="DT155" s="60">
        <f ca="1">AVERAGE(OFFSET($DS$3,0,0,'Données projet'!$E$14+1,1))-AVERAGE(OFFSET($H$3,0,0,'Données projet'!$E$14+1,1))</f>
        <v>312.59632808777332</v>
      </c>
      <c r="DU155" s="60">
        <f t="shared" si="152"/>
        <v>302.59481222418219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0</v>
      </c>
      <c r="EE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-1.1368683772161603E-13</v>
      </c>
      <c r="EK155" s="18">
        <f>EJ155*VLOOKUP('Données projet'!$B$15,Paramètres!$A$1:$I$89,3,0)*VLOOKUP('Données projet'!$B$15,Paramètres!$A$1:$I$89,5,0)</f>
        <v>-9.7543306765146564E-14</v>
      </c>
      <c r="EL155" s="14" t="e">
        <f t="shared" si="179"/>
        <v>#NUM!</v>
      </c>
      <c r="EM155" s="22" t="e">
        <f t="shared" si="180"/>
        <v>#NUM!</v>
      </c>
      <c r="EN155" s="60" t="e">
        <f t="shared" si="128"/>
        <v>#NUM!</v>
      </c>
      <c r="EO155" s="60">
        <f ca="1">AVERAGE(OFFSET($EN$3,0,0,'Données projet'!$E$15+1,1))-AVERAGE(OFFSET($H$3,0,0,'Données projet'!$E$15+1,1))</f>
        <v>478.11504516179713</v>
      </c>
      <c r="EP155" s="60">
        <f t="shared" si="154"/>
        <v>249.93713224442419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0</v>
      </c>
      <c r="EW155" s="23">
        <f>EXP(-LN(2)/25)*EW154+(1-EXP(-LN(2)/25))/(LN(2)/25)*Calculateur!ER155*Calculateur!ET155*VLOOKUP('Données projet'!$B$15,Paramètres!$A$1:$I$89,3,0)*0.475*44/12</f>
        <v>0</v>
      </c>
      <c r="EX155" s="23">
        <f>EXP(-LN(2)/2)*EX154+(1-EXP(-LN(2)/2))/(LN(2)/2)*ER155*EU155*VLOOKUP('Données projet'!$B$15,Paramètres!$A$1:$I$89,3,0)*0.475*44/12</f>
        <v>0</v>
      </c>
      <c r="EY155" s="24">
        <f t="shared" si="181"/>
        <v>0</v>
      </c>
      <c r="EZ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-1.1368683772161603E-13</v>
      </c>
      <c r="FF155" s="18">
        <f>FE155*VLOOKUP('Données projet'!$B$16,Paramètres!$A$1:$I$89,3,0)*VLOOKUP('Données projet'!$B$16,Paramètres!$A$1:$I$89,5,0)</f>
        <v>-1.0995790944434703E-13</v>
      </c>
      <c r="FG155" s="14" t="e">
        <f t="shared" si="182"/>
        <v>#NUM!</v>
      </c>
      <c r="FH155" s="22" t="e">
        <f t="shared" si="183"/>
        <v>#NUM!</v>
      </c>
      <c r="FI155" s="60" t="e">
        <f t="shared" si="131"/>
        <v>#NUM!</v>
      </c>
      <c r="FJ155" s="60">
        <f ca="1">AVERAGE(OFFSET($FI$3,0,0,'Données projet'!$E$16+1,1))-AVERAGE(OFFSET($H$3,0,0,'Données projet'!$E$16+1,1))</f>
        <v>603.52431522262032</v>
      </c>
      <c r="FK155" s="60">
        <f t="shared" si="156"/>
        <v>313.56299786481338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>
        <f>EXP(-LN(2)/35)*FQ154+(1-EXP(-LN(2)/35))/(LN(2)/35)*FM155*FN155*VLOOKUP('Données projet'!$B$16,Paramètres!$A$1:$I$89,3,0)*0.475*44/12</f>
        <v>0</v>
      </c>
      <c r="FR155" s="23">
        <f>EXP(-LN(2)/25)*FR154+(1-EXP(-LN(2)/25))/(LN(2)/25)*Calculateur!FM155*Calculateur!FO155*VLOOKUP('Données projet'!$B$16,Paramètres!$A$1:$I$89,3,0)*0.475*44/12</f>
        <v>0</v>
      </c>
      <c r="FS155" s="23">
        <f>EXP(-LN(2)/2)*FS154+(1-EXP(-LN(2)/2))/(LN(2)/2)*FM155*FP155*VLOOKUP('Données projet'!$B$16,Paramètres!$A$1:$I$89,3,0)*0.475*44/12</f>
        <v>0</v>
      </c>
      <c r="FT155" s="24">
        <f t="shared" si="184"/>
        <v>0</v>
      </c>
      <c r="FU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>
        <f>FZ155*VLOOKUP('Données projet'!$B$17,Paramètres!$A$1:$I$89,3,0)*VLOOKUP('Données projet'!$B$17,Paramètres!$A$1:$I$89,5,0)</f>
        <v>0</v>
      </c>
      <c r="GB155" s="14" t="e">
        <f t="shared" si="185"/>
        <v>#NUM!</v>
      </c>
      <c r="GC155" s="22" t="e">
        <f t="shared" si="186"/>
        <v>#NUM!</v>
      </c>
      <c r="GD155" s="60" t="e">
        <f t="shared" si="134"/>
        <v>#NUM!</v>
      </c>
      <c r="GE155" s="60">
        <f ca="1">AVERAGE(OFFSET($GD$3,0,0,'Données projet'!$E$17+1,1))-AVERAGE(OFFSET($H$3,0,0,'Données projet'!$E$17+1,1))</f>
        <v>396.0878652679051</v>
      </c>
      <c r="GF155" s="60">
        <f t="shared" si="158"/>
        <v>327.26339199235406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>
        <f>EXP(-LN(2)/35)*GL154+(1-EXP(-LN(2)/35))/(LN(2)/35)*GH155*GI155*VLOOKUP('Données projet'!$B$17,Paramètres!$A$1:$I$89,3,0)*0.475*44/12</f>
        <v>0</v>
      </c>
      <c r="GM155" s="23">
        <f>EXP(-LN(2)/25)*GM154+(1-EXP(-LN(2)/25))/(LN(2)/25)*Calculateur!GH155*Calculateur!GJ155*VLOOKUP('Données projet'!$B$17,Paramètres!$A$1:$I$89,3,0)*0.475*44/12</f>
        <v>0</v>
      </c>
      <c r="GN155" s="23">
        <f>EXP(-LN(2)/2)*GN154+(1-EXP(-LN(2)/2))/(LN(2)/2)*GH155*GK155*VLOOKUP('Données projet'!$B$17,Paramètres!$A$1:$I$89,3,0)*0.475*44/12</f>
        <v>0</v>
      </c>
      <c r="GO155" s="23">
        <f t="shared" si="187"/>
        <v>0</v>
      </c>
      <c r="GP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-1.1368683772161603E-13</v>
      </c>
      <c r="GV155" s="18">
        <f>GU155*VLOOKUP('Données projet'!$B$18,Paramètres!$A$1:$I$89,3,0)*VLOOKUP('Données projet'!$B$18,Paramètres!$A$1:$I$89,5,0)</f>
        <v>-9.2222762759774927E-14</v>
      </c>
      <c r="GW155" s="14" t="e">
        <f t="shared" si="188"/>
        <v>#NUM!</v>
      </c>
      <c r="GX155" s="22" t="e">
        <f t="shared" si="189"/>
        <v>#NUM!</v>
      </c>
      <c r="GY155" s="60" t="e">
        <f t="shared" si="137"/>
        <v>#NUM!</v>
      </c>
      <c r="GZ155" s="60">
        <f ca="1">AVERAGE(OFFSET($GY$3,0,0,'Données projet'!$E$18+1,1))-AVERAGE(OFFSET($H$3,0,0,'Données projet'!$E$18+1,1))</f>
        <v>272.69564942740931</v>
      </c>
      <c r="HA155" s="60">
        <f t="shared" si="160"/>
        <v>316.57989180609252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>
        <f>EXP(-LN(2)/35)*HG154+(1-EXP(-LN(2)/35))/(LN(2)/35)*HC155*HD155*VLOOKUP('Données projet'!$B$18,Paramètres!$A$1:$I$89,3,0)*0.475*44/12</f>
        <v>0</v>
      </c>
      <c r="HH155" s="23">
        <f>EXP(-LN(2)/25)*HH154+(1-EXP(-LN(2)/25))/(LN(2)/25)*Calculateur!HC155*Calculateur!HE155*VLOOKUP('Données projet'!$B$18,Paramètres!$A$1:$I$89,3,0)*0.475*44/12</f>
        <v>0</v>
      </c>
      <c r="HI155" s="23">
        <f>EXP(-LN(2)/2)*HI154+(1-EXP(-LN(2)/2))/(LN(2)/2)*HC155*HF155*VLOOKUP('Données projet'!$B$18,Paramètres!$A$1:$I$89,3,0)*0.475*44/12</f>
        <v>0</v>
      </c>
      <c r="HJ155" s="24">
        <f t="shared" si="190"/>
        <v>0</v>
      </c>
    </row>
    <row r="156" spans="1:218" x14ac:dyDescent="0.25">
      <c r="A156" s="11">
        <f t="shared" si="161"/>
        <v>153</v>
      </c>
      <c r="B156" s="75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8">
        <f t="shared" si="110"/>
        <v>183.33333333333334</v>
      </c>
      <c r="I156" s="7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-1.1368683772161603E-13</v>
      </c>
      <c r="O156" s="14">
        <f>N156*VLOOKUP('Données projet'!$B$9,Paramètres!$A$1:$I$89,3,0)*VLOOKUP('Données projet'!$B$9,Paramètres!$A$1:$I$89,5,0)</f>
        <v>-1.0286385077051818E-13</v>
      </c>
      <c r="P156" s="14" t="e">
        <f t="shared" si="141"/>
        <v>#NUM!</v>
      </c>
      <c r="Q156" s="22" t="e">
        <f t="shared" si="162"/>
        <v>#NUM!</v>
      </c>
      <c r="R156" s="60" t="e">
        <f t="shared" si="109"/>
        <v>#NUM!</v>
      </c>
      <c r="S156" s="60">
        <f ca="1">AVERAGE(OFFSET($R$3,0,0,'Données projet'!$E$9+1,1))-AVERAGE(OFFSET($H$3,0,0,'Données projet'!$E$9+1,1))</f>
        <v>570.08763950759544</v>
      </c>
      <c r="T156" s="60">
        <f t="shared" si="142"/>
        <v>297.32483725004136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-5.6843418860808015E-14</v>
      </c>
      <c r="AJ156" s="14">
        <f>AI156*VLOOKUP('Données projet'!$B$10,Paramètres!$A$1:$I$89,3,0)*VLOOKUP('Données projet'!$B$10,Paramètres!$A$1:$I$89,5,0)</f>
        <v>-4.5224624045658861E-14</v>
      </c>
      <c r="AK156" s="14" t="e">
        <f t="shared" si="164"/>
        <v>#NUM!</v>
      </c>
      <c r="AL156" s="22" t="e">
        <f t="shared" si="165"/>
        <v>#NUM!</v>
      </c>
      <c r="AM156" s="60" t="e">
        <f t="shared" si="113"/>
        <v>#NUM!</v>
      </c>
      <c r="AN156" s="60">
        <f ca="1">AVERAGE(OFFSET($AM$3,0,0,'Données projet'!$E$10+1,1))-AVERAGE(OFFSET($H$3,0,0,'Données projet'!$E$10+1,1))</f>
        <v>394.49874384716014</v>
      </c>
      <c r="AO156" s="60">
        <f t="shared" si="144"/>
        <v>423.72519584013378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3.4106051316484809E-13</v>
      </c>
      <c r="BE156" s="14">
        <f>BD156*VLOOKUP('Données projet'!$B$11,Paramètres!$A$1:$I$89,3,0)*VLOOKUP('Données projet'!$B$11,Paramètres!$A$1:$I$89,5,0)</f>
        <v>2.9795046430081134E-13</v>
      </c>
      <c r="BF156" s="14">
        <f t="shared" si="167"/>
        <v>3.9419014464513778E-12</v>
      </c>
      <c r="BG156" s="22">
        <f t="shared" si="168"/>
        <v>7.384408744560063E-12</v>
      </c>
      <c r="BH156" s="60">
        <f t="shared" si="116"/>
        <v>287.03264548950739</v>
      </c>
      <c r="BI156" s="60">
        <f ca="1">AVERAGE(OFFSET($BH$3,0,0,'Données projet'!$E$11+1,1))-AVERAGE(OFFSET($H$3,0,0,'Données projet'!$E$11+1,1))</f>
        <v>363.28611056308665</v>
      </c>
      <c r="BJ156" s="60">
        <f t="shared" si="146"/>
        <v>389.43647559455974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5.6843418860808015E-14</v>
      </c>
      <c r="BZ156" s="14">
        <f>BY156*VLOOKUP('Données projet'!$B$12,Paramètres!$A$1:$I$89,3,0)*VLOOKUP('Données projet'!$B$12,Paramètres!$A$1:$I$89,5,0)</f>
        <v>5.4092197387944907E-14</v>
      </c>
      <c r="CA156" s="14">
        <f t="shared" si="170"/>
        <v>8.7287050538073676E-13</v>
      </c>
      <c r="CB156" s="22">
        <f t="shared" si="171"/>
        <v>1.6144600406554537E-12</v>
      </c>
      <c r="CC156" s="60">
        <f t="shared" si="119"/>
        <v>287.03264548950159</v>
      </c>
      <c r="CD156" s="60">
        <f ca="1">AVERAGE(OFFSET($CC$3,0,0,'Données projet'!$E$12+1,1))-AVERAGE(OFFSET($H$3,0,0,'Données projet'!$E$12+1,1))</f>
        <v>441.15969139782891</v>
      </c>
      <c r="CE156" s="60">
        <f t="shared" si="148"/>
        <v>315.06466790224783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-5.6843418860808015E-14</v>
      </c>
      <c r="CU156" s="18">
        <f>CT156*VLOOKUP('Données projet'!$B$13,Paramètres!$A$1:$I$89,3,0)*VLOOKUP('Données projet'!$B$13,Paramètres!$A$1:$I$89,5,0)</f>
        <v>-4.1677594708744434E-14</v>
      </c>
      <c r="CV156" s="14" t="e">
        <f t="shared" si="173"/>
        <v>#NUM!</v>
      </c>
      <c r="CW156" s="22" t="e">
        <f t="shared" si="174"/>
        <v>#NUM!</v>
      </c>
      <c r="CX156" s="60" t="e">
        <f t="shared" si="122"/>
        <v>#NUM!</v>
      </c>
      <c r="CY156" s="60">
        <f ca="1">AVERAGE(OFFSET($CX$3,0,0,'Données projet'!$E$13+1,1))-AVERAGE(OFFSET($H$3,0,0,'Données projet'!$E$13+1,1))</f>
        <v>368.35775920359396</v>
      </c>
      <c r="CZ156" s="60">
        <f t="shared" si="150"/>
        <v>395.5218438652638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1.1368683772161603E-13</v>
      </c>
      <c r="DP156" s="18">
        <f>DO156*VLOOKUP('Données projet'!$B$14,Paramètres!$A$1:$I$89,3,0)*VLOOKUP('Données projet'!$B$14,Paramètres!$A$1:$I$89,5,0)</f>
        <v>8.8675733422860506E-14</v>
      </c>
      <c r="DQ156" s="14">
        <f t="shared" si="176"/>
        <v>1.3509285393066301E-12</v>
      </c>
      <c r="DR156" s="22">
        <f t="shared" si="177"/>
        <v>2.5073107750038623E-12</v>
      </c>
      <c r="DS156" s="60">
        <f t="shared" si="125"/>
        <v>287.0326454895025</v>
      </c>
      <c r="DT156" s="60">
        <f ca="1">AVERAGE(OFFSET($DS$3,0,0,'Données projet'!$E$14+1,1))-AVERAGE(OFFSET($H$3,0,0,'Données projet'!$E$14+1,1))</f>
        <v>312.59632808777332</v>
      </c>
      <c r="DU156" s="60">
        <f t="shared" si="152"/>
        <v>302.59481222418219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0</v>
      </c>
      <c r="EE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-1.1368683772161603E-13</v>
      </c>
      <c r="EK156" s="18">
        <f>EJ156*VLOOKUP('Données projet'!$B$15,Paramètres!$A$1:$I$89,3,0)*VLOOKUP('Données projet'!$B$15,Paramètres!$A$1:$I$89,5,0)</f>
        <v>-9.7543306765146564E-14</v>
      </c>
      <c r="EL156" s="14" t="e">
        <f t="shared" si="179"/>
        <v>#NUM!</v>
      </c>
      <c r="EM156" s="22" t="e">
        <f t="shared" si="180"/>
        <v>#NUM!</v>
      </c>
      <c r="EN156" s="60" t="e">
        <f t="shared" si="128"/>
        <v>#NUM!</v>
      </c>
      <c r="EO156" s="60">
        <f ca="1">AVERAGE(OFFSET($EN$3,0,0,'Données projet'!$E$15+1,1))-AVERAGE(OFFSET($H$3,0,0,'Données projet'!$E$15+1,1))</f>
        <v>478.11504516179713</v>
      </c>
      <c r="EP156" s="60">
        <f t="shared" si="154"/>
        <v>249.93713224442419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0</v>
      </c>
      <c r="EW156" s="23">
        <f>EXP(-LN(2)/25)*EW155+(1-EXP(-LN(2)/25))/(LN(2)/25)*Calculateur!ER156*Calculateur!ET156*VLOOKUP('Données projet'!$B$15,Paramètres!$A$1:$I$89,3,0)*0.475*44/12</f>
        <v>0</v>
      </c>
      <c r="EX156" s="23">
        <f>EXP(-LN(2)/2)*EX155+(1-EXP(-LN(2)/2))/(LN(2)/2)*ER156*EU156*VLOOKUP('Données projet'!$B$15,Paramètres!$A$1:$I$89,3,0)*0.475*44/12</f>
        <v>0</v>
      </c>
      <c r="EY156" s="24">
        <f t="shared" si="181"/>
        <v>0</v>
      </c>
      <c r="EZ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-1.1368683772161603E-13</v>
      </c>
      <c r="FF156" s="18">
        <f>FE156*VLOOKUP('Données projet'!$B$16,Paramètres!$A$1:$I$89,3,0)*VLOOKUP('Données projet'!$B$16,Paramètres!$A$1:$I$89,5,0)</f>
        <v>-1.0995790944434703E-13</v>
      </c>
      <c r="FG156" s="14" t="e">
        <f t="shared" si="182"/>
        <v>#NUM!</v>
      </c>
      <c r="FH156" s="22" t="e">
        <f t="shared" si="183"/>
        <v>#NUM!</v>
      </c>
      <c r="FI156" s="60" t="e">
        <f t="shared" si="131"/>
        <v>#NUM!</v>
      </c>
      <c r="FJ156" s="60">
        <f ca="1">AVERAGE(OFFSET($FI$3,0,0,'Données projet'!$E$16+1,1))-AVERAGE(OFFSET($H$3,0,0,'Données projet'!$E$16+1,1))</f>
        <v>603.52431522262032</v>
      </c>
      <c r="FK156" s="60">
        <f t="shared" si="156"/>
        <v>313.56299786481338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>
        <f>EXP(-LN(2)/35)*FQ155+(1-EXP(-LN(2)/35))/(LN(2)/35)*FM156*FN156*VLOOKUP('Données projet'!$B$16,Paramètres!$A$1:$I$89,3,0)*0.475*44/12</f>
        <v>0</v>
      </c>
      <c r="FR156" s="23">
        <f>EXP(-LN(2)/25)*FR155+(1-EXP(-LN(2)/25))/(LN(2)/25)*Calculateur!FM156*Calculateur!FO156*VLOOKUP('Données projet'!$B$16,Paramètres!$A$1:$I$89,3,0)*0.475*44/12</f>
        <v>0</v>
      </c>
      <c r="FS156" s="23">
        <f>EXP(-LN(2)/2)*FS155+(1-EXP(-LN(2)/2))/(LN(2)/2)*FM156*FP156*VLOOKUP('Données projet'!$B$16,Paramètres!$A$1:$I$89,3,0)*0.475*44/12</f>
        <v>0</v>
      </c>
      <c r="FT156" s="24">
        <f t="shared" si="184"/>
        <v>0</v>
      </c>
      <c r="FU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>
        <f>FZ156*VLOOKUP('Données projet'!$B$17,Paramètres!$A$1:$I$89,3,0)*VLOOKUP('Données projet'!$B$17,Paramètres!$A$1:$I$89,5,0)</f>
        <v>0</v>
      </c>
      <c r="GB156" s="14" t="e">
        <f t="shared" si="185"/>
        <v>#NUM!</v>
      </c>
      <c r="GC156" s="22" t="e">
        <f t="shared" si="186"/>
        <v>#NUM!</v>
      </c>
      <c r="GD156" s="60" t="e">
        <f t="shared" si="134"/>
        <v>#NUM!</v>
      </c>
      <c r="GE156" s="60">
        <f ca="1">AVERAGE(OFFSET($GD$3,0,0,'Données projet'!$E$17+1,1))-AVERAGE(OFFSET($H$3,0,0,'Données projet'!$E$17+1,1))</f>
        <v>396.0878652679051</v>
      </c>
      <c r="GF156" s="60">
        <f t="shared" si="158"/>
        <v>327.26339199235406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>
        <f>EXP(-LN(2)/35)*GL155+(1-EXP(-LN(2)/35))/(LN(2)/35)*GH156*GI156*VLOOKUP('Données projet'!$B$17,Paramètres!$A$1:$I$89,3,0)*0.475*44/12</f>
        <v>0</v>
      </c>
      <c r="GM156" s="23">
        <f>EXP(-LN(2)/25)*GM155+(1-EXP(-LN(2)/25))/(LN(2)/25)*Calculateur!GH156*Calculateur!GJ156*VLOOKUP('Données projet'!$B$17,Paramètres!$A$1:$I$89,3,0)*0.475*44/12</f>
        <v>0</v>
      </c>
      <c r="GN156" s="23">
        <f>EXP(-LN(2)/2)*GN155+(1-EXP(-LN(2)/2))/(LN(2)/2)*GH156*GK156*VLOOKUP('Données projet'!$B$17,Paramètres!$A$1:$I$89,3,0)*0.475*44/12</f>
        <v>0</v>
      </c>
      <c r="GO156" s="23">
        <f t="shared" si="187"/>
        <v>0</v>
      </c>
      <c r="GP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-1.1368683772161603E-13</v>
      </c>
      <c r="GV156" s="18">
        <f>GU156*VLOOKUP('Données projet'!$B$18,Paramètres!$A$1:$I$89,3,0)*VLOOKUP('Données projet'!$B$18,Paramètres!$A$1:$I$89,5,0)</f>
        <v>-9.2222762759774927E-14</v>
      </c>
      <c r="GW156" s="14" t="e">
        <f t="shared" si="188"/>
        <v>#NUM!</v>
      </c>
      <c r="GX156" s="22" t="e">
        <f t="shared" si="189"/>
        <v>#NUM!</v>
      </c>
      <c r="GY156" s="60" t="e">
        <f t="shared" si="137"/>
        <v>#NUM!</v>
      </c>
      <c r="GZ156" s="60">
        <f ca="1">AVERAGE(OFFSET($GY$3,0,0,'Données projet'!$E$18+1,1))-AVERAGE(OFFSET($H$3,0,0,'Données projet'!$E$18+1,1))</f>
        <v>272.69564942740931</v>
      </c>
      <c r="HA156" s="60">
        <f t="shared" si="160"/>
        <v>316.57989180609252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>
        <f>EXP(-LN(2)/35)*HG155+(1-EXP(-LN(2)/35))/(LN(2)/35)*HC156*HD156*VLOOKUP('Données projet'!$B$18,Paramètres!$A$1:$I$89,3,0)*0.475*44/12</f>
        <v>0</v>
      </c>
      <c r="HH156" s="23">
        <f>EXP(-LN(2)/25)*HH155+(1-EXP(-LN(2)/25))/(LN(2)/25)*Calculateur!HC156*Calculateur!HE156*VLOOKUP('Données projet'!$B$18,Paramètres!$A$1:$I$89,3,0)*0.475*44/12</f>
        <v>0</v>
      </c>
      <c r="HI156" s="23">
        <f>EXP(-LN(2)/2)*HI155+(1-EXP(-LN(2)/2))/(LN(2)/2)*HC156*HF156*VLOOKUP('Données projet'!$B$18,Paramètres!$A$1:$I$89,3,0)*0.475*44/12</f>
        <v>0</v>
      </c>
      <c r="HJ156" s="24">
        <f t="shared" si="190"/>
        <v>0</v>
      </c>
    </row>
    <row r="157" spans="1:218" x14ac:dyDescent="0.25">
      <c r="A157" s="11">
        <f t="shared" si="161"/>
        <v>154</v>
      </c>
      <c r="B157" s="75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8">
        <f t="shared" si="110"/>
        <v>183.33333333333334</v>
      </c>
      <c r="I157" s="7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-1.1368683772161603E-13</v>
      </c>
      <c r="O157" s="14">
        <f>N157*VLOOKUP('Données projet'!$B$9,Paramètres!$A$1:$I$89,3,0)*VLOOKUP('Données projet'!$B$9,Paramètres!$A$1:$I$89,5,0)</f>
        <v>-1.0286385077051818E-13</v>
      </c>
      <c r="P157" s="14" t="e">
        <f t="shared" si="141"/>
        <v>#NUM!</v>
      </c>
      <c r="Q157" s="22" t="e">
        <f t="shared" si="162"/>
        <v>#NUM!</v>
      </c>
      <c r="R157" s="60" t="e">
        <f t="shared" si="109"/>
        <v>#NUM!</v>
      </c>
      <c r="S157" s="60">
        <f ca="1">AVERAGE(OFFSET($R$3,0,0,'Données projet'!$E$9+1,1))-AVERAGE(OFFSET($H$3,0,0,'Données projet'!$E$9+1,1))</f>
        <v>570.08763950759544</v>
      </c>
      <c r="T157" s="60">
        <f t="shared" si="142"/>
        <v>297.32483725004136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-5.6843418860808015E-14</v>
      </c>
      <c r="AJ157" s="14">
        <f>AI157*VLOOKUP('Données projet'!$B$10,Paramètres!$A$1:$I$89,3,0)*VLOOKUP('Données projet'!$B$10,Paramètres!$A$1:$I$89,5,0)</f>
        <v>-4.5224624045658861E-14</v>
      </c>
      <c r="AK157" s="14" t="e">
        <f t="shared" si="164"/>
        <v>#NUM!</v>
      </c>
      <c r="AL157" s="22" t="e">
        <f t="shared" si="165"/>
        <v>#NUM!</v>
      </c>
      <c r="AM157" s="60" t="e">
        <f t="shared" si="113"/>
        <v>#NUM!</v>
      </c>
      <c r="AN157" s="60">
        <f ca="1">AVERAGE(OFFSET($AM$3,0,0,'Données projet'!$E$10+1,1))-AVERAGE(OFFSET($H$3,0,0,'Données projet'!$E$10+1,1))</f>
        <v>394.49874384716014</v>
      </c>
      <c r="AO157" s="60">
        <f t="shared" si="144"/>
        <v>423.72519584013378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3.4106051316484809E-13</v>
      </c>
      <c r="BE157" s="14">
        <f>BD157*VLOOKUP('Données projet'!$B$11,Paramètres!$A$1:$I$89,3,0)*VLOOKUP('Données projet'!$B$11,Paramètres!$A$1:$I$89,5,0)</f>
        <v>2.9795046430081134E-13</v>
      </c>
      <c r="BF157" s="14">
        <f t="shared" si="167"/>
        <v>3.9419014464513778E-12</v>
      </c>
      <c r="BG157" s="22">
        <f t="shared" si="168"/>
        <v>7.384408744560063E-12</v>
      </c>
      <c r="BH157" s="60">
        <f t="shared" si="116"/>
        <v>287.14194833737014</v>
      </c>
      <c r="BI157" s="60">
        <f ca="1">AVERAGE(OFFSET($BH$3,0,0,'Données projet'!$E$11+1,1))-AVERAGE(OFFSET($H$3,0,0,'Données projet'!$E$11+1,1))</f>
        <v>363.28611056308665</v>
      </c>
      <c r="BJ157" s="60">
        <f t="shared" si="146"/>
        <v>389.43647559455974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5.6843418860808015E-14</v>
      </c>
      <c r="BZ157" s="14">
        <f>BY157*VLOOKUP('Données projet'!$B$12,Paramètres!$A$1:$I$89,3,0)*VLOOKUP('Données projet'!$B$12,Paramètres!$A$1:$I$89,5,0)</f>
        <v>5.4092197387944907E-14</v>
      </c>
      <c r="CA157" s="14">
        <f t="shared" si="170"/>
        <v>8.7287050538073676E-13</v>
      </c>
      <c r="CB157" s="22">
        <f t="shared" si="171"/>
        <v>1.6144600406554537E-12</v>
      </c>
      <c r="CC157" s="60">
        <f t="shared" si="119"/>
        <v>287.14194833736434</v>
      </c>
      <c r="CD157" s="60">
        <f ca="1">AVERAGE(OFFSET($CC$3,0,0,'Données projet'!$E$12+1,1))-AVERAGE(OFFSET($H$3,0,0,'Données projet'!$E$12+1,1))</f>
        <v>441.15969139782891</v>
      </c>
      <c r="CE157" s="60">
        <f t="shared" si="148"/>
        <v>315.06466790224783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-5.6843418860808015E-14</v>
      </c>
      <c r="CU157" s="18">
        <f>CT157*VLOOKUP('Données projet'!$B$13,Paramètres!$A$1:$I$89,3,0)*VLOOKUP('Données projet'!$B$13,Paramètres!$A$1:$I$89,5,0)</f>
        <v>-4.1677594708744434E-14</v>
      </c>
      <c r="CV157" s="14" t="e">
        <f t="shared" si="173"/>
        <v>#NUM!</v>
      </c>
      <c r="CW157" s="22" t="e">
        <f t="shared" si="174"/>
        <v>#NUM!</v>
      </c>
      <c r="CX157" s="60" t="e">
        <f t="shared" si="122"/>
        <v>#NUM!</v>
      </c>
      <c r="CY157" s="60">
        <f ca="1">AVERAGE(OFFSET($CX$3,0,0,'Données projet'!$E$13+1,1))-AVERAGE(OFFSET($H$3,0,0,'Données projet'!$E$13+1,1))</f>
        <v>368.35775920359396</v>
      </c>
      <c r="CZ157" s="60">
        <f t="shared" si="150"/>
        <v>395.5218438652638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1.1368683772161603E-13</v>
      </c>
      <c r="DP157" s="18">
        <f>DO157*VLOOKUP('Données projet'!$B$14,Paramètres!$A$1:$I$89,3,0)*VLOOKUP('Données projet'!$B$14,Paramètres!$A$1:$I$89,5,0)</f>
        <v>8.8675733422860506E-14</v>
      </c>
      <c r="DQ157" s="14">
        <f t="shared" si="176"/>
        <v>1.3509285393066301E-12</v>
      </c>
      <c r="DR157" s="22">
        <f t="shared" si="177"/>
        <v>2.5073107750038623E-12</v>
      </c>
      <c r="DS157" s="60">
        <f t="shared" si="125"/>
        <v>287.14194833736525</v>
      </c>
      <c r="DT157" s="60">
        <f ca="1">AVERAGE(OFFSET($DS$3,0,0,'Données projet'!$E$14+1,1))-AVERAGE(OFFSET($H$3,0,0,'Données projet'!$E$14+1,1))</f>
        <v>312.59632808777332</v>
      </c>
      <c r="DU157" s="60">
        <f t="shared" si="152"/>
        <v>302.59481222418219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0</v>
      </c>
      <c r="EE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-1.1368683772161603E-13</v>
      </c>
      <c r="EK157" s="18">
        <f>EJ157*VLOOKUP('Données projet'!$B$15,Paramètres!$A$1:$I$89,3,0)*VLOOKUP('Données projet'!$B$15,Paramètres!$A$1:$I$89,5,0)</f>
        <v>-9.7543306765146564E-14</v>
      </c>
      <c r="EL157" s="14" t="e">
        <f t="shared" si="179"/>
        <v>#NUM!</v>
      </c>
      <c r="EM157" s="22" t="e">
        <f t="shared" si="180"/>
        <v>#NUM!</v>
      </c>
      <c r="EN157" s="60" t="e">
        <f t="shared" si="128"/>
        <v>#NUM!</v>
      </c>
      <c r="EO157" s="60">
        <f ca="1">AVERAGE(OFFSET($EN$3,0,0,'Données projet'!$E$15+1,1))-AVERAGE(OFFSET($H$3,0,0,'Données projet'!$E$15+1,1))</f>
        <v>478.11504516179713</v>
      </c>
      <c r="EP157" s="60">
        <f t="shared" si="154"/>
        <v>249.93713224442419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0</v>
      </c>
      <c r="EW157" s="23">
        <f>EXP(-LN(2)/25)*EW156+(1-EXP(-LN(2)/25))/(LN(2)/25)*Calculateur!ER157*Calculateur!ET157*VLOOKUP('Données projet'!$B$15,Paramètres!$A$1:$I$89,3,0)*0.475*44/12</f>
        <v>0</v>
      </c>
      <c r="EX157" s="23">
        <f>EXP(-LN(2)/2)*EX156+(1-EXP(-LN(2)/2))/(LN(2)/2)*ER157*EU157*VLOOKUP('Données projet'!$B$15,Paramètres!$A$1:$I$89,3,0)*0.475*44/12</f>
        <v>0</v>
      </c>
      <c r="EY157" s="24">
        <f t="shared" si="181"/>
        <v>0</v>
      </c>
      <c r="EZ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-1.1368683772161603E-13</v>
      </c>
      <c r="FF157" s="18">
        <f>FE157*VLOOKUP('Données projet'!$B$16,Paramètres!$A$1:$I$89,3,0)*VLOOKUP('Données projet'!$B$16,Paramètres!$A$1:$I$89,5,0)</f>
        <v>-1.0995790944434703E-13</v>
      </c>
      <c r="FG157" s="14" t="e">
        <f t="shared" si="182"/>
        <v>#NUM!</v>
      </c>
      <c r="FH157" s="22" t="e">
        <f t="shared" si="183"/>
        <v>#NUM!</v>
      </c>
      <c r="FI157" s="60" t="e">
        <f t="shared" si="131"/>
        <v>#NUM!</v>
      </c>
      <c r="FJ157" s="60">
        <f ca="1">AVERAGE(OFFSET($FI$3,0,0,'Données projet'!$E$16+1,1))-AVERAGE(OFFSET($H$3,0,0,'Données projet'!$E$16+1,1))</f>
        <v>603.52431522262032</v>
      </c>
      <c r="FK157" s="60">
        <f t="shared" si="156"/>
        <v>313.56299786481338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>
        <f>EXP(-LN(2)/35)*FQ156+(1-EXP(-LN(2)/35))/(LN(2)/35)*FM157*FN157*VLOOKUP('Données projet'!$B$16,Paramètres!$A$1:$I$89,3,0)*0.475*44/12</f>
        <v>0</v>
      </c>
      <c r="FR157" s="23">
        <f>EXP(-LN(2)/25)*FR156+(1-EXP(-LN(2)/25))/(LN(2)/25)*Calculateur!FM157*Calculateur!FO157*VLOOKUP('Données projet'!$B$16,Paramètres!$A$1:$I$89,3,0)*0.475*44/12</f>
        <v>0</v>
      </c>
      <c r="FS157" s="23">
        <f>EXP(-LN(2)/2)*FS156+(1-EXP(-LN(2)/2))/(LN(2)/2)*FM157*FP157*VLOOKUP('Données projet'!$B$16,Paramètres!$A$1:$I$89,3,0)*0.475*44/12</f>
        <v>0</v>
      </c>
      <c r="FT157" s="24">
        <f t="shared" si="184"/>
        <v>0</v>
      </c>
      <c r="FU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>
        <f>FZ157*VLOOKUP('Données projet'!$B$17,Paramètres!$A$1:$I$89,3,0)*VLOOKUP('Données projet'!$B$17,Paramètres!$A$1:$I$89,5,0)</f>
        <v>0</v>
      </c>
      <c r="GB157" s="14" t="e">
        <f t="shared" si="185"/>
        <v>#NUM!</v>
      </c>
      <c r="GC157" s="22" t="e">
        <f t="shared" si="186"/>
        <v>#NUM!</v>
      </c>
      <c r="GD157" s="60" t="e">
        <f t="shared" si="134"/>
        <v>#NUM!</v>
      </c>
      <c r="GE157" s="60">
        <f ca="1">AVERAGE(OFFSET($GD$3,0,0,'Données projet'!$E$17+1,1))-AVERAGE(OFFSET($H$3,0,0,'Données projet'!$E$17+1,1))</f>
        <v>396.0878652679051</v>
      </c>
      <c r="GF157" s="60">
        <f t="shared" si="158"/>
        <v>327.26339199235406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>
        <f>EXP(-LN(2)/35)*GL156+(1-EXP(-LN(2)/35))/(LN(2)/35)*GH157*GI157*VLOOKUP('Données projet'!$B$17,Paramètres!$A$1:$I$89,3,0)*0.475*44/12</f>
        <v>0</v>
      </c>
      <c r="GM157" s="23">
        <f>EXP(-LN(2)/25)*GM156+(1-EXP(-LN(2)/25))/(LN(2)/25)*Calculateur!GH157*Calculateur!GJ157*VLOOKUP('Données projet'!$B$17,Paramètres!$A$1:$I$89,3,0)*0.475*44/12</f>
        <v>0</v>
      </c>
      <c r="GN157" s="23">
        <f>EXP(-LN(2)/2)*GN156+(1-EXP(-LN(2)/2))/(LN(2)/2)*GH157*GK157*VLOOKUP('Données projet'!$B$17,Paramètres!$A$1:$I$89,3,0)*0.475*44/12</f>
        <v>0</v>
      </c>
      <c r="GO157" s="23">
        <f t="shared" si="187"/>
        <v>0</v>
      </c>
      <c r="GP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-1.1368683772161603E-13</v>
      </c>
      <c r="GV157" s="18">
        <f>GU157*VLOOKUP('Données projet'!$B$18,Paramètres!$A$1:$I$89,3,0)*VLOOKUP('Données projet'!$B$18,Paramètres!$A$1:$I$89,5,0)</f>
        <v>-9.2222762759774927E-14</v>
      </c>
      <c r="GW157" s="14" t="e">
        <f t="shared" si="188"/>
        <v>#NUM!</v>
      </c>
      <c r="GX157" s="22" t="e">
        <f t="shared" si="189"/>
        <v>#NUM!</v>
      </c>
      <c r="GY157" s="60" t="e">
        <f t="shared" si="137"/>
        <v>#NUM!</v>
      </c>
      <c r="GZ157" s="60">
        <f ca="1">AVERAGE(OFFSET($GY$3,0,0,'Données projet'!$E$18+1,1))-AVERAGE(OFFSET($H$3,0,0,'Données projet'!$E$18+1,1))</f>
        <v>272.69564942740931</v>
      </c>
      <c r="HA157" s="60">
        <f t="shared" si="160"/>
        <v>316.57989180609252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>
        <f>EXP(-LN(2)/35)*HG156+(1-EXP(-LN(2)/35))/(LN(2)/35)*HC157*HD157*VLOOKUP('Données projet'!$B$18,Paramètres!$A$1:$I$89,3,0)*0.475*44/12</f>
        <v>0</v>
      </c>
      <c r="HH157" s="23">
        <f>EXP(-LN(2)/25)*HH156+(1-EXP(-LN(2)/25))/(LN(2)/25)*Calculateur!HC157*Calculateur!HE157*VLOOKUP('Données projet'!$B$18,Paramètres!$A$1:$I$89,3,0)*0.475*44/12</f>
        <v>0</v>
      </c>
      <c r="HI157" s="23">
        <f>EXP(-LN(2)/2)*HI156+(1-EXP(-LN(2)/2))/(LN(2)/2)*HC157*HF157*VLOOKUP('Données projet'!$B$18,Paramètres!$A$1:$I$89,3,0)*0.475*44/12</f>
        <v>0</v>
      </c>
      <c r="HJ157" s="24">
        <f t="shared" si="190"/>
        <v>0</v>
      </c>
    </row>
    <row r="158" spans="1:218" x14ac:dyDescent="0.25">
      <c r="A158" s="11">
        <f t="shared" si="161"/>
        <v>155</v>
      </c>
      <c r="B158" s="75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8">
        <f t="shared" si="110"/>
        <v>183.33333333333334</v>
      </c>
      <c r="I158" s="7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-1.1368683772161603E-13</v>
      </c>
      <c r="O158" s="14">
        <f>N158*VLOOKUP('Données projet'!$B$9,Paramètres!$A$1:$I$89,3,0)*VLOOKUP('Données projet'!$B$9,Paramètres!$A$1:$I$89,5,0)</f>
        <v>-1.0286385077051818E-13</v>
      </c>
      <c r="P158" s="14" t="e">
        <f t="shared" si="141"/>
        <v>#NUM!</v>
      </c>
      <c r="Q158" s="22" t="e">
        <f t="shared" si="162"/>
        <v>#NUM!</v>
      </c>
      <c r="R158" s="60" t="e">
        <f t="shared" si="109"/>
        <v>#NUM!</v>
      </c>
      <c r="S158" s="60">
        <f ca="1">AVERAGE(OFFSET($R$3,0,0,'Données projet'!$E$9+1,1))-AVERAGE(OFFSET($H$3,0,0,'Données projet'!$E$9+1,1))</f>
        <v>570.08763950759544</v>
      </c>
      <c r="T158" s="60">
        <f t="shared" si="142"/>
        <v>297.32483725004136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-5.6843418860808015E-14</v>
      </c>
      <c r="AJ158" s="14">
        <f>AI158*VLOOKUP('Données projet'!$B$10,Paramètres!$A$1:$I$89,3,0)*VLOOKUP('Données projet'!$B$10,Paramètres!$A$1:$I$89,5,0)</f>
        <v>-4.5224624045658861E-14</v>
      </c>
      <c r="AK158" s="14" t="e">
        <f t="shared" si="164"/>
        <v>#NUM!</v>
      </c>
      <c r="AL158" s="22" t="e">
        <f t="shared" si="165"/>
        <v>#NUM!</v>
      </c>
      <c r="AM158" s="60" t="e">
        <f t="shared" si="113"/>
        <v>#NUM!</v>
      </c>
      <c r="AN158" s="60">
        <f ca="1">AVERAGE(OFFSET($AM$3,0,0,'Données projet'!$E$10+1,1))-AVERAGE(OFFSET($H$3,0,0,'Données projet'!$E$10+1,1))</f>
        <v>394.49874384716014</v>
      </c>
      <c r="AO158" s="60">
        <f t="shared" si="144"/>
        <v>423.72519584013378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3.4106051316484809E-13</v>
      </c>
      <c r="BE158" s="14">
        <f>BD158*VLOOKUP('Données projet'!$B$11,Paramètres!$A$1:$I$89,3,0)*VLOOKUP('Données projet'!$B$11,Paramètres!$A$1:$I$89,5,0)</f>
        <v>2.9795046430081134E-13</v>
      </c>
      <c r="BF158" s="14">
        <f t="shared" si="167"/>
        <v>3.9419014464513778E-12</v>
      </c>
      <c r="BG158" s="22">
        <f t="shared" si="168"/>
        <v>7.384408744560063E-12</v>
      </c>
      <c r="BH158" s="60">
        <f t="shared" si="116"/>
        <v>287.24935502518707</v>
      </c>
      <c r="BI158" s="60">
        <f ca="1">AVERAGE(OFFSET($BH$3,0,0,'Données projet'!$E$11+1,1))-AVERAGE(OFFSET($H$3,0,0,'Données projet'!$E$11+1,1))</f>
        <v>363.28611056308665</v>
      </c>
      <c r="BJ158" s="60">
        <f t="shared" si="146"/>
        <v>389.43647559455974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5.6843418860808015E-14</v>
      </c>
      <c r="BZ158" s="14">
        <f>BY158*VLOOKUP('Données projet'!$B$12,Paramètres!$A$1:$I$89,3,0)*VLOOKUP('Données projet'!$B$12,Paramètres!$A$1:$I$89,5,0)</f>
        <v>5.4092197387944907E-14</v>
      </c>
      <c r="CA158" s="14">
        <f t="shared" si="170"/>
        <v>8.7287050538073676E-13</v>
      </c>
      <c r="CB158" s="22">
        <f t="shared" si="171"/>
        <v>1.6144600406554537E-12</v>
      </c>
      <c r="CC158" s="60">
        <f t="shared" si="119"/>
        <v>287.24935502518127</v>
      </c>
      <c r="CD158" s="60">
        <f ca="1">AVERAGE(OFFSET($CC$3,0,0,'Données projet'!$E$12+1,1))-AVERAGE(OFFSET($H$3,0,0,'Données projet'!$E$12+1,1))</f>
        <v>441.15969139782891</v>
      </c>
      <c r="CE158" s="60">
        <f t="shared" si="148"/>
        <v>315.06466790224783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-5.6843418860808015E-14</v>
      </c>
      <c r="CU158" s="18">
        <f>CT158*VLOOKUP('Données projet'!$B$13,Paramètres!$A$1:$I$89,3,0)*VLOOKUP('Données projet'!$B$13,Paramètres!$A$1:$I$89,5,0)</f>
        <v>-4.1677594708744434E-14</v>
      </c>
      <c r="CV158" s="14" t="e">
        <f t="shared" si="173"/>
        <v>#NUM!</v>
      </c>
      <c r="CW158" s="22" t="e">
        <f t="shared" si="174"/>
        <v>#NUM!</v>
      </c>
      <c r="CX158" s="60" t="e">
        <f t="shared" si="122"/>
        <v>#NUM!</v>
      </c>
      <c r="CY158" s="60">
        <f ca="1">AVERAGE(OFFSET($CX$3,0,0,'Données projet'!$E$13+1,1))-AVERAGE(OFFSET($H$3,0,0,'Données projet'!$E$13+1,1))</f>
        <v>368.35775920359396</v>
      </c>
      <c r="CZ158" s="60">
        <f t="shared" si="150"/>
        <v>395.5218438652638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1.1368683772161603E-13</v>
      </c>
      <c r="DP158" s="18">
        <f>DO158*VLOOKUP('Données projet'!$B$14,Paramètres!$A$1:$I$89,3,0)*VLOOKUP('Données projet'!$B$14,Paramètres!$A$1:$I$89,5,0)</f>
        <v>8.8675733422860506E-14</v>
      </c>
      <c r="DQ158" s="14">
        <f t="shared" si="176"/>
        <v>1.3509285393066301E-12</v>
      </c>
      <c r="DR158" s="22">
        <f t="shared" si="177"/>
        <v>2.5073107750038623E-12</v>
      </c>
      <c r="DS158" s="60">
        <f t="shared" si="125"/>
        <v>287.24935502518218</v>
      </c>
      <c r="DT158" s="60">
        <f ca="1">AVERAGE(OFFSET($DS$3,0,0,'Données projet'!$E$14+1,1))-AVERAGE(OFFSET($H$3,0,0,'Données projet'!$E$14+1,1))</f>
        <v>312.59632808777332</v>
      </c>
      <c r="DU158" s="60">
        <f t="shared" si="152"/>
        <v>302.59481222418219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0</v>
      </c>
      <c r="EE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-1.1368683772161603E-13</v>
      </c>
      <c r="EK158" s="18">
        <f>EJ158*VLOOKUP('Données projet'!$B$15,Paramètres!$A$1:$I$89,3,0)*VLOOKUP('Données projet'!$B$15,Paramètres!$A$1:$I$89,5,0)</f>
        <v>-9.7543306765146564E-14</v>
      </c>
      <c r="EL158" s="14" t="e">
        <f t="shared" si="179"/>
        <v>#NUM!</v>
      </c>
      <c r="EM158" s="22" t="e">
        <f t="shared" si="180"/>
        <v>#NUM!</v>
      </c>
      <c r="EN158" s="60" t="e">
        <f t="shared" si="128"/>
        <v>#NUM!</v>
      </c>
      <c r="EO158" s="60">
        <f ca="1">AVERAGE(OFFSET($EN$3,0,0,'Données projet'!$E$15+1,1))-AVERAGE(OFFSET($H$3,0,0,'Données projet'!$E$15+1,1))</f>
        <v>478.11504516179713</v>
      </c>
      <c r="EP158" s="60">
        <f t="shared" si="154"/>
        <v>249.93713224442419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0</v>
      </c>
      <c r="EW158" s="23">
        <f>EXP(-LN(2)/25)*EW157+(1-EXP(-LN(2)/25))/(LN(2)/25)*Calculateur!ER158*Calculateur!ET158*VLOOKUP('Données projet'!$B$15,Paramètres!$A$1:$I$89,3,0)*0.475*44/12</f>
        <v>0</v>
      </c>
      <c r="EX158" s="23">
        <f>EXP(-LN(2)/2)*EX157+(1-EXP(-LN(2)/2))/(LN(2)/2)*ER158*EU158*VLOOKUP('Données projet'!$B$15,Paramètres!$A$1:$I$89,3,0)*0.475*44/12</f>
        <v>0</v>
      </c>
      <c r="EY158" s="24">
        <f t="shared" si="181"/>
        <v>0</v>
      </c>
      <c r="EZ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-1.1368683772161603E-13</v>
      </c>
      <c r="FF158" s="18">
        <f>FE158*VLOOKUP('Données projet'!$B$16,Paramètres!$A$1:$I$89,3,0)*VLOOKUP('Données projet'!$B$16,Paramètres!$A$1:$I$89,5,0)</f>
        <v>-1.0995790944434703E-13</v>
      </c>
      <c r="FG158" s="14" t="e">
        <f t="shared" si="182"/>
        <v>#NUM!</v>
      </c>
      <c r="FH158" s="22" t="e">
        <f t="shared" si="183"/>
        <v>#NUM!</v>
      </c>
      <c r="FI158" s="60" t="e">
        <f t="shared" si="131"/>
        <v>#NUM!</v>
      </c>
      <c r="FJ158" s="60">
        <f ca="1">AVERAGE(OFFSET($FI$3,0,0,'Données projet'!$E$16+1,1))-AVERAGE(OFFSET($H$3,0,0,'Données projet'!$E$16+1,1))</f>
        <v>603.52431522262032</v>
      </c>
      <c r="FK158" s="60">
        <f t="shared" si="156"/>
        <v>313.56299786481338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>
        <f>EXP(-LN(2)/35)*FQ157+(1-EXP(-LN(2)/35))/(LN(2)/35)*FM158*FN158*VLOOKUP('Données projet'!$B$16,Paramètres!$A$1:$I$89,3,0)*0.475*44/12</f>
        <v>0</v>
      </c>
      <c r="FR158" s="23">
        <f>EXP(-LN(2)/25)*FR157+(1-EXP(-LN(2)/25))/(LN(2)/25)*Calculateur!FM158*Calculateur!FO158*VLOOKUP('Données projet'!$B$16,Paramètres!$A$1:$I$89,3,0)*0.475*44/12</f>
        <v>0</v>
      </c>
      <c r="FS158" s="23">
        <f>EXP(-LN(2)/2)*FS157+(1-EXP(-LN(2)/2))/(LN(2)/2)*FM158*FP158*VLOOKUP('Données projet'!$B$16,Paramètres!$A$1:$I$89,3,0)*0.475*44/12</f>
        <v>0</v>
      </c>
      <c r="FT158" s="24">
        <f t="shared" si="184"/>
        <v>0</v>
      </c>
      <c r="FU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>
        <f>FZ158*VLOOKUP('Données projet'!$B$17,Paramètres!$A$1:$I$89,3,0)*VLOOKUP('Données projet'!$B$17,Paramètres!$A$1:$I$89,5,0)</f>
        <v>0</v>
      </c>
      <c r="GB158" s="14" t="e">
        <f t="shared" si="185"/>
        <v>#NUM!</v>
      </c>
      <c r="GC158" s="22" t="e">
        <f t="shared" si="186"/>
        <v>#NUM!</v>
      </c>
      <c r="GD158" s="60" t="e">
        <f t="shared" si="134"/>
        <v>#NUM!</v>
      </c>
      <c r="GE158" s="60">
        <f ca="1">AVERAGE(OFFSET($GD$3,0,0,'Données projet'!$E$17+1,1))-AVERAGE(OFFSET($H$3,0,0,'Données projet'!$E$17+1,1))</f>
        <v>396.0878652679051</v>
      </c>
      <c r="GF158" s="60">
        <f t="shared" si="158"/>
        <v>327.26339199235406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>
        <f>EXP(-LN(2)/35)*GL157+(1-EXP(-LN(2)/35))/(LN(2)/35)*GH158*GI158*VLOOKUP('Données projet'!$B$17,Paramètres!$A$1:$I$89,3,0)*0.475*44/12</f>
        <v>0</v>
      </c>
      <c r="GM158" s="23">
        <f>EXP(-LN(2)/25)*GM157+(1-EXP(-LN(2)/25))/(LN(2)/25)*Calculateur!GH158*Calculateur!GJ158*VLOOKUP('Données projet'!$B$17,Paramètres!$A$1:$I$89,3,0)*0.475*44/12</f>
        <v>0</v>
      </c>
      <c r="GN158" s="23">
        <f>EXP(-LN(2)/2)*GN157+(1-EXP(-LN(2)/2))/(LN(2)/2)*GH158*GK158*VLOOKUP('Données projet'!$B$17,Paramètres!$A$1:$I$89,3,0)*0.475*44/12</f>
        <v>0</v>
      </c>
      <c r="GO158" s="23">
        <f t="shared" si="187"/>
        <v>0</v>
      </c>
      <c r="GP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-1.1368683772161603E-13</v>
      </c>
      <c r="GV158" s="18">
        <f>GU158*VLOOKUP('Données projet'!$B$18,Paramètres!$A$1:$I$89,3,0)*VLOOKUP('Données projet'!$B$18,Paramètres!$A$1:$I$89,5,0)</f>
        <v>-9.2222762759774927E-14</v>
      </c>
      <c r="GW158" s="14" t="e">
        <f t="shared" si="188"/>
        <v>#NUM!</v>
      </c>
      <c r="GX158" s="22" t="e">
        <f t="shared" si="189"/>
        <v>#NUM!</v>
      </c>
      <c r="GY158" s="60" t="e">
        <f t="shared" si="137"/>
        <v>#NUM!</v>
      </c>
      <c r="GZ158" s="60">
        <f ca="1">AVERAGE(OFFSET($GY$3,0,0,'Données projet'!$E$18+1,1))-AVERAGE(OFFSET($H$3,0,0,'Données projet'!$E$18+1,1))</f>
        <v>272.69564942740931</v>
      </c>
      <c r="HA158" s="60">
        <f t="shared" si="160"/>
        <v>316.57989180609252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>
        <f>EXP(-LN(2)/35)*HG157+(1-EXP(-LN(2)/35))/(LN(2)/35)*HC158*HD158*VLOOKUP('Données projet'!$B$18,Paramètres!$A$1:$I$89,3,0)*0.475*44/12</f>
        <v>0</v>
      </c>
      <c r="HH158" s="23">
        <f>EXP(-LN(2)/25)*HH157+(1-EXP(-LN(2)/25))/(LN(2)/25)*Calculateur!HC158*Calculateur!HE158*VLOOKUP('Données projet'!$B$18,Paramètres!$A$1:$I$89,3,0)*0.475*44/12</f>
        <v>0</v>
      </c>
      <c r="HI158" s="23">
        <f>EXP(-LN(2)/2)*HI157+(1-EXP(-LN(2)/2))/(LN(2)/2)*HC158*HF158*VLOOKUP('Données projet'!$B$18,Paramètres!$A$1:$I$89,3,0)*0.475*44/12</f>
        <v>0</v>
      </c>
      <c r="HJ158" s="24">
        <f t="shared" si="190"/>
        <v>0</v>
      </c>
    </row>
    <row r="159" spans="1:218" x14ac:dyDescent="0.25">
      <c r="A159" s="11">
        <f t="shared" si="161"/>
        <v>156</v>
      </c>
      <c r="B159" s="75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8">
        <f t="shared" si="110"/>
        <v>183.33333333333334</v>
      </c>
      <c r="I159" s="7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-1.1368683772161603E-13</v>
      </c>
      <c r="O159" s="14">
        <f>N159*VLOOKUP('Données projet'!$B$9,Paramètres!$A$1:$I$89,3,0)*VLOOKUP('Données projet'!$B$9,Paramètres!$A$1:$I$89,5,0)</f>
        <v>-1.0286385077051818E-13</v>
      </c>
      <c r="P159" s="14" t="e">
        <f t="shared" si="141"/>
        <v>#NUM!</v>
      </c>
      <c r="Q159" s="22" t="e">
        <f t="shared" si="162"/>
        <v>#NUM!</v>
      </c>
      <c r="R159" s="60" t="e">
        <f t="shared" si="109"/>
        <v>#NUM!</v>
      </c>
      <c r="S159" s="60">
        <f ca="1">AVERAGE(OFFSET($R$3,0,0,'Données projet'!$E$9+1,1))-AVERAGE(OFFSET($H$3,0,0,'Données projet'!$E$9+1,1))</f>
        <v>570.08763950759544</v>
      </c>
      <c r="T159" s="60">
        <f t="shared" si="142"/>
        <v>297.32483725004136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-5.6843418860808015E-14</v>
      </c>
      <c r="AJ159" s="14">
        <f>AI159*VLOOKUP('Données projet'!$B$10,Paramètres!$A$1:$I$89,3,0)*VLOOKUP('Données projet'!$B$10,Paramètres!$A$1:$I$89,5,0)</f>
        <v>-4.5224624045658861E-14</v>
      </c>
      <c r="AK159" s="14" t="e">
        <f t="shared" si="164"/>
        <v>#NUM!</v>
      </c>
      <c r="AL159" s="22" t="e">
        <f t="shared" si="165"/>
        <v>#NUM!</v>
      </c>
      <c r="AM159" s="60" t="e">
        <f t="shared" si="113"/>
        <v>#NUM!</v>
      </c>
      <c r="AN159" s="60">
        <f ca="1">AVERAGE(OFFSET($AM$3,0,0,'Données projet'!$E$10+1,1))-AVERAGE(OFFSET($H$3,0,0,'Données projet'!$E$10+1,1))</f>
        <v>394.49874384716014</v>
      </c>
      <c r="AO159" s="60">
        <f t="shared" si="144"/>
        <v>423.72519584013378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3.4106051316484809E-13</v>
      </c>
      <c r="BE159" s="14">
        <f>BD159*VLOOKUP('Données projet'!$B$11,Paramètres!$A$1:$I$89,3,0)*VLOOKUP('Données projet'!$B$11,Paramètres!$A$1:$I$89,5,0)</f>
        <v>2.9795046430081134E-13</v>
      </c>
      <c r="BF159" s="14">
        <f t="shared" si="167"/>
        <v>3.9419014464513778E-12</v>
      </c>
      <c r="BG159" s="22">
        <f t="shared" si="168"/>
        <v>7.384408744560063E-12</v>
      </c>
      <c r="BH159" s="60">
        <f t="shared" si="116"/>
        <v>287.35489844709571</v>
      </c>
      <c r="BI159" s="60">
        <f ca="1">AVERAGE(OFFSET($BH$3,0,0,'Données projet'!$E$11+1,1))-AVERAGE(OFFSET($H$3,0,0,'Données projet'!$E$11+1,1))</f>
        <v>363.28611056308665</v>
      </c>
      <c r="BJ159" s="60">
        <f t="shared" si="146"/>
        <v>389.43647559455974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5.6843418860808015E-14</v>
      </c>
      <c r="BZ159" s="14">
        <f>BY159*VLOOKUP('Données projet'!$B$12,Paramètres!$A$1:$I$89,3,0)*VLOOKUP('Données projet'!$B$12,Paramètres!$A$1:$I$89,5,0)</f>
        <v>5.4092197387944907E-14</v>
      </c>
      <c r="CA159" s="14">
        <f t="shared" si="170"/>
        <v>8.7287050538073676E-13</v>
      </c>
      <c r="CB159" s="22">
        <f t="shared" si="171"/>
        <v>1.6144600406554537E-12</v>
      </c>
      <c r="CC159" s="60">
        <f t="shared" si="119"/>
        <v>287.35489844708991</v>
      </c>
      <c r="CD159" s="60">
        <f ca="1">AVERAGE(OFFSET($CC$3,0,0,'Données projet'!$E$12+1,1))-AVERAGE(OFFSET($H$3,0,0,'Données projet'!$E$12+1,1))</f>
        <v>441.15969139782891</v>
      </c>
      <c r="CE159" s="60">
        <f t="shared" si="148"/>
        <v>315.06466790224783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-5.6843418860808015E-14</v>
      </c>
      <c r="CU159" s="18">
        <f>CT159*VLOOKUP('Données projet'!$B$13,Paramètres!$A$1:$I$89,3,0)*VLOOKUP('Données projet'!$B$13,Paramètres!$A$1:$I$89,5,0)</f>
        <v>-4.1677594708744434E-14</v>
      </c>
      <c r="CV159" s="14" t="e">
        <f t="shared" si="173"/>
        <v>#NUM!</v>
      </c>
      <c r="CW159" s="22" t="e">
        <f t="shared" si="174"/>
        <v>#NUM!</v>
      </c>
      <c r="CX159" s="60" t="e">
        <f t="shared" si="122"/>
        <v>#NUM!</v>
      </c>
      <c r="CY159" s="60">
        <f ca="1">AVERAGE(OFFSET($CX$3,0,0,'Données projet'!$E$13+1,1))-AVERAGE(OFFSET($H$3,0,0,'Données projet'!$E$13+1,1))</f>
        <v>368.35775920359396</v>
      </c>
      <c r="CZ159" s="60">
        <f t="shared" si="150"/>
        <v>395.5218438652638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1.1368683772161603E-13</v>
      </c>
      <c r="DP159" s="18">
        <f>DO159*VLOOKUP('Données projet'!$B$14,Paramètres!$A$1:$I$89,3,0)*VLOOKUP('Données projet'!$B$14,Paramètres!$A$1:$I$89,5,0)</f>
        <v>8.8675733422860506E-14</v>
      </c>
      <c r="DQ159" s="14">
        <f t="shared" si="176"/>
        <v>1.3509285393066301E-12</v>
      </c>
      <c r="DR159" s="22">
        <f t="shared" si="177"/>
        <v>2.5073107750038623E-12</v>
      </c>
      <c r="DS159" s="60">
        <f t="shared" si="125"/>
        <v>287.35489844709082</v>
      </c>
      <c r="DT159" s="60">
        <f ca="1">AVERAGE(OFFSET($DS$3,0,0,'Données projet'!$E$14+1,1))-AVERAGE(OFFSET($H$3,0,0,'Données projet'!$E$14+1,1))</f>
        <v>312.59632808777332</v>
      </c>
      <c r="DU159" s="60">
        <f t="shared" si="152"/>
        <v>302.59481222418219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0</v>
      </c>
      <c r="EE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-1.1368683772161603E-13</v>
      </c>
      <c r="EK159" s="18">
        <f>EJ159*VLOOKUP('Données projet'!$B$15,Paramètres!$A$1:$I$89,3,0)*VLOOKUP('Données projet'!$B$15,Paramètres!$A$1:$I$89,5,0)</f>
        <v>-9.7543306765146564E-14</v>
      </c>
      <c r="EL159" s="14" t="e">
        <f t="shared" si="179"/>
        <v>#NUM!</v>
      </c>
      <c r="EM159" s="22" t="e">
        <f t="shared" si="180"/>
        <v>#NUM!</v>
      </c>
      <c r="EN159" s="60" t="e">
        <f t="shared" si="128"/>
        <v>#NUM!</v>
      </c>
      <c r="EO159" s="60">
        <f ca="1">AVERAGE(OFFSET($EN$3,0,0,'Données projet'!$E$15+1,1))-AVERAGE(OFFSET($H$3,0,0,'Données projet'!$E$15+1,1))</f>
        <v>478.11504516179713</v>
      </c>
      <c r="EP159" s="60">
        <f t="shared" si="154"/>
        <v>249.93713224442419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0</v>
      </c>
      <c r="EW159" s="23">
        <f>EXP(-LN(2)/25)*EW158+(1-EXP(-LN(2)/25))/(LN(2)/25)*Calculateur!ER159*Calculateur!ET159*VLOOKUP('Données projet'!$B$15,Paramètres!$A$1:$I$89,3,0)*0.475*44/12</f>
        <v>0</v>
      </c>
      <c r="EX159" s="23">
        <f>EXP(-LN(2)/2)*EX158+(1-EXP(-LN(2)/2))/(LN(2)/2)*ER159*EU159*VLOOKUP('Données projet'!$B$15,Paramètres!$A$1:$I$89,3,0)*0.475*44/12</f>
        <v>0</v>
      </c>
      <c r="EY159" s="24">
        <f t="shared" si="181"/>
        <v>0</v>
      </c>
      <c r="EZ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-1.1368683772161603E-13</v>
      </c>
      <c r="FF159" s="18">
        <f>FE159*VLOOKUP('Données projet'!$B$16,Paramètres!$A$1:$I$89,3,0)*VLOOKUP('Données projet'!$B$16,Paramètres!$A$1:$I$89,5,0)</f>
        <v>-1.0995790944434703E-13</v>
      </c>
      <c r="FG159" s="14" t="e">
        <f t="shared" si="182"/>
        <v>#NUM!</v>
      </c>
      <c r="FH159" s="22" t="e">
        <f t="shared" si="183"/>
        <v>#NUM!</v>
      </c>
      <c r="FI159" s="60" t="e">
        <f t="shared" si="131"/>
        <v>#NUM!</v>
      </c>
      <c r="FJ159" s="60">
        <f ca="1">AVERAGE(OFFSET($FI$3,0,0,'Données projet'!$E$16+1,1))-AVERAGE(OFFSET($H$3,0,0,'Données projet'!$E$16+1,1))</f>
        <v>603.52431522262032</v>
      </c>
      <c r="FK159" s="60">
        <f t="shared" si="156"/>
        <v>313.56299786481338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>
        <f>EXP(-LN(2)/35)*FQ158+(1-EXP(-LN(2)/35))/(LN(2)/35)*FM159*FN159*VLOOKUP('Données projet'!$B$16,Paramètres!$A$1:$I$89,3,0)*0.475*44/12</f>
        <v>0</v>
      </c>
      <c r="FR159" s="23">
        <f>EXP(-LN(2)/25)*FR158+(1-EXP(-LN(2)/25))/(LN(2)/25)*Calculateur!FM159*Calculateur!FO159*VLOOKUP('Données projet'!$B$16,Paramètres!$A$1:$I$89,3,0)*0.475*44/12</f>
        <v>0</v>
      </c>
      <c r="FS159" s="23">
        <f>EXP(-LN(2)/2)*FS158+(1-EXP(-LN(2)/2))/(LN(2)/2)*FM159*FP159*VLOOKUP('Données projet'!$B$16,Paramètres!$A$1:$I$89,3,0)*0.475*44/12</f>
        <v>0</v>
      </c>
      <c r="FT159" s="24">
        <f t="shared" si="184"/>
        <v>0</v>
      </c>
      <c r="FU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>
        <f>FZ159*VLOOKUP('Données projet'!$B$17,Paramètres!$A$1:$I$89,3,0)*VLOOKUP('Données projet'!$B$17,Paramètres!$A$1:$I$89,5,0)</f>
        <v>0</v>
      </c>
      <c r="GB159" s="14" t="e">
        <f t="shared" si="185"/>
        <v>#NUM!</v>
      </c>
      <c r="GC159" s="22" t="e">
        <f t="shared" si="186"/>
        <v>#NUM!</v>
      </c>
      <c r="GD159" s="60" t="e">
        <f t="shared" si="134"/>
        <v>#NUM!</v>
      </c>
      <c r="GE159" s="60">
        <f ca="1">AVERAGE(OFFSET($GD$3,0,0,'Données projet'!$E$17+1,1))-AVERAGE(OFFSET($H$3,0,0,'Données projet'!$E$17+1,1))</f>
        <v>396.0878652679051</v>
      </c>
      <c r="GF159" s="60">
        <f t="shared" si="158"/>
        <v>327.26339199235406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>
        <f>EXP(-LN(2)/35)*GL158+(1-EXP(-LN(2)/35))/(LN(2)/35)*GH159*GI159*VLOOKUP('Données projet'!$B$17,Paramètres!$A$1:$I$89,3,0)*0.475*44/12</f>
        <v>0</v>
      </c>
      <c r="GM159" s="23">
        <f>EXP(-LN(2)/25)*GM158+(1-EXP(-LN(2)/25))/(LN(2)/25)*Calculateur!GH159*Calculateur!GJ159*VLOOKUP('Données projet'!$B$17,Paramètres!$A$1:$I$89,3,0)*0.475*44/12</f>
        <v>0</v>
      </c>
      <c r="GN159" s="23">
        <f>EXP(-LN(2)/2)*GN158+(1-EXP(-LN(2)/2))/(LN(2)/2)*GH159*GK159*VLOOKUP('Données projet'!$B$17,Paramètres!$A$1:$I$89,3,0)*0.475*44/12</f>
        <v>0</v>
      </c>
      <c r="GO159" s="23">
        <f t="shared" si="187"/>
        <v>0</v>
      </c>
      <c r="GP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-1.1368683772161603E-13</v>
      </c>
      <c r="GV159" s="18">
        <f>GU159*VLOOKUP('Données projet'!$B$18,Paramètres!$A$1:$I$89,3,0)*VLOOKUP('Données projet'!$B$18,Paramètres!$A$1:$I$89,5,0)</f>
        <v>-9.2222762759774927E-14</v>
      </c>
      <c r="GW159" s="14" t="e">
        <f t="shared" si="188"/>
        <v>#NUM!</v>
      </c>
      <c r="GX159" s="22" t="e">
        <f t="shared" si="189"/>
        <v>#NUM!</v>
      </c>
      <c r="GY159" s="60" t="e">
        <f t="shared" si="137"/>
        <v>#NUM!</v>
      </c>
      <c r="GZ159" s="60">
        <f ca="1">AVERAGE(OFFSET($GY$3,0,0,'Données projet'!$E$18+1,1))-AVERAGE(OFFSET($H$3,0,0,'Données projet'!$E$18+1,1))</f>
        <v>272.69564942740931</v>
      </c>
      <c r="HA159" s="60">
        <f t="shared" si="160"/>
        <v>316.57989180609252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>
        <f>EXP(-LN(2)/35)*HG158+(1-EXP(-LN(2)/35))/(LN(2)/35)*HC159*HD159*VLOOKUP('Données projet'!$B$18,Paramètres!$A$1:$I$89,3,0)*0.475*44/12</f>
        <v>0</v>
      </c>
      <c r="HH159" s="23">
        <f>EXP(-LN(2)/25)*HH158+(1-EXP(-LN(2)/25))/(LN(2)/25)*Calculateur!HC159*Calculateur!HE159*VLOOKUP('Données projet'!$B$18,Paramètres!$A$1:$I$89,3,0)*0.475*44/12</f>
        <v>0</v>
      </c>
      <c r="HI159" s="23">
        <f>EXP(-LN(2)/2)*HI158+(1-EXP(-LN(2)/2))/(LN(2)/2)*HC159*HF159*VLOOKUP('Données projet'!$B$18,Paramètres!$A$1:$I$89,3,0)*0.475*44/12</f>
        <v>0</v>
      </c>
      <c r="HJ159" s="24">
        <f t="shared" si="190"/>
        <v>0</v>
      </c>
    </row>
    <row r="160" spans="1:218" x14ac:dyDescent="0.25">
      <c r="A160" s="11">
        <f t="shared" si="161"/>
        <v>157</v>
      </c>
      <c r="B160" s="75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8">
        <f t="shared" si="110"/>
        <v>183.33333333333334</v>
      </c>
      <c r="I160" s="7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-1.1368683772161603E-13</v>
      </c>
      <c r="O160" s="14">
        <f>N160*VLOOKUP('Données projet'!$B$9,Paramètres!$A$1:$I$89,3,0)*VLOOKUP('Données projet'!$B$9,Paramètres!$A$1:$I$89,5,0)</f>
        <v>-1.0286385077051818E-13</v>
      </c>
      <c r="P160" s="14" t="e">
        <f t="shared" si="141"/>
        <v>#NUM!</v>
      </c>
      <c r="Q160" s="22" t="e">
        <f t="shared" si="162"/>
        <v>#NUM!</v>
      </c>
      <c r="R160" s="60" t="e">
        <f t="shared" si="109"/>
        <v>#NUM!</v>
      </c>
      <c r="S160" s="60">
        <f ca="1">AVERAGE(OFFSET($R$3,0,0,'Données projet'!$E$9+1,1))-AVERAGE(OFFSET($H$3,0,0,'Données projet'!$E$9+1,1))</f>
        <v>570.08763950759544</v>
      </c>
      <c r="T160" s="60">
        <f t="shared" si="142"/>
        <v>297.32483725004136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-5.6843418860808015E-14</v>
      </c>
      <c r="AJ160" s="14">
        <f>AI160*VLOOKUP('Données projet'!$B$10,Paramètres!$A$1:$I$89,3,0)*VLOOKUP('Données projet'!$B$10,Paramètres!$A$1:$I$89,5,0)</f>
        <v>-4.5224624045658861E-14</v>
      </c>
      <c r="AK160" s="14" t="e">
        <f t="shared" si="164"/>
        <v>#NUM!</v>
      </c>
      <c r="AL160" s="22" t="e">
        <f t="shared" si="165"/>
        <v>#NUM!</v>
      </c>
      <c r="AM160" s="60" t="e">
        <f t="shared" si="113"/>
        <v>#NUM!</v>
      </c>
      <c r="AN160" s="60">
        <f ca="1">AVERAGE(OFFSET($AM$3,0,0,'Données projet'!$E$10+1,1))-AVERAGE(OFFSET($H$3,0,0,'Données projet'!$E$10+1,1))</f>
        <v>394.49874384716014</v>
      </c>
      <c r="AO160" s="60">
        <f t="shared" si="144"/>
        <v>423.72519584013378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3.4106051316484809E-13</v>
      </c>
      <c r="BE160" s="14">
        <f>BD160*VLOOKUP('Données projet'!$B$11,Paramètres!$A$1:$I$89,3,0)*VLOOKUP('Données projet'!$B$11,Paramètres!$A$1:$I$89,5,0)</f>
        <v>2.9795046430081134E-13</v>
      </c>
      <c r="BF160" s="14">
        <f t="shared" si="167"/>
        <v>3.9419014464513778E-12</v>
      </c>
      <c r="BG160" s="22">
        <f t="shared" si="168"/>
        <v>7.384408744560063E-12</v>
      </c>
      <c r="BH160" s="60">
        <f t="shared" si="116"/>
        <v>287.45861092659396</v>
      </c>
      <c r="BI160" s="60">
        <f ca="1">AVERAGE(OFFSET($BH$3,0,0,'Données projet'!$E$11+1,1))-AVERAGE(OFFSET($H$3,0,0,'Données projet'!$E$11+1,1))</f>
        <v>363.28611056308665</v>
      </c>
      <c r="BJ160" s="60">
        <f t="shared" si="146"/>
        <v>389.43647559455974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5.6843418860808015E-14</v>
      </c>
      <c r="BZ160" s="14">
        <f>BY160*VLOOKUP('Données projet'!$B$12,Paramètres!$A$1:$I$89,3,0)*VLOOKUP('Données projet'!$B$12,Paramètres!$A$1:$I$89,5,0)</f>
        <v>5.4092197387944907E-14</v>
      </c>
      <c r="CA160" s="14">
        <f t="shared" si="170"/>
        <v>8.7287050538073676E-13</v>
      </c>
      <c r="CB160" s="22">
        <f t="shared" si="171"/>
        <v>1.6144600406554537E-12</v>
      </c>
      <c r="CC160" s="60">
        <f t="shared" si="119"/>
        <v>287.45861092658816</v>
      </c>
      <c r="CD160" s="60">
        <f ca="1">AVERAGE(OFFSET($CC$3,0,0,'Données projet'!$E$12+1,1))-AVERAGE(OFFSET($H$3,0,0,'Données projet'!$E$12+1,1))</f>
        <v>441.15969139782891</v>
      </c>
      <c r="CE160" s="60">
        <f t="shared" si="148"/>
        <v>315.06466790224783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-5.6843418860808015E-14</v>
      </c>
      <c r="CU160" s="18">
        <f>CT160*VLOOKUP('Données projet'!$B$13,Paramètres!$A$1:$I$89,3,0)*VLOOKUP('Données projet'!$B$13,Paramètres!$A$1:$I$89,5,0)</f>
        <v>-4.1677594708744434E-14</v>
      </c>
      <c r="CV160" s="14" t="e">
        <f t="shared" si="173"/>
        <v>#NUM!</v>
      </c>
      <c r="CW160" s="22" t="e">
        <f t="shared" si="174"/>
        <v>#NUM!</v>
      </c>
      <c r="CX160" s="60" t="e">
        <f t="shared" si="122"/>
        <v>#NUM!</v>
      </c>
      <c r="CY160" s="60">
        <f ca="1">AVERAGE(OFFSET($CX$3,0,0,'Données projet'!$E$13+1,1))-AVERAGE(OFFSET($H$3,0,0,'Données projet'!$E$13+1,1))</f>
        <v>368.35775920359396</v>
      </c>
      <c r="CZ160" s="60">
        <f t="shared" si="150"/>
        <v>395.5218438652638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1.1368683772161603E-13</v>
      </c>
      <c r="DP160" s="18">
        <f>DO160*VLOOKUP('Données projet'!$B$14,Paramètres!$A$1:$I$89,3,0)*VLOOKUP('Données projet'!$B$14,Paramètres!$A$1:$I$89,5,0)</f>
        <v>8.8675733422860506E-14</v>
      </c>
      <c r="DQ160" s="14">
        <f t="shared" si="176"/>
        <v>1.3509285393066301E-12</v>
      </c>
      <c r="DR160" s="22">
        <f t="shared" si="177"/>
        <v>2.5073107750038623E-12</v>
      </c>
      <c r="DS160" s="60">
        <f t="shared" si="125"/>
        <v>287.45861092658907</v>
      </c>
      <c r="DT160" s="60">
        <f ca="1">AVERAGE(OFFSET($DS$3,0,0,'Données projet'!$E$14+1,1))-AVERAGE(OFFSET($H$3,0,0,'Données projet'!$E$14+1,1))</f>
        <v>312.59632808777332</v>
      </c>
      <c r="DU160" s="60">
        <f t="shared" si="152"/>
        <v>302.59481222418219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0</v>
      </c>
      <c r="EE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-1.1368683772161603E-13</v>
      </c>
      <c r="EK160" s="18">
        <f>EJ160*VLOOKUP('Données projet'!$B$15,Paramètres!$A$1:$I$89,3,0)*VLOOKUP('Données projet'!$B$15,Paramètres!$A$1:$I$89,5,0)</f>
        <v>-9.7543306765146564E-14</v>
      </c>
      <c r="EL160" s="14" t="e">
        <f t="shared" si="179"/>
        <v>#NUM!</v>
      </c>
      <c r="EM160" s="22" t="e">
        <f t="shared" si="180"/>
        <v>#NUM!</v>
      </c>
      <c r="EN160" s="60" t="e">
        <f t="shared" si="128"/>
        <v>#NUM!</v>
      </c>
      <c r="EO160" s="60">
        <f ca="1">AVERAGE(OFFSET($EN$3,0,0,'Données projet'!$E$15+1,1))-AVERAGE(OFFSET($H$3,0,0,'Données projet'!$E$15+1,1))</f>
        <v>478.11504516179713</v>
      </c>
      <c r="EP160" s="60">
        <f t="shared" si="154"/>
        <v>249.93713224442419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0</v>
      </c>
      <c r="EW160" s="23">
        <f>EXP(-LN(2)/25)*EW159+(1-EXP(-LN(2)/25))/(LN(2)/25)*Calculateur!ER160*Calculateur!ET160*VLOOKUP('Données projet'!$B$15,Paramètres!$A$1:$I$89,3,0)*0.475*44/12</f>
        <v>0</v>
      </c>
      <c r="EX160" s="23">
        <f>EXP(-LN(2)/2)*EX159+(1-EXP(-LN(2)/2))/(LN(2)/2)*ER160*EU160*VLOOKUP('Données projet'!$B$15,Paramètres!$A$1:$I$89,3,0)*0.475*44/12</f>
        <v>0</v>
      </c>
      <c r="EY160" s="24">
        <f t="shared" si="181"/>
        <v>0</v>
      </c>
      <c r="EZ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-1.1368683772161603E-13</v>
      </c>
      <c r="FF160" s="18">
        <f>FE160*VLOOKUP('Données projet'!$B$16,Paramètres!$A$1:$I$89,3,0)*VLOOKUP('Données projet'!$B$16,Paramètres!$A$1:$I$89,5,0)</f>
        <v>-1.0995790944434703E-13</v>
      </c>
      <c r="FG160" s="14" t="e">
        <f t="shared" si="182"/>
        <v>#NUM!</v>
      </c>
      <c r="FH160" s="22" t="e">
        <f t="shared" si="183"/>
        <v>#NUM!</v>
      </c>
      <c r="FI160" s="60" t="e">
        <f t="shared" si="131"/>
        <v>#NUM!</v>
      </c>
      <c r="FJ160" s="60">
        <f ca="1">AVERAGE(OFFSET($FI$3,0,0,'Données projet'!$E$16+1,1))-AVERAGE(OFFSET($H$3,0,0,'Données projet'!$E$16+1,1))</f>
        <v>603.52431522262032</v>
      </c>
      <c r="FK160" s="60">
        <f t="shared" si="156"/>
        <v>313.56299786481338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>
        <f>EXP(-LN(2)/35)*FQ159+(1-EXP(-LN(2)/35))/(LN(2)/35)*FM160*FN160*VLOOKUP('Données projet'!$B$16,Paramètres!$A$1:$I$89,3,0)*0.475*44/12</f>
        <v>0</v>
      </c>
      <c r="FR160" s="23">
        <f>EXP(-LN(2)/25)*FR159+(1-EXP(-LN(2)/25))/(LN(2)/25)*Calculateur!FM160*Calculateur!FO160*VLOOKUP('Données projet'!$B$16,Paramètres!$A$1:$I$89,3,0)*0.475*44/12</f>
        <v>0</v>
      </c>
      <c r="FS160" s="23">
        <f>EXP(-LN(2)/2)*FS159+(1-EXP(-LN(2)/2))/(LN(2)/2)*FM160*FP160*VLOOKUP('Données projet'!$B$16,Paramètres!$A$1:$I$89,3,0)*0.475*44/12</f>
        <v>0</v>
      </c>
      <c r="FT160" s="24">
        <f t="shared" si="184"/>
        <v>0</v>
      </c>
      <c r="FU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>
        <f>FZ160*VLOOKUP('Données projet'!$B$17,Paramètres!$A$1:$I$89,3,0)*VLOOKUP('Données projet'!$B$17,Paramètres!$A$1:$I$89,5,0)</f>
        <v>0</v>
      </c>
      <c r="GB160" s="14" t="e">
        <f t="shared" si="185"/>
        <v>#NUM!</v>
      </c>
      <c r="GC160" s="22" t="e">
        <f t="shared" si="186"/>
        <v>#NUM!</v>
      </c>
      <c r="GD160" s="60" t="e">
        <f t="shared" si="134"/>
        <v>#NUM!</v>
      </c>
      <c r="GE160" s="60">
        <f ca="1">AVERAGE(OFFSET($GD$3,0,0,'Données projet'!$E$17+1,1))-AVERAGE(OFFSET($H$3,0,0,'Données projet'!$E$17+1,1))</f>
        <v>396.0878652679051</v>
      </c>
      <c r="GF160" s="60">
        <f t="shared" si="158"/>
        <v>327.26339199235406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>
        <f>EXP(-LN(2)/35)*GL159+(1-EXP(-LN(2)/35))/(LN(2)/35)*GH160*GI160*VLOOKUP('Données projet'!$B$17,Paramètres!$A$1:$I$89,3,0)*0.475*44/12</f>
        <v>0</v>
      </c>
      <c r="GM160" s="23">
        <f>EXP(-LN(2)/25)*GM159+(1-EXP(-LN(2)/25))/(LN(2)/25)*Calculateur!GH160*Calculateur!GJ160*VLOOKUP('Données projet'!$B$17,Paramètres!$A$1:$I$89,3,0)*0.475*44/12</f>
        <v>0</v>
      </c>
      <c r="GN160" s="23">
        <f>EXP(-LN(2)/2)*GN159+(1-EXP(-LN(2)/2))/(LN(2)/2)*GH160*GK160*VLOOKUP('Données projet'!$B$17,Paramètres!$A$1:$I$89,3,0)*0.475*44/12</f>
        <v>0</v>
      </c>
      <c r="GO160" s="23">
        <f t="shared" si="187"/>
        <v>0</v>
      </c>
      <c r="GP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-1.1368683772161603E-13</v>
      </c>
      <c r="GV160" s="18">
        <f>GU160*VLOOKUP('Données projet'!$B$18,Paramètres!$A$1:$I$89,3,0)*VLOOKUP('Données projet'!$B$18,Paramètres!$A$1:$I$89,5,0)</f>
        <v>-9.2222762759774927E-14</v>
      </c>
      <c r="GW160" s="14" t="e">
        <f t="shared" si="188"/>
        <v>#NUM!</v>
      </c>
      <c r="GX160" s="22" t="e">
        <f t="shared" si="189"/>
        <v>#NUM!</v>
      </c>
      <c r="GY160" s="60" t="e">
        <f t="shared" si="137"/>
        <v>#NUM!</v>
      </c>
      <c r="GZ160" s="60">
        <f ca="1">AVERAGE(OFFSET($GY$3,0,0,'Données projet'!$E$18+1,1))-AVERAGE(OFFSET($H$3,0,0,'Données projet'!$E$18+1,1))</f>
        <v>272.69564942740931</v>
      </c>
      <c r="HA160" s="60">
        <f t="shared" si="160"/>
        <v>316.57989180609252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>
        <f>EXP(-LN(2)/35)*HG159+(1-EXP(-LN(2)/35))/(LN(2)/35)*HC160*HD160*VLOOKUP('Données projet'!$B$18,Paramètres!$A$1:$I$89,3,0)*0.475*44/12</f>
        <v>0</v>
      </c>
      <c r="HH160" s="23">
        <f>EXP(-LN(2)/25)*HH159+(1-EXP(-LN(2)/25))/(LN(2)/25)*Calculateur!HC160*Calculateur!HE160*VLOOKUP('Données projet'!$B$18,Paramètres!$A$1:$I$89,3,0)*0.475*44/12</f>
        <v>0</v>
      </c>
      <c r="HI160" s="23">
        <f>EXP(-LN(2)/2)*HI159+(1-EXP(-LN(2)/2))/(LN(2)/2)*HC160*HF160*VLOOKUP('Données projet'!$B$18,Paramètres!$A$1:$I$89,3,0)*0.475*44/12</f>
        <v>0</v>
      </c>
      <c r="HJ160" s="24">
        <f t="shared" si="190"/>
        <v>0</v>
      </c>
    </row>
    <row r="161" spans="1:218" x14ac:dyDescent="0.25">
      <c r="A161" s="11">
        <f t="shared" si="161"/>
        <v>158</v>
      </c>
      <c r="B161" s="75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8">
        <f t="shared" si="110"/>
        <v>183.33333333333334</v>
      </c>
      <c r="I161" s="7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-1.1368683772161603E-13</v>
      </c>
      <c r="O161" s="14">
        <f>N161*VLOOKUP('Données projet'!$B$9,Paramètres!$A$1:$I$89,3,0)*VLOOKUP('Données projet'!$B$9,Paramètres!$A$1:$I$89,5,0)</f>
        <v>-1.0286385077051818E-13</v>
      </c>
      <c r="P161" s="14" t="e">
        <f t="shared" si="141"/>
        <v>#NUM!</v>
      </c>
      <c r="Q161" s="22" t="e">
        <f t="shared" si="162"/>
        <v>#NUM!</v>
      </c>
      <c r="R161" s="60" t="e">
        <f t="shared" si="109"/>
        <v>#NUM!</v>
      </c>
      <c r="S161" s="60">
        <f ca="1">AVERAGE(OFFSET($R$3,0,0,'Données projet'!$E$9+1,1))-AVERAGE(OFFSET($H$3,0,0,'Données projet'!$E$9+1,1))</f>
        <v>570.08763950759544</v>
      </c>
      <c r="T161" s="60">
        <f t="shared" si="142"/>
        <v>297.32483725004136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-5.6843418860808015E-14</v>
      </c>
      <c r="AJ161" s="14">
        <f>AI161*VLOOKUP('Données projet'!$B$10,Paramètres!$A$1:$I$89,3,0)*VLOOKUP('Données projet'!$B$10,Paramètres!$A$1:$I$89,5,0)</f>
        <v>-4.5224624045658861E-14</v>
      </c>
      <c r="AK161" s="14" t="e">
        <f t="shared" si="164"/>
        <v>#NUM!</v>
      </c>
      <c r="AL161" s="22" t="e">
        <f t="shared" si="165"/>
        <v>#NUM!</v>
      </c>
      <c r="AM161" s="60" t="e">
        <f t="shared" si="113"/>
        <v>#NUM!</v>
      </c>
      <c r="AN161" s="60">
        <f ca="1">AVERAGE(OFFSET($AM$3,0,0,'Données projet'!$E$10+1,1))-AVERAGE(OFFSET($H$3,0,0,'Données projet'!$E$10+1,1))</f>
        <v>394.49874384716014</v>
      </c>
      <c r="AO161" s="60">
        <f t="shared" si="144"/>
        <v>423.72519584013378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3.4106051316484809E-13</v>
      </c>
      <c r="BE161" s="14">
        <f>BD161*VLOOKUP('Données projet'!$B$11,Paramètres!$A$1:$I$89,3,0)*VLOOKUP('Données projet'!$B$11,Paramètres!$A$1:$I$89,5,0)</f>
        <v>2.9795046430081134E-13</v>
      </c>
      <c r="BF161" s="14">
        <f t="shared" si="167"/>
        <v>3.9419014464513778E-12</v>
      </c>
      <c r="BG161" s="22">
        <f t="shared" si="168"/>
        <v>7.384408744560063E-12</v>
      </c>
      <c r="BH161" s="60">
        <f t="shared" si="116"/>
        <v>287.56052422643938</v>
      </c>
      <c r="BI161" s="60">
        <f ca="1">AVERAGE(OFFSET($BH$3,0,0,'Données projet'!$E$11+1,1))-AVERAGE(OFFSET($H$3,0,0,'Données projet'!$E$11+1,1))</f>
        <v>363.28611056308665</v>
      </c>
      <c r="BJ161" s="60">
        <f t="shared" si="146"/>
        <v>389.43647559455974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5.6843418860808015E-14</v>
      </c>
      <c r="BZ161" s="14">
        <f>BY161*VLOOKUP('Données projet'!$B$12,Paramètres!$A$1:$I$89,3,0)*VLOOKUP('Données projet'!$B$12,Paramètres!$A$1:$I$89,5,0)</f>
        <v>5.4092197387944907E-14</v>
      </c>
      <c r="CA161" s="14">
        <f t="shared" si="170"/>
        <v>8.7287050538073676E-13</v>
      </c>
      <c r="CB161" s="22">
        <f t="shared" si="171"/>
        <v>1.6144600406554537E-12</v>
      </c>
      <c r="CC161" s="60">
        <f t="shared" si="119"/>
        <v>287.56052422643359</v>
      </c>
      <c r="CD161" s="60">
        <f ca="1">AVERAGE(OFFSET($CC$3,0,0,'Données projet'!$E$12+1,1))-AVERAGE(OFFSET($H$3,0,0,'Données projet'!$E$12+1,1))</f>
        <v>441.15969139782891</v>
      </c>
      <c r="CE161" s="60">
        <f t="shared" si="148"/>
        <v>315.06466790224783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-5.6843418860808015E-14</v>
      </c>
      <c r="CU161" s="18">
        <f>CT161*VLOOKUP('Données projet'!$B$13,Paramètres!$A$1:$I$89,3,0)*VLOOKUP('Données projet'!$B$13,Paramètres!$A$1:$I$89,5,0)</f>
        <v>-4.1677594708744434E-14</v>
      </c>
      <c r="CV161" s="14" t="e">
        <f t="shared" si="173"/>
        <v>#NUM!</v>
      </c>
      <c r="CW161" s="22" t="e">
        <f t="shared" si="174"/>
        <v>#NUM!</v>
      </c>
      <c r="CX161" s="60" t="e">
        <f t="shared" si="122"/>
        <v>#NUM!</v>
      </c>
      <c r="CY161" s="60">
        <f ca="1">AVERAGE(OFFSET($CX$3,0,0,'Données projet'!$E$13+1,1))-AVERAGE(OFFSET($H$3,0,0,'Données projet'!$E$13+1,1))</f>
        <v>368.35775920359396</v>
      </c>
      <c r="CZ161" s="60">
        <f t="shared" si="150"/>
        <v>395.5218438652638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1.1368683772161603E-13</v>
      </c>
      <c r="DP161" s="18">
        <f>DO161*VLOOKUP('Données projet'!$B$14,Paramètres!$A$1:$I$89,3,0)*VLOOKUP('Données projet'!$B$14,Paramètres!$A$1:$I$89,5,0)</f>
        <v>8.8675733422860506E-14</v>
      </c>
      <c r="DQ161" s="14">
        <f t="shared" si="176"/>
        <v>1.3509285393066301E-12</v>
      </c>
      <c r="DR161" s="22">
        <f t="shared" si="177"/>
        <v>2.5073107750038623E-12</v>
      </c>
      <c r="DS161" s="60">
        <f t="shared" si="125"/>
        <v>287.5605242264345</v>
      </c>
      <c r="DT161" s="60">
        <f ca="1">AVERAGE(OFFSET($DS$3,0,0,'Données projet'!$E$14+1,1))-AVERAGE(OFFSET($H$3,0,0,'Données projet'!$E$14+1,1))</f>
        <v>312.59632808777332</v>
      </c>
      <c r="DU161" s="60">
        <f t="shared" si="152"/>
        <v>302.59481222418219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0</v>
      </c>
      <c r="EE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-1.1368683772161603E-13</v>
      </c>
      <c r="EK161" s="18">
        <f>EJ161*VLOOKUP('Données projet'!$B$15,Paramètres!$A$1:$I$89,3,0)*VLOOKUP('Données projet'!$B$15,Paramètres!$A$1:$I$89,5,0)</f>
        <v>-9.7543306765146564E-14</v>
      </c>
      <c r="EL161" s="14" t="e">
        <f t="shared" si="179"/>
        <v>#NUM!</v>
      </c>
      <c r="EM161" s="22" t="e">
        <f t="shared" si="180"/>
        <v>#NUM!</v>
      </c>
      <c r="EN161" s="60" t="e">
        <f t="shared" si="128"/>
        <v>#NUM!</v>
      </c>
      <c r="EO161" s="60">
        <f ca="1">AVERAGE(OFFSET($EN$3,0,0,'Données projet'!$E$15+1,1))-AVERAGE(OFFSET($H$3,0,0,'Données projet'!$E$15+1,1))</f>
        <v>478.11504516179713</v>
      </c>
      <c r="EP161" s="60">
        <f t="shared" si="154"/>
        <v>249.93713224442419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0</v>
      </c>
      <c r="EW161" s="23">
        <f>EXP(-LN(2)/25)*EW160+(1-EXP(-LN(2)/25))/(LN(2)/25)*Calculateur!ER161*Calculateur!ET161*VLOOKUP('Données projet'!$B$15,Paramètres!$A$1:$I$89,3,0)*0.475*44/12</f>
        <v>0</v>
      </c>
      <c r="EX161" s="23">
        <f>EXP(-LN(2)/2)*EX160+(1-EXP(-LN(2)/2))/(LN(2)/2)*ER161*EU161*VLOOKUP('Données projet'!$B$15,Paramètres!$A$1:$I$89,3,0)*0.475*44/12</f>
        <v>0</v>
      </c>
      <c r="EY161" s="24">
        <f t="shared" si="181"/>
        <v>0</v>
      </c>
      <c r="EZ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-1.1368683772161603E-13</v>
      </c>
      <c r="FF161" s="18">
        <f>FE161*VLOOKUP('Données projet'!$B$16,Paramètres!$A$1:$I$89,3,0)*VLOOKUP('Données projet'!$B$16,Paramètres!$A$1:$I$89,5,0)</f>
        <v>-1.0995790944434703E-13</v>
      </c>
      <c r="FG161" s="14" t="e">
        <f t="shared" si="182"/>
        <v>#NUM!</v>
      </c>
      <c r="FH161" s="22" t="e">
        <f t="shared" si="183"/>
        <v>#NUM!</v>
      </c>
      <c r="FI161" s="60" t="e">
        <f t="shared" si="131"/>
        <v>#NUM!</v>
      </c>
      <c r="FJ161" s="60">
        <f ca="1">AVERAGE(OFFSET($FI$3,0,0,'Données projet'!$E$16+1,1))-AVERAGE(OFFSET($H$3,0,0,'Données projet'!$E$16+1,1))</f>
        <v>603.52431522262032</v>
      </c>
      <c r="FK161" s="60">
        <f t="shared" si="156"/>
        <v>313.56299786481338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>
        <f>EXP(-LN(2)/35)*FQ160+(1-EXP(-LN(2)/35))/(LN(2)/35)*FM161*FN161*VLOOKUP('Données projet'!$B$16,Paramètres!$A$1:$I$89,3,0)*0.475*44/12</f>
        <v>0</v>
      </c>
      <c r="FR161" s="23">
        <f>EXP(-LN(2)/25)*FR160+(1-EXP(-LN(2)/25))/(LN(2)/25)*Calculateur!FM161*Calculateur!FO161*VLOOKUP('Données projet'!$B$16,Paramètres!$A$1:$I$89,3,0)*0.475*44/12</f>
        <v>0</v>
      </c>
      <c r="FS161" s="23">
        <f>EXP(-LN(2)/2)*FS160+(1-EXP(-LN(2)/2))/(LN(2)/2)*FM161*FP161*VLOOKUP('Données projet'!$B$16,Paramètres!$A$1:$I$89,3,0)*0.475*44/12</f>
        <v>0</v>
      </c>
      <c r="FT161" s="24">
        <f t="shared" si="184"/>
        <v>0</v>
      </c>
      <c r="FU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>
        <f>FZ161*VLOOKUP('Données projet'!$B$17,Paramètres!$A$1:$I$89,3,0)*VLOOKUP('Données projet'!$B$17,Paramètres!$A$1:$I$89,5,0)</f>
        <v>0</v>
      </c>
      <c r="GB161" s="14" t="e">
        <f t="shared" si="185"/>
        <v>#NUM!</v>
      </c>
      <c r="GC161" s="22" t="e">
        <f t="shared" si="186"/>
        <v>#NUM!</v>
      </c>
      <c r="GD161" s="60" t="e">
        <f t="shared" si="134"/>
        <v>#NUM!</v>
      </c>
      <c r="GE161" s="60">
        <f ca="1">AVERAGE(OFFSET($GD$3,0,0,'Données projet'!$E$17+1,1))-AVERAGE(OFFSET($H$3,0,0,'Données projet'!$E$17+1,1))</f>
        <v>396.0878652679051</v>
      </c>
      <c r="GF161" s="60">
        <f t="shared" si="158"/>
        <v>327.26339199235406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>
        <f>EXP(-LN(2)/35)*GL160+(1-EXP(-LN(2)/35))/(LN(2)/35)*GH161*GI161*VLOOKUP('Données projet'!$B$17,Paramètres!$A$1:$I$89,3,0)*0.475*44/12</f>
        <v>0</v>
      </c>
      <c r="GM161" s="23">
        <f>EXP(-LN(2)/25)*GM160+(1-EXP(-LN(2)/25))/(LN(2)/25)*Calculateur!GH161*Calculateur!GJ161*VLOOKUP('Données projet'!$B$17,Paramètres!$A$1:$I$89,3,0)*0.475*44/12</f>
        <v>0</v>
      </c>
      <c r="GN161" s="23">
        <f>EXP(-LN(2)/2)*GN160+(1-EXP(-LN(2)/2))/(LN(2)/2)*GH161*GK161*VLOOKUP('Données projet'!$B$17,Paramètres!$A$1:$I$89,3,0)*0.475*44/12</f>
        <v>0</v>
      </c>
      <c r="GO161" s="23">
        <f t="shared" si="187"/>
        <v>0</v>
      </c>
      <c r="GP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-1.1368683772161603E-13</v>
      </c>
      <c r="GV161" s="18">
        <f>GU161*VLOOKUP('Données projet'!$B$18,Paramètres!$A$1:$I$89,3,0)*VLOOKUP('Données projet'!$B$18,Paramètres!$A$1:$I$89,5,0)</f>
        <v>-9.2222762759774927E-14</v>
      </c>
      <c r="GW161" s="14" t="e">
        <f t="shared" si="188"/>
        <v>#NUM!</v>
      </c>
      <c r="GX161" s="22" t="e">
        <f t="shared" si="189"/>
        <v>#NUM!</v>
      </c>
      <c r="GY161" s="60" t="e">
        <f t="shared" si="137"/>
        <v>#NUM!</v>
      </c>
      <c r="GZ161" s="60">
        <f ca="1">AVERAGE(OFFSET($GY$3,0,0,'Données projet'!$E$18+1,1))-AVERAGE(OFFSET($H$3,0,0,'Données projet'!$E$18+1,1))</f>
        <v>272.69564942740931</v>
      </c>
      <c r="HA161" s="60">
        <f t="shared" si="160"/>
        <v>316.57989180609252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>
        <f>EXP(-LN(2)/35)*HG160+(1-EXP(-LN(2)/35))/(LN(2)/35)*HC161*HD161*VLOOKUP('Données projet'!$B$18,Paramètres!$A$1:$I$89,3,0)*0.475*44/12</f>
        <v>0</v>
      </c>
      <c r="HH161" s="23">
        <f>EXP(-LN(2)/25)*HH160+(1-EXP(-LN(2)/25))/(LN(2)/25)*Calculateur!HC161*Calculateur!HE161*VLOOKUP('Données projet'!$B$18,Paramètres!$A$1:$I$89,3,0)*0.475*44/12</f>
        <v>0</v>
      </c>
      <c r="HI161" s="23">
        <f>EXP(-LN(2)/2)*HI160+(1-EXP(-LN(2)/2))/(LN(2)/2)*HC161*HF161*VLOOKUP('Données projet'!$B$18,Paramètres!$A$1:$I$89,3,0)*0.475*44/12</f>
        <v>0</v>
      </c>
      <c r="HJ161" s="24">
        <f t="shared" si="190"/>
        <v>0</v>
      </c>
    </row>
    <row r="162" spans="1:218" x14ac:dyDescent="0.25">
      <c r="A162" s="11">
        <f t="shared" si="161"/>
        <v>159</v>
      </c>
      <c r="B162" s="75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8">
        <f t="shared" si="110"/>
        <v>183.33333333333334</v>
      </c>
      <c r="I162" s="7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-1.1368683772161603E-13</v>
      </c>
      <c r="O162" s="14">
        <f>N162*VLOOKUP('Données projet'!$B$9,Paramètres!$A$1:$I$89,3,0)*VLOOKUP('Données projet'!$B$9,Paramètres!$A$1:$I$89,5,0)</f>
        <v>-1.0286385077051818E-13</v>
      </c>
      <c r="P162" s="14" t="e">
        <f t="shared" si="141"/>
        <v>#NUM!</v>
      </c>
      <c r="Q162" s="22" t="e">
        <f t="shared" si="162"/>
        <v>#NUM!</v>
      </c>
      <c r="R162" s="60" t="e">
        <f t="shared" si="109"/>
        <v>#NUM!</v>
      </c>
      <c r="S162" s="60">
        <f ca="1">AVERAGE(OFFSET($R$3,0,0,'Données projet'!$E$9+1,1))-AVERAGE(OFFSET($H$3,0,0,'Données projet'!$E$9+1,1))</f>
        <v>570.08763950759544</v>
      </c>
      <c r="T162" s="60">
        <f t="shared" si="142"/>
        <v>297.32483725004136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-5.6843418860808015E-14</v>
      </c>
      <c r="AJ162" s="14">
        <f>AI162*VLOOKUP('Données projet'!$B$10,Paramètres!$A$1:$I$89,3,0)*VLOOKUP('Données projet'!$B$10,Paramètres!$A$1:$I$89,5,0)</f>
        <v>-4.5224624045658861E-14</v>
      </c>
      <c r="AK162" s="14" t="e">
        <f t="shared" si="164"/>
        <v>#NUM!</v>
      </c>
      <c r="AL162" s="22" t="e">
        <f t="shared" si="165"/>
        <v>#NUM!</v>
      </c>
      <c r="AM162" s="60" t="e">
        <f t="shared" si="113"/>
        <v>#NUM!</v>
      </c>
      <c r="AN162" s="60">
        <f ca="1">AVERAGE(OFFSET($AM$3,0,0,'Données projet'!$E$10+1,1))-AVERAGE(OFFSET($H$3,0,0,'Données projet'!$E$10+1,1))</f>
        <v>394.49874384716014</v>
      </c>
      <c r="AO162" s="60">
        <f t="shared" si="144"/>
        <v>423.72519584013378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3.4106051316484809E-13</v>
      </c>
      <c r="BE162" s="14">
        <f>BD162*VLOOKUP('Données projet'!$B$11,Paramètres!$A$1:$I$89,3,0)*VLOOKUP('Données projet'!$B$11,Paramètres!$A$1:$I$89,5,0)</f>
        <v>2.9795046430081134E-13</v>
      </c>
      <c r="BF162" s="14">
        <f t="shared" si="167"/>
        <v>3.9419014464513778E-12</v>
      </c>
      <c r="BG162" s="22">
        <f t="shared" si="168"/>
        <v>7.384408744560063E-12</v>
      </c>
      <c r="BH162" s="60">
        <f t="shared" si="116"/>
        <v>287.66066955837636</v>
      </c>
      <c r="BI162" s="60">
        <f ca="1">AVERAGE(OFFSET($BH$3,0,0,'Données projet'!$E$11+1,1))-AVERAGE(OFFSET($H$3,0,0,'Données projet'!$E$11+1,1))</f>
        <v>363.28611056308665</v>
      </c>
      <c r="BJ162" s="60">
        <f t="shared" si="146"/>
        <v>389.43647559455974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5.6843418860808015E-14</v>
      </c>
      <c r="BZ162" s="14">
        <f>BY162*VLOOKUP('Données projet'!$B$12,Paramètres!$A$1:$I$89,3,0)*VLOOKUP('Données projet'!$B$12,Paramètres!$A$1:$I$89,5,0)</f>
        <v>5.4092197387944907E-14</v>
      </c>
      <c r="CA162" s="14">
        <f t="shared" si="170"/>
        <v>8.7287050538073676E-13</v>
      </c>
      <c r="CB162" s="22">
        <f t="shared" si="171"/>
        <v>1.6144600406554537E-12</v>
      </c>
      <c r="CC162" s="60">
        <f t="shared" si="119"/>
        <v>287.66066955837056</v>
      </c>
      <c r="CD162" s="60">
        <f ca="1">AVERAGE(OFFSET($CC$3,0,0,'Données projet'!$E$12+1,1))-AVERAGE(OFFSET($H$3,0,0,'Données projet'!$E$12+1,1))</f>
        <v>441.15969139782891</v>
      </c>
      <c r="CE162" s="60">
        <f t="shared" si="148"/>
        <v>315.06466790224783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-5.6843418860808015E-14</v>
      </c>
      <c r="CU162" s="18">
        <f>CT162*VLOOKUP('Données projet'!$B$13,Paramètres!$A$1:$I$89,3,0)*VLOOKUP('Données projet'!$B$13,Paramètres!$A$1:$I$89,5,0)</f>
        <v>-4.1677594708744434E-14</v>
      </c>
      <c r="CV162" s="14" t="e">
        <f t="shared" si="173"/>
        <v>#NUM!</v>
      </c>
      <c r="CW162" s="22" t="e">
        <f t="shared" si="174"/>
        <v>#NUM!</v>
      </c>
      <c r="CX162" s="60" t="e">
        <f t="shared" si="122"/>
        <v>#NUM!</v>
      </c>
      <c r="CY162" s="60">
        <f ca="1">AVERAGE(OFFSET($CX$3,0,0,'Données projet'!$E$13+1,1))-AVERAGE(OFFSET($H$3,0,0,'Données projet'!$E$13+1,1))</f>
        <v>368.35775920359396</v>
      </c>
      <c r="CZ162" s="60">
        <f t="shared" si="150"/>
        <v>395.5218438652638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1.1368683772161603E-13</v>
      </c>
      <c r="DP162" s="18">
        <f>DO162*VLOOKUP('Données projet'!$B$14,Paramètres!$A$1:$I$89,3,0)*VLOOKUP('Données projet'!$B$14,Paramètres!$A$1:$I$89,5,0)</f>
        <v>8.8675733422860506E-14</v>
      </c>
      <c r="DQ162" s="14">
        <f t="shared" si="176"/>
        <v>1.3509285393066301E-12</v>
      </c>
      <c r="DR162" s="22">
        <f t="shared" si="177"/>
        <v>2.5073107750038623E-12</v>
      </c>
      <c r="DS162" s="60">
        <f t="shared" si="125"/>
        <v>287.66066955837147</v>
      </c>
      <c r="DT162" s="60">
        <f ca="1">AVERAGE(OFFSET($DS$3,0,0,'Données projet'!$E$14+1,1))-AVERAGE(OFFSET($H$3,0,0,'Données projet'!$E$14+1,1))</f>
        <v>312.59632808777332</v>
      </c>
      <c r="DU162" s="60">
        <f t="shared" si="152"/>
        <v>302.59481222418219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0</v>
      </c>
      <c r="EE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-1.1368683772161603E-13</v>
      </c>
      <c r="EK162" s="18">
        <f>EJ162*VLOOKUP('Données projet'!$B$15,Paramètres!$A$1:$I$89,3,0)*VLOOKUP('Données projet'!$B$15,Paramètres!$A$1:$I$89,5,0)</f>
        <v>-9.7543306765146564E-14</v>
      </c>
      <c r="EL162" s="14" t="e">
        <f t="shared" si="179"/>
        <v>#NUM!</v>
      </c>
      <c r="EM162" s="22" t="e">
        <f t="shared" si="180"/>
        <v>#NUM!</v>
      </c>
      <c r="EN162" s="60" t="e">
        <f t="shared" si="128"/>
        <v>#NUM!</v>
      </c>
      <c r="EO162" s="60">
        <f ca="1">AVERAGE(OFFSET($EN$3,0,0,'Données projet'!$E$15+1,1))-AVERAGE(OFFSET($H$3,0,0,'Données projet'!$E$15+1,1))</f>
        <v>478.11504516179713</v>
      </c>
      <c r="EP162" s="60">
        <f t="shared" si="154"/>
        <v>249.93713224442419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0</v>
      </c>
      <c r="EW162" s="23">
        <f>EXP(-LN(2)/25)*EW161+(1-EXP(-LN(2)/25))/(LN(2)/25)*Calculateur!ER162*Calculateur!ET162*VLOOKUP('Données projet'!$B$15,Paramètres!$A$1:$I$89,3,0)*0.475*44/12</f>
        <v>0</v>
      </c>
      <c r="EX162" s="23">
        <f>EXP(-LN(2)/2)*EX161+(1-EXP(-LN(2)/2))/(LN(2)/2)*ER162*EU162*VLOOKUP('Données projet'!$B$15,Paramètres!$A$1:$I$89,3,0)*0.475*44/12</f>
        <v>0</v>
      </c>
      <c r="EY162" s="24">
        <f t="shared" si="181"/>
        <v>0</v>
      </c>
      <c r="EZ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-1.1368683772161603E-13</v>
      </c>
      <c r="FF162" s="18">
        <f>FE162*VLOOKUP('Données projet'!$B$16,Paramètres!$A$1:$I$89,3,0)*VLOOKUP('Données projet'!$B$16,Paramètres!$A$1:$I$89,5,0)</f>
        <v>-1.0995790944434703E-13</v>
      </c>
      <c r="FG162" s="14" t="e">
        <f t="shared" si="182"/>
        <v>#NUM!</v>
      </c>
      <c r="FH162" s="22" t="e">
        <f t="shared" si="183"/>
        <v>#NUM!</v>
      </c>
      <c r="FI162" s="60" t="e">
        <f t="shared" si="131"/>
        <v>#NUM!</v>
      </c>
      <c r="FJ162" s="60">
        <f ca="1">AVERAGE(OFFSET($FI$3,0,0,'Données projet'!$E$16+1,1))-AVERAGE(OFFSET($H$3,0,0,'Données projet'!$E$16+1,1))</f>
        <v>603.52431522262032</v>
      </c>
      <c r="FK162" s="60">
        <f t="shared" si="156"/>
        <v>313.56299786481338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>
        <f>EXP(-LN(2)/35)*FQ161+(1-EXP(-LN(2)/35))/(LN(2)/35)*FM162*FN162*VLOOKUP('Données projet'!$B$16,Paramètres!$A$1:$I$89,3,0)*0.475*44/12</f>
        <v>0</v>
      </c>
      <c r="FR162" s="23">
        <f>EXP(-LN(2)/25)*FR161+(1-EXP(-LN(2)/25))/(LN(2)/25)*Calculateur!FM162*Calculateur!FO162*VLOOKUP('Données projet'!$B$16,Paramètres!$A$1:$I$89,3,0)*0.475*44/12</f>
        <v>0</v>
      </c>
      <c r="FS162" s="23">
        <f>EXP(-LN(2)/2)*FS161+(1-EXP(-LN(2)/2))/(LN(2)/2)*FM162*FP162*VLOOKUP('Données projet'!$B$16,Paramètres!$A$1:$I$89,3,0)*0.475*44/12</f>
        <v>0</v>
      </c>
      <c r="FT162" s="24">
        <f t="shared" si="184"/>
        <v>0</v>
      </c>
      <c r="FU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>
        <f>FZ162*VLOOKUP('Données projet'!$B$17,Paramètres!$A$1:$I$89,3,0)*VLOOKUP('Données projet'!$B$17,Paramètres!$A$1:$I$89,5,0)</f>
        <v>0</v>
      </c>
      <c r="GB162" s="14" t="e">
        <f t="shared" si="185"/>
        <v>#NUM!</v>
      </c>
      <c r="GC162" s="22" t="e">
        <f t="shared" si="186"/>
        <v>#NUM!</v>
      </c>
      <c r="GD162" s="60" t="e">
        <f t="shared" si="134"/>
        <v>#NUM!</v>
      </c>
      <c r="GE162" s="60">
        <f ca="1">AVERAGE(OFFSET($GD$3,0,0,'Données projet'!$E$17+1,1))-AVERAGE(OFFSET($H$3,0,0,'Données projet'!$E$17+1,1))</f>
        <v>396.0878652679051</v>
      </c>
      <c r="GF162" s="60">
        <f t="shared" si="158"/>
        <v>327.26339199235406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>
        <f>EXP(-LN(2)/35)*GL161+(1-EXP(-LN(2)/35))/(LN(2)/35)*GH162*GI162*VLOOKUP('Données projet'!$B$17,Paramètres!$A$1:$I$89,3,0)*0.475*44/12</f>
        <v>0</v>
      </c>
      <c r="GM162" s="23">
        <f>EXP(-LN(2)/25)*GM161+(1-EXP(-LN(2)/25))/(LN(2)/25)*Calculateur!GH162*Calculateur!GJ162*VLOOKUP('Données projet'!$B$17,Paramètres!$A$1:$I$89,3,0)*0.475*44/12</f>
        <v>0</v>
      </c>
      <c r="GN162" s="23">
        <f>EXP(-LN(2)/2)*GN161+(1-EXP(-LN(2)/2))/(LN(2)/2)*GH162*GK162*VLOOKUP('Données projet'!$B$17,Paramètres!$A$1:$I$89,3,0)*0.475*44/12</f>
        <v>0</v>
      </c>
      <c r="GO162" s="23">
        <f t="shared" si="187"/>
        <v>0</v>
      </c>
      <c r="GP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-1.1368683772161603E-13</v>
      </c>
      <c r="GV162" s="18">
        <f>GU162*VLOOKUP('Données projet'!$B$18,Paramètres!$A$1:$I$89,3,0)*VLOOKUP('Données projet'!$B$18,Paramètres!$A$1:$I$89,5,0)</f>
        <v>-9.2222762759774927E-14</v>
      </c>
      <c r="GW162" s="14" t="e">
        <f t="shared" si="188"/>
        <v>#NUM!</v>
      </c>
      <c r="GX162" s="22" t="e">
        <f t="shared" si="189"/>
        <v>#NUM!</v>
      </c>
      <c r="GY162" s="60" t="e">
        <f t="shared" si="137"/>
        <v>#NUM!</v>
      </c>
      <c r="GZ162" s="60">
        <f ca="1">AVERAGE(OFFSET($GY$3,0,0,'Données projet'!$E$18+1,1))-AVERAGE(OFFSET($H$3,0,0,'Données projet'!$E$18+1,1))</f>
        <v>272.69564942740931</v>
      </c>
      <c r="HA162" s="60">
        <f t="shared" si="160"/>
        <v>316.57989180609252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>
        <f>EXP(-LN(2)/35)*HG161+(1-EXP(-LN(2)/35))/(LN(2)/35)*HC162*HD162*VLOOKUP('Données projet'!$B$18,Paramètres!$A$1:$I$89,3,0)*0.475*44/12</f>
        <v>0</v>
      </c>
      <c r="HH162" s="23">
        <f>EXP(-LN(2)/25)*HH161+(1-EXP(-LN(2)/25))/(LN(2)/25)*Calculateur!HC162*Calculateur!HE162*VLOOKUP('Données projet'!$B$18,Paramètres!$A$1:$I$89,3,0)*0.475*44/12</f>
        <v>0</v>
      </c>
      <c r="HI162" s="23">
        <f>EXP(-LN(2)/2)*HI161+(1-EXP(-LN(2)/2))/(LN(2)/2)*HC162*HF162*VLOOKUP('Données projet'!$B$18,Paramètres!$A$1:$I$89,3,0)*0.475*44/12</f>
        <v>0</v>
      </c>
      <c r="HJ162" s="24">
        <f t="shared" si="190"/>
        <v>0</v>
      </c>
    </row>
    <row r="163" spans="1:218" x14ac:dyDescent="0.25">
      <c r="A163" s="11">
        <f t="shared" si="161"/>
        <v>160</v>
      </c>
      <c r="B163" s="75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8">
        <f t="shared" si="110"/>
        <v>183.33333333333334</v>
      </c>
      <c r="I163" s="7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-1.1368683772161603E-13</v>
      </c>
      <c r="O163" s="14">
        <f>N163*VLOOKUP('Données projet'!$B$9,Paramètres!$A$1:$I$89,3,0)*VLOOKUP('Données projet'!$B$9,Paramètres!$A$1:$I$89,5,0)</f>
        <v>-1.0286385077051818E-13</v>
      </c>
      <c r="P163" s="14" t="e">
        <f t="shared" si="141"/>
        <v>#NUM!</v>
      </c>
      <c r="Q163" s="22" t="e">
        <f t="shared" si="162"/>
        <v>#NUM!</v>
      </c>
      <c r="R163" s="60" t="e">
        <f t="shared" si="109"/>
        <v>#NUM!</v>
      </c>
      <c r="S163" s="60">
        <f ca="1">AVERAGE(OFFSET($R$3,0,0,'Données projet'!$E$9+1,1))-AVERAGE(OFFSET($H$3,0,0,'Données projet'!$E$9+1,1))</f>
        <v>570.08763950759544</v>
      </c>
      <c r="T163" s="60">
        <f t="shared" si="142"/>
        <v>297.32483725004136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-5.6843418860808015E-14</v>
      </c>
      <c r="AJ163" s="14">
        <f>AI163*VLOOKUP('Données projet'!$B$10,Paramètres!$A$1:$I$89,3,0)*VLOOKUP('Données projet'!$B$10,Paramètres!$A$1:$I$89,5,0)</f>
        <v>-4.5224624045658861E-14</v>
      </c>
      <c r="AK163" s="14" t="e">
        <f t="shared" si="164"/>
        <v>#NUM!</v>
      </c>
      <c r="AL163" s="22" t="e">
        <f t="shared" si="165"/>
        <v>#NUM!</v>
      </c>
      <c r="AM163" s="60" t="e">
        <f t="shared" si="113"/>
        <v>#NUM!</v>
      </c>
      <c r="AN163" s="60">
        <f ca="1">AVERAGE(OFFSET($AM$3,0,0,'Données projet'!$E$10+1,1))-AVERAGE(OFFSET($H$3,0,0,'Données projet'!$E$10+1,1))</f>
        <v>394.49874384716014</v>
      </c>
      <c r="AO163" s="60">
        <f t="shared" si="144"/>
        <v>423.72519584013378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3.4106051316484809E-13</v>
      </c>
      <c r="BE163" s="14">
        <f>BD163*VLOOKUP('Données projet'!$B$11,Paramètres!$A$1:$I$89,3,0)*VLOOKUP('Données projet'!$B$11,Paramètres!$A$1:$I$89,5,0)</f>
        <v>2.9795046430081134E-13</v>
      </c>
      <c r="BF163" s="14">
        <f t="shared" si="167"/>
        <v>3.9419014464513778E-12</v>
      </c>
      <c r="BG163" s="22">
        <f t="shared" si="168"/>
        <v>7.384408744560063E-12</v>
      </c>
      <c r="BH163" s="60">
        <f t="shared" si="116"/>
        <v>287.75907759269575</v>
      </c>
      <c r="BI163" s="60">
        <f ca="1">AVERAGE(OFFSET($BH$3,0,0,'Données projet'!$E$11+1,1))-AVERAGE(OFFSET($H$3,0,0,'Données projet'!$E$11+1,1))</f>
        <v>363.28611056308665</v>
      </c>
      <c r="BJ163" s="60">
        <f t="shared" si="146"/>
        <v>389.43647559455974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5.6843418860808015E-14</v>
      </c>
      <c r="BZ163" s="14">
        <f>BY163*VLOOKUP('Données projet'!$B$12,Paramètres!$A$1:$I$89,3,0)*VLOOKUP('Données projet'!$B$12,Paramètres!$A$1:$I$89,5,0)</f>
        <v>5.4092197387944907E-14</v>
      </c>
      <c r="CA163" s="14">
        <f t="shared" si="170"/>
        <v>8.7287050538073676E-13</v>
      </c>
      <c r="CB163" s="22">
        <f t="shared" si="171"/>
        <v>1.6144600406554537E-12</v>
      </c>
      <c r="CC163" s="60">
        <f t="shared" si="119"/>
        <v>287.75907759268995</v>
      </c>
      <c r="CD163" s="60">
        <f ca="1">AVERAGE(OFFSET($CC$3,0,0,'Données projet'!$E$12+1,1))-AVERAGE(OFFSET($H$3,0,0,'Données projet'!$E$12+1,1))</f>
        <v>441.15969139782891</v>
      </c>
      <c r="CE163" s="60">
        <f t="shared" si="148"/>
        <v>315.06466790224783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-5.6843418860808015E-14</v>
      </c>
      <c r="CU163" s="18">
        <f>CT163*VLOOKUP('Données projet'!$B$13,Paramètres!$A$1:$I$89,3,0)*VLOOKUP('Données projet'!$B$13,Paramètres!$A$1:$I$89,5,0)</f>
        <v>-4.1677594708744434E-14</v>
      </c>
      <c r="CV163" s="14" t="e">
        <f t="shared" si="173"/>
        <v>#NUM!</v>
      </c>
      <c r="CW163" s="22" t="e">
        <f t="shared" si="174"/>
        <v>#NUM!</v>
      </c>
      <c r="CX163" s="60" t="e">
        <f t="shared" si="122"/>
        <v>#NUM!</v>
      </c>
      <c r="CY163" s="60">
        <f ca="1">AVERAGE(OFFSET($CX$3,0,0,'Données projet'!$E$13+1,1))-AVERAGE(OFFSET($H$3,0,0,'Données projet'!$E$13+1,1))</f>
        <v>368.35775920359396</v>
      </c>
      <c r="CZ163" s="60">
        <f t="shared" si="150"/>
        <v>395.5218438652638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1.1368683772161603E-13</v>
      </c>
      <c r="DP163" s="18">
        <f>DO163*VLOOKUP('Données projet'!$B$14,Paramètres!$A$1:$I$89,3,0)*VLOOKUP('Données projet'!$B$14,Paramètres!$A$1:$I$89,5,0)</f>
        <v>8.8675733422860506E-14</v>
      </c>
      <c r="DQ163" s="14">
        <f t="shared" si="176"/>
        <v>1.3509285393066301E-12</v>
      </c>
      <c r="DR163" s="22">
        <f t="shared" si="177"/>
        <v>2.5073107750038623E-12</v>
      </c>
      <c r="DS163" s="60">
        <f t="shared" si="125"/>
        <v>287.75907759269086</v>
      </c>
      <c r="DT163" s="60">
        <f ca="1">AVERAGE(OFFSET($DS$3,0,0,'Données projet'!$E$14+1,1))-AVERAGE(OFFSET($H$3,0,0,'Données projet'!$E$14+1,1))</f>
        <v>312.59632808777332</v>
      </c>
      <c r="DU163" s="60">
        <f t="shared" si="152"/>
        <v>302.59481222418219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0</v>
      </c>
      <c r="EE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-1.1368683772161603E-13</v>
      </c>
      <c r="EK163" s="18">
        <f>EJ163*VLOOKUP('Données projet'!$B$15,Paramètres!$A$1:$I$89,3,0)*VLOOKUP('Données projet'!$B$15,Paramètres!$A$1:$I$89,5,0)</f>
        <v>-9.7543306765146564E-14</v>
      </c>
      <c r="EL163" s="14" t="e">
        <f t="shared" si="179"/>
        <v>#NUM!</v>
      </c>
      <c r="EM163" s="22" t="e">
        <f t="shared" si="180"/>
        <v>#NUM!</v>
      </c>
      <c r="EN163" s="60" t="e">
        <f t="shared" si="128"/>
        <v>#NUM!</v>
      </c>
      <c r="EO163" s="60">
        <f ca="1">AVERAGE(OFFSET($EN$3,0,0,'Données projet'!$E$15+1,1))-AVERAGE(OFFSET($H$3,0,0,'Données projet'!$E$15+1,1))</f>
        <v>478.11504516179713</v>
      </c>
      <c r="EP163" s="60">
        <f t="shared" si="154"/>
        <v>249.93713224442419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0</v>
      </c>
      <c r="EW163" s="23">
        <f>EXP(-LN(2)/25)*EW162+(1-EXP(-LN(2)/25))/(LN(2)/25)*Calculateur!ER163*Calculateur!ET163*VLOOKUP('Données projet'!$B$15,Paramètres!$A$1:$I$89,3,0)*0.475*44/12</f>
        <v>0</v>
      </c>
      <c r="EX163" s="23">
        <f>EXP(-LN(2)/2)*EX162+(1-EXP(-LN(2)/2))/(LN(2)/2)*ER163*EU163*VLOOKUP('Données projet'!$B$15,Paramètres!$A$1:$I$89,3,0)*0.475*44/12</f>
        <v>0</v>
      </c>
      <c r="EY163" s="24">
        <f t="shared" si="181"/>
        <v>0</v>
      </c>
      <c r="EZ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-1.1368683772161603E-13</v>
      </c>
      <c r="FF163" s="18">
        <f>FE163*VLOOKUP('Données projet'!$B$16,Paramètres!$A$1:$I$89,3,0)*VLOOKUP('Données projet'!$B$16,Paramètres!$A$1:$I$89,5,0)</f>
        <v>-1.0995790944434703E-13</v>
      </c>
      <c r="FG163" s="14" t="e">
        <f t="shared" si="182"/>
        <v>#NUM!</v>
      </c>
      <c r="FH163" s="22" t="e">
        <f t="shared" si="183"/>
        <v>#NUM!</v>
      </c>
      <c r="FI163" s="60" t="e">
        <f t="shared" si="131"/>
        <v>#NUM!</v>
      </c>
      <c r="FJ163" s="60">
        <f ca="1">AVERAGE(OFFSET($FI$3,0,0,'Données projet'!$E$16+1,1))-AVERAGE(OFFSET($H$3,0,0,'Données projet'!$E$16+1,1))</f>
        <v>603.52431522262032</v>
      </c>
      <c r="FK163" s="60">
        <f t="shared" si="156"/>
        <v>313.56299786481338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>
        <f>EXP(-LN(2)/35)*FQ162+(1-EXP(-LN(2)/35))/(LN(2)/35)*FM163*FN163*VLOOKUP('Données projet'!$B$16,Paramètres!$A$1:$I$89,3,0)*0.475*44/12</f>
        <v>0</v>
      </c>
      <c r="FR163" s="23">
        <f>EXP(-LN(2)/25)*FR162+(1-EXP(-LN(2)/25))/(LN(2)/25)*Calculateur!FM163*Calculateur!FO163*VLOOKUP('Données projet'!$B$16,Paramètres!$A$1:$I$89,3,0)*0.475*44/12</f>
        <v>0</v>
      </c>
      <c r="FS163" s="23">
        <f>EXP(-LN(2)/2)*FS162+(1-EXP(-LN(2)/2))/(LN(2)/2)*FM163*FP163*VLOOKUP('Données projet'!$B$16,Paramètres!$A$1:$I$89,3,0)*0.475*44/12</f>
        <v>0</v>
      </c>
      <c r="FT163" s="24">
        <f t="shared" si="184"/>
        <v>0</v>
      </c>
      <c r="FU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>
        <f>FZ163*VLOOKUP('Données projet'!$B$17,Paramètres!$A$1:$I$89,3,0)*VLOOKUP('Données projet'!$B$17,Paramètres!$A$1:$I$89,5,0)</f>
        <v>0</v>
      </c>
      <c r="GB163" s="14" t="e">
        <f t="shared" si="185"/>
        <v>#NUM!</v>
      </c>
      <c r="GC163" s="22" t="e">
        <f t="shared" si="186"/>
        <v>#NUM!</v>
      </c>
      <c r="GD163" s="60" t="e">
        <f t="shared" si="134"/>
        <v>#NUM!</v>
      </c>
      <c r="GE163" s="60">
        <f ca="1">AVERAGE(OFFSET($GD$3,0,0,'Données projet'!$E$17+1,1))-AVERAGE(OFFSET($H$3,0,0,'Données projet'!$E$17+1,1))</f>
        <v>396.0878652679051</v>
      </c>
      <c r="GF163" s="60">
        <f t="shared" si="158"/>
        <v>327.26339199235406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>
        <f>EXP(-LN(2)/35)*GL162+(1-EXP(-LN(2)/35))/(LN(2)/35)*GH163*GI163*VLOOKUP('Données projet'!$B$17,Paramètres!$A$1:$I$89,3,0)*0.475*44/12</f>
        <v>0</v>
      </c>
      <c r="GM163" s="23">
        <f>EXP(-LN(2)/25)*GM162+(1-EXP(-LN(2)/25))/(LN(2)/25)*Calculateur!GH163*Calculateur!GJ163*VLOOKUP('Données projet'!$B$17,Paramètres!$A$1:$I$89,3,0)*0.475*44/12</f>
        <v>0</v>
      </c>
      <c r="GN163" s="23">
        <f>EXP(-LN(2)/2)*GN162+(1-EXP(-LN(2)/2))/(LN(2)/2)*GH163*GK163*VLOOKUP('Données projet'!$B$17,Paramètres!$A$1:$I$89,3,0)*0.475*44/12</f>
        <v>0</v>
      </c>
      <c r="GO163" s="23">
        <f t="shared" si="187"/>
        <v>0</v>
      </c>
      <c r="GP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-1.1368683772161603E-13</v>
      </c>
      <c r="GV163" s="18">
        <f>GU163*VLOOKUP('Données projet'!$B$18,Paramètres!$A$1:$I$89,3,0)*VLOOKUP('Données projet'!$B$18,Paramètres!$A$1:$I$89,5,0)</f>
        <v>-9.2222762759774927E-14</v>
      </c>
      <c r="GW163" s="14" t="e">
        <f t="shared" si="188"/>
        <v>#NUM!</v>
      </c>
      <c r="GX163" s="22" t="e">
        <f t="shared" si="189"/>
        <v>#NUM!</v>
      </c>
      <c r="GY163" s="60" t="e">
        <f t="shared" si="137"/>
        <v>#NUM!</v>
      </c>
      <c r="GZ163" s="60">
        <f ca="1">AVERAGE(OFFSET($GY$3,0,0,'Données projet'!$E$18+1,1))-AVERAGE(OFFSET($H$3,0,0,'Données projet'!$E$18+1,1))</f>
        <v>272.69564942740931</v>
      </c>
      <c r="HA163" s="60">
        <f t="shared" si="160"/>
        <v>316.57989180609252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>
        <f>EXP(-LN(2)/35)*HG162+(1-EXP(-LN(2)/35))/(LN(2)/35)*HC163*HD163*VLOOKUP('Données projet'!$B$18,Paramètres!$A$1:$I$89,3,0)*0.475*44/12</f>
        <v>0</v>
      </c>
      <c r="HH163" s="23">
        <f>EXP(-LN(2)/25)*HH162+(1-EXP(-LN(2)/25))/(LN(2)/25)*Calculateur!HC163*Calculateur!HE163*VLOOKUP('Données projet'!$B$18,Paramètres!$A$1:$I$89,3,0)*0.475*44/12</f>
        <v>0</v>
      </c>
      <c r="HI163" s="23">
        <f>EXP(-LN(2)/2)*HI162+(1-EXP(-LN(2)/2))/(LN(2)/2)*HC163*HF163*VLOOKUP('Données projet'!$B$18,Paramètres!$A$1:$I$89,3,0)*0.475*44/12</f>
        <v>0</v>
      </c>
      <c r="HJ163" s="24">
        <f t="shared" si="190"/>
        <v>0</v>
      </c>
    </row>
    <row r="164" spans="1:218" x14ac:dyDescent="0.25">
      <c r="A164" s="11">
        <f t="shared" si="161"/>
        <v>161</v>
      </c>
      <c r="B164" s="75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8">
        <f t="shared" si="110"/>
        <v>183.33333333333334</v>
      </c>
      <c r="I164" s="7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-1.1368683772161603E-13</v>
      </c>
      <c r="O164" s="14">
        <f>N164*VLOOKUP('Données projet'!$B$9,Paramètres!$A$1:$I$89,3,0)*VLOOKUP('Données projet'!$B$9,Paramètres!$A$1:$I$89,5,0)</f>
        <v>-1.0286385077051818E-13</v>
      </c>
      <c r="P164" s="14" t="e">
        <f t="shared" si="141"/>
        <v>#NUM!</v>
      </c>
      <c r="Q164" s="22" t="e">
        <f t="shared" si="162"/>
        <v>#NUM!</v>
      </c>
      <c r="R164" s="60" t="e">
        <f t="shared" si="109"/>
        <v>#NUM!</v>
      </c>
      <c r="S164" s="60">
        <f ca="1">AVERAGE(OFFSET($R$3,0,0,'Données projet'!$E$9+1,1))-AVERAGE(OFFSET($H$3,0,0,'Données projet'!$E$9+1,1))</f>
        <v>570.08763950759544</v>
      </c>
      <c r="T164" s="60">
        <f t="shared" si="142"/>
        <v>297.32483725004136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-5.6843418860808015E-14</v>
      </c>
      <c r="AJ164" s="14">
        <f>AI164*VLOOKUP('Données projet'!$B$10,Paramètres!$A$1:$I$89,3,0)*VLOOKUP('Données projet'!$B$10,Paramètres!$A$1:$I$89,5,0)</f>
        <v>-4.5224624045658861E-14</v>
      </c>
      <c r="AK164" s="14" t="e">
        <f t="shared" si="164"/>
        <v>#NUM!</v>
      </c>
      <c r="AL164" s="22" t="e">
        <f t="shared" si="165"/>
        <v>#NUM!</v>
      </c>
      <c r="AM164" s="60" t="e">
        <f t="shared" si="113"/>
        <v>#NUM!</v>
      </c>
      <c r="AN164" s="60">
        <f ca="1">AVERAGE(OFFSET($AM$3,0,0,'Données projet'!$E$10+1,1))-AVERAGE(OFFSET($H$3,0,0,'Données projet'!$E$10+1,1))</f>
        <v>394.49874384716014</v>
      </c>
      <c r="AO164" s="60">
        <f t="shared" si="144"/>
        <v>423.72519584013378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3.4106051316484809E-13</v>
      </c>
      <c r="BE164" s="14">
        <f>BD164*VLOOKUP('Données projet'!$B$11,Paramètres!$A$1:$I$89,3,0)*VLOOKUP('Données projet'!$B$11,Paramètres!$A$1:$I$89,5,0)</f>
        <v>2.9795046430081134E-13</v>
      </c>
      <c r="BF164" s="14">
        <f t="shared" si="167"/>
        <v>3.9419014464513778E-12</v>
      </c>
      <c r="BG164" s="22">
        <f t="shared" si="168"/>
        <v>7.384408744560063E-12</v>
      </c>
      <c r="BH164" s="60">
        <f t="shared" si="116"/>
        <v>287.85577846762709</v>
      </c>
      <c r="BI164" s="60">
        <f ca="1">AVERAGE(OFFSET($BH$3,0,0,'Données projet'!$E$11+1,1))-AVERAGE(OFFSET($H$3,0,0,'Données projet'!$E$11+1,1))</f>
        <v>363.28611056308665</v>
      </c>
      <c r="BJ164" s="60">
        <f t="shared" si="146"/>
        <v>389.43647559455974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5.6843418860808015E-14</v>
      </c>
      <c r="BZ164" s="14">
        <f>BY164*VLOOKUP('Données projet'!$B$12,Paramètres!$A$1:$I$89,3,0)*VLOOKUP('Données projet'!$B$12,Paramètres!$A$1:$I$89,5,0)</f>
        <v>5.4092197387944907E-14</v>
      </c>
      <c r="CA164" s="14">
        <f t="shared" si="170"/>
        <v>8.7287050538073676E-13</v>
      </c>
      <c r="CB164" s="22">
        <f t="shared" si="171"/>
        <v>1.6144600406554537E-12</v>
      </c>
      <c r="CC164" s="60">
        <f t="shared" si="119"/>
        <v>287.85577846762129</v>
      </c>
      <c r="CD164" s="60">
        <f ca="1">AVERAGE(OFFSET($CC$3,0,0,'Données projet'!$E$12+1,1))-AVERAGE(OFFSET($H$3,0,0,'Données projet'!$E$12+1,1))</f>
        <v>441.15969139782891</v>
      </c>
      <c r="CE164" s="60">
        <f t="shared" si="148"/>
        <v>315.06466790224783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-5.6843418860808015E-14</v>
      </c>
      <c r="CU164" s="18">
        <f>CT164*VLOOKUP('Données projet'!$B$13,Paramètres!$A$1:$I$89,3,0)*VLOOKUP('Données projet'!$B$13,Paramètres!$A$1:$I$89,5,0)</f>
        <v>-4.1677594708744434E-14</v>
      </c>
      <c r="CV164" s="14" t="e">
        <f t="shared" si="173"/>
        <v>#NUM!</v>
      </c>
      <c r="CW164" s="22" t="e">
        <f t="shared" si="174"/>
        <v>#NUM!</v>
      </c>
      <c r="CX164" s="60" t="e">
        <f t="shared" si="122"/>
        <v>#NUM!</v>
      </c>
      <c r="CY164" s="60">
        <f ca="1">AVERAGE(OFFSET($CX$3,0,0,'Données projet'!$E$13+1,1))-AVERAGE(OFFSET($H$3,0,0,'Données projet'!$E$13+1,1))</f>
        <v>368.35775920359396</v>
      </c>
      <c r="CZ164" s="60">
        <f t="shared" si="150"/>
        <v>395.5218438652638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1.1368683772161603E-13</v>
      </c>
      <c r="DP164" s="18">
        <f>DO164*VLOOKUP('Données projet'!$B$14,Paramètres!$A$1:$I$89,3,0)*VLOOKUP('Données projet'!$B$14,Paramètres!$A$1:$I$89,5,0)</f>
        <v>8.8675733422860506E-14</v>
      </c>
      <c r="DQ164" s="14">
        <f t="shared" si="176"/>
        <v>1.3509285393066301E-12</v>
      </c>
      <c r="DR164" s="22">
        <f t="shared" si="177"/>
        <v>2.5073107750038623E-12</v>
      </c>
      <c r="DS164" s="60">
        <f t="shared" si="125"/>
        <v>287.8557784676222</v>
      </c>
      <c r="DT164" s="60">
        <f ca="1">AVERAGE(OFFSET($DS$3,0,0,'Données projet'!$E$14+1,1))-AVERAGE(OFFSET($H$3,0,0,'Données projet'!$E$14+1,1))</f>
        <v>312.59632808777332</v>
      </c>
      <c r="DU164" s="60">
        <f t="shared" si="152"/>
        <v>302.59481222418219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0</v>
      </c>
      <c r="EE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-1.1368683772161603E-13</v>
      </c>
      <c r="EK164" s="18">
        <f>EJ164*VLOOKUP('Données projet'!$B$15,Paramètres!$A$1:$I$89,3,0)*VLOOKUP('Données projet'!$B$15,Paramètres!$A$1:$I$89,5,0)</f>
        <v>-9.7543306765146564E-14</v>
      </c>
      <c r="EL164" s="14" t="e">
        <f t="shared" si="179"/>
        <v>#NUM!</v>
      </c>
      <c r="EM164" s="22" t="e">
        <f t="shared" si="180"/>
        <v>#NUM!</v>
      </c>
      <c r="EN164" s="60" t="e">
        <f t="shared" si="128"/>
        <v>#NUM!</v>
      </c>
      <c r="EO164" s="60">
        <f ca="1">AVERAGE(OFFSET($EN$3,0,0,'Données projet'!$E$15+1,1))-AVERAGE(OFFSET($H$3,0,0,'Données projet'!$E$15+1,1))</f>
        <v>478.11504516179713</v>
      </c>
      <c r="EP164" s="60">
        <f t="shared" si="154"/>
        <v>249.93713224442419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0</v>
      </c>
      <c r="EW164" s="23">
        <f>EXP(-LN(2)/25)*EW163+(1-EXP(-LN(2)/25))/(LN(2)/25)*Calculateur!ER164*Calculateur!ET164*VLOOKUP('Données projet'!$B$15,Paramètres!$A$1:$I$89,3,0)*0.475*44/12</f>
        <v>0</v>
      </c>
      <c r="EX164" s="23">
        <f>EXP(-LN(2)/2)*EX163+(1-EXP(-LN(2)/2))/(LN(2)/2)*ER164*EU164*VLOOKUP('Données projet'!$B$15,Paramètres!$A$1:$I$89,3,0)*0.475*44/12</f>
        <v>0</v>
      </c>
      <c r="EY164" s="24">
        <f t="shared" si="181"/>
        <v>0</v>
      </c>
      <c r="EZ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-1.1368683772161603E-13</v>
      </c>
      <c r="FF164" s="18">
        <f>FE164*VLOOKUP('Données projet'!$B$16,Paramètres!$A$1:$I$89,3,0)*VLOOKUP('Données projet'!$B$16,Paramètres!$A$1:$I$89,5,0)</f>
        <v>-1.0995790944434703E-13</v>
      </c>
      <c r="FG164" s="14" t="e">
        <f t="shared" si="182"/>
        <v>#NUM!</v>
      </c>
      <c r="FH164" s="22" t="e">
        <f t="shared" si="183"/>
        <v>#NUM!</v>
      </c>
      <c r="FI164" s="60" t="e">
        <f t="shared" si="131"/>
        <v>#NUM!</v>
      </c>
      <c r="FJ164" s="60">
        <f ca="1">AVERAGE(OFFSET($FI$3,0,0,'Données projet'!$E$16+1,1))-AVERAGE(OFFSET($H$3,0,0,'Données projet'!$E$16+1,1))</f>
        <v>603.52431522262032</v>
      </c>
      <c r="FK164" s="60">
        <f t="shared" si="156"/>
        <v>313.56299786481338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>
        <f>EXP(-LN(2)/35)*FQ163+(1-EXP(-LN(2)/35))/(LN(2)/35)*FM164*FN164*VLOOKUP('Données projet'!$B$16,Paramètres!$A$1:$I$89,3,0)*0.475*44/12</f>
        <v>0</v>
      </c>
      <c r="FR164" s="23">
        <f>EXP(-LN(2)/25)*FR163+(1-EXP(-LN(2)/25))/(LN(2)/25)*Calculateur!FM164*Calculateur!FO164*VLOOKUP('Données projet'!$B$16,Paramètres!$A$1:$I$89,3,0)*0.475*44/12</f>
        <v>0</v>
      </c>
      <c r="FS164" s="23">
        <f>EXP(-LN(2)/2)*FS163+(1-EXP(-LN(2)/2))/(LN(2)/2)*FM164*FP164*VLOOKUP('Données projet'!$B$16,Paramètres!$A$1:$I$89,3,0)*0.475*44/12</f>
        <v>0</v>
      </c>
      <c r="FT164" s="24">
        <f t="shared" si="184"/>
        <v>0</v>
      </c>
      <c r="FU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>
        <f>FZ164*VLOOKUP('Données projet'!$B$17,Paramètres!$A$1:$I$89,3,0)*VLOOKUP('Données projet'!$B$17,Paramètres!$A$1:$I$89,5,0)</f>
        <v>0</v>
      </c>
      <c r="GB164" s="14" t="e">
        <f t="shared" si="185"/>
        <v>#NUM!</v>
      </c>
      <c r="GC164" s="22" t="e">
        <f t="shared" si="186"/>
        <v>#NUM!</v>
      </c>
      <c r="GD164" s="60" t="e">
        <f t="shared" si="134"/>
        <v>#NUM!</v>
      </c>
      <c r="GE164" s="60">
        <f ca="1">AVERAGE(OFFSET($GD$3,0,0,'Données projet'!$E$17+1,1))-AVERAGE(OFFSET($H$3,0,0,'Données projet'!$E$17+1,1))</f>
        <v>396.0878652679051</v>
      </c>
      <c r="GF164" s="60">
        <f t="shared" si="158"/>
        <v>327.26339199235406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>
        <f>EXP(-LN(2)/35)*GL163+(1-EXP(-LN(2)/35))/(LN(2)/35)*GH164*GI164*VLOOKUP('Données projet'!$B$17,Paramètres!$A$1:$I$89,3,0)*0.475*44/12</f>
        <v>0</v>
      </c>
      <c r="GM164" s="23">
        <f>EXP(-LN(2)/25)*GM163+(1-EXP(-LN(2)/25))/(LN(2)/25)*Calculateur!GH164*Calculateur!GJ164*VLOOKUP('Données projet'!$B$17,Paramètres!$A$1:$I$89,3,0)*0.475*44/12</f>
        <v>0</v>
      </c>
      <c r="GN164" s="23">
        <f>EXP(-LN(2)/2)*GN163+(1-EXP(-LN(2)/2))/(LN(2)/2)*GH164*GK164*VLOOKUP('Données projet'!$B$17,Paramètres!$A$1:$I$89,3,0)*0.475*44/12</f>
        <v>0</v>
      </c>
      <c r="GO164" s="23">
        <f t="shared" si="187"/>
        <v>0</v>
      </c>
      <c r="GP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-1.1368683772161603E-13</v>
      </c>
      <c r="GV164" s="18">
        <f>GU164*VLOOKUP('Données projet'!$B$18,Paramètres!$A$1:$I$89,3,0)*VLOOKUP('Données projet'!$B$18,Paramètres!$A$1:$I$89,5,0)</f>
        <v>-9.2222762759774927E-14</v>
      </c>
      <c r="GW164" s="14" t="e">
        <f t="shared" si="188"/>
        <v>#NUM!</v>
      </c>
      <c r="GX164" s="22" t="e">
        <f t="shared" si="189"/>
        <v>#NUM!</v>
      </c>
      <c r="GY164" s="60" t="e">
        <f t="shared" si="137"/>
        <v>#NUM!</v>
      </c>
      <c r="GZ164" s="60">
        <f ca="1">AVERAGE(OFFSET($GY$3,0,0,'Données projet'!$E$18+1,1))-AVERAGE(OFFSET($H$3,0,0,'Données projet'!$E$18+1,1))</f>
        <v>272.69564942740931</v>
      </c>
      <c r="HA164" s="60">
        <f t="shared" si="160"/>
        <v>316.57989180609252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>
        <f>EXP(-LN(2)/35)*HG163+(1-EXP(-LN(2)/35))/(LN(2)/35)*HC164*HD164*VLOOKUP('Données projet'!$B$18,Paramètres!$A$1:$I$89,3,0)*0.475*44/12</f>
        <v>0</v>
      </c>
      <c r="HH164" s="23">
        <f>EXP(-LN(2)/25)*HH163+(1-EXP(-LN(2)/25))/(LN(2)/25)*Calculateur!HC164*Calculateur!HE164*VLOOKUP('Données projet'!$B$18,Paramètres!$A$1:$I$89,3,0)*0.475*44/12</f>
        <v>0</v>
      </c>
      <c r="HI164" s="23">
        <f>EXP(-LN(2)/2)*HI163+(1-EXP(-LN(2)/2))/(LN(2)/2)*HC164*HF164*VLOOKUP('Données projet'!$B$18,Paramètres!$A$1:$I$89,3,0)*0.475*44/12</f>
        <v>0</v>
      </c>
      <c r="HJ164" s="24">
        <f t="shared" si="190"/>
        <v>0</v>
      </c>
    </row>
    <row r="165" spans="1:218" x14ac:dyDescent="0.25">
      <c r="A165" s="11">
        <f t="shared" si="161"/>
        <v>162</v>
      </c>
      <c r="B165" s="75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8">
        <f t="shared" si="110"/>
        <v>183.33333333333334</v>
      </c>
      <c r="I165" s="7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-1.1368683772161603E-13</v>
      </c>
      <c r="O165" s="14">
        <f>N165*VLOOKUP('Données projet'!$B$9,Paramètres!$A$1:$I$89,3,0)*VLOOKUP('Données projet'!$B$9,Paramètres!$A$1:$I$89,5,0)</f>
        <v>-1.0286385077051818E-13</v>
      </c>
      <c r="P165" s="14" t="e">
        <f t="shared" si="141"/>
        <v>#NUM!</v>
      </c>
      <c r="Q165" s="22" t="e">
        <f t="shared" si="162"/>
        <v>#NUM!</v>
      </c>
      <c r="R165" s="60" t="e">
        <f t="shared" si="109"/>
        <v>#NUM!</v>
      </c>
      <c r="S165" s="60">
        <f ca="1">AVERAGE(OFFSET($R$3,0,0,'Données projet'!$E$9+1,1))-AVERAGE(OFFSET($H$3,0,0,'Données projet'!$E$9+1,1))</f>
        <v>570.08763950759544</v>
      </c>
      <c r="T165" s="60">
        <f t="shared" si="142"/>
        <v>297.32483725004136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-5.6843418860808015E-14</v>
      </c>
      <c r="AJ165" s="14">
        <f>AI165*VLOOKUP('Données projet'!$B$10,Paramètres!$A$1:$I$89,3,0)*VLOOKUP('Données projet'!$B$10,Paramètres!$A$1:$I$89,5,0)</f>
        <v>-4.5224624045658861E-14</v>
      </c>
      <c r="AK165" s="14" t="e">
        <f t="shared" si="164"/>
        <v>#NUM!</v>
      </c>
      <c r="AL165" s="22" t="e">
        <f t="shared" si="165"/>
        <v>#NUM!</v>
      </c>
      <c r="AM165" s="60" t="e">
        <f t="shared" si="113"/>
        <v>#NUM!</v>
      </c>
      <c r="AN165" s="60">
        <f ca="1">AVERAGE(OFFSET($AM$3,0,0,'Données projet'!$E$10+1,1))-AVERAGE(OFFSET($H$3,0,0,'Données projet'!$E$10+1,1))</f>
        <v>394.49874384716014</v>
      </c>
      <c r="AO165" s="60">
        <f t="shared" si="144"/>
        <v>423.72519584013378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3.4106051316484809E-13</v>
      </c>
      <c r="BE165" s="14">
        <f>BD165*VLOOKUP('Données projet'!$B$11,Paramètres!$A$1:$I$89,3,0)*VLOOKUP('Données projet'!$B$11,Paramètres!$A$1:$I$89,5,0)</f>
        <v>2.9795046430081134E-13</v>
      </c>
      <c r="BF165" s="14">
        <f t="shared" si="167"/>
        <v>3.9419014464513778E-12</v>
      </c>
      <c r="BG165" s="22">
        <f t="shared" si="168"/>
        <v>7.384408744560063E-12</v>
      </c>
      <c r="BH165" s="60">
        <f t="shared" si="116"/>
        <v>287.9508017985691</v>
      </c>
      <c r="BI165" s="60">
        <f ca="1">AVERAGE(OFFSET($BH$3,0,0,'Données projet'!$E$11+1,1))-AVERAGE(OFFSET($H$3,0,0,'Données projet'!$E$11+1,1))</f>
        <v>363.28611056308665</v>
      </c>
      <c r="BJ165" s="60">
        <f t="shared" si="146"/>
        <v>389.43647559455974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5.6843418860808015E-14</v>
      </c>
      <c r="BZ165" s="14">
        <f>BY165*VLOOKUP('Données projet'!$B$12,Paramètres!$A$1:$I$89,3,0)*VLOOKUP('Données projet'!$B$12,Paramètres!$A$1:$I$89,5,0)</f>
        <v>5.4092197387944907E-14</v>
      </c>
      <c r="CA165" s="14">
        <f t="shared" si="170"/>
        <v>8.7287050538073676E-13</v>
      </c>
      <c r="CB165" s="22">
        <f t="shared" si="171"/>
        <v>1.6144600406554537E-12</v>
      </c>
      <c r="CC165" s="60">
        <f t="shared" si="119"/>
        <v>287.9508017985633</v>
      </c>
      <c r="CD165" s="60">
        <f ca="1">AVERAGE(OFFSET($CC$3,0,0,'Données projet'!$E$12+1,1))-AVERAGE(OFFSET($H$3,0,0,'Données projet'!$E$12+1,1))</f>
        <v>441.15969139782891</v>
      </c>
      <c r="CE165" s="60">
        <f t="shared" si="148"/>
        <v>315.06466790224783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-5.6843418860808015E-14</v>
      </c>
      <c r="CU165" s="18">
        <f>CT165*VLOOKUP('Données projet'!$B$13,Paramètres!$A$1:$I$89,3,0)*VLOOKUP('Données projet'!$B$13,Paramètres!$A$1:$I$89,5,0)</f>
        <v>-4.1677594708744434E-14</v>
      </c>
      <c r="CV165" s="14" t="e">
        <f t="shared" si="173"/>
        <v>#NUM!</v>
      </c>
      <c r="CW165" s="22" t="e">
        <f t="shared" si="174"/>
        <v>#NUM!</v>
      </c>
      <c r="CX165" s="60" t="e">
        <f t="shared" si="122"/>
        <v>#NUM!</v>
      </c>
      <c r="CY165" s="60">
        <f ca="1">AVERAGE(OFFSET($CX$3,0,0,'Données projet'!$E$13+1,1))-AVERAGE(OFFSET($H$3,0,0,'Données projet'!$E$13+1,1))</f>
        <v>368.35775920359396</v>
      </c>
      <c r="CZ165" s="60">
        <f t="shared" si="150"/>
        <v>395.5218438652638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1.1368683772161603E-13</v>
      </c>
      <c r="DP165" s="18">
        <f>DO165*VLOOKUP('Données projet'!$B$14,Paramètres!$A$1:$I$89,3,0)*VLOOKUP('Données projet'!$B$14,Paramètres!$A$1:$I$89,5,0)</f>
        <v>8.8675733422860506E-14</v>
      </c>
      <c r="DQ165" s="14">
        <f t="shared" si="176"/>
        <v>1.3509285393066301E-12</v>
      </c>
      <c r="DR165" s="22">
        <f t="shared" si="177"/>
        <v>2.5073107750038623E-12</v>
      </c>
      <c r="DS165" s="60">
        <f t="shared" si="125"/>
        <v>287.95080179856421</v>
      </c>
      <c r="DT165" s="60">
        <f ca="1">AVERAGE(OFFSET($DS$3,0,0,'Données projet'!$E$14+1,1))-AVERAGE(OFFSET($H$3,0,0,'Données projet'!$E$14+1,1))</f>
        <v>312.59632808777332</v>
      </c>
      <c r="DU165" s="60">
        <f t="shared" si="152"/>
        <v>302.59481222418219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0</v>
      </c>
      <c r="EE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-1.1368683772161603E-13</v>
      </c>
      <c r="EK165" s="18">
        <f>EJ165*VLOOKUP('Données projet'!$B$15,Paramètres!$A$1:$I$89,3,0)*VLOOKUP('Données projet'!$B$15,Paramètres!$A$1:$I$89,5,0)</f>
        <v>-9.7543306765146564E-14</v>
      </c>
      <c r="EL165" s="14" t="e">
        <f t="shared" si="179"/>
        <v>#NUM!</v>
      </c>
      <c r="EM165" s="22" t="e">
        <f t="shared" si="180"/>
        <v>#NUM!</v>
      </c>
      <c r="EN165" s="60" t="e">
        <f t="shared" si="128"/>
        <v>#NUM!</v>
      </c>
      <c r="EO165" s="60">
        <f ca="1">AVERAGE(OFFSET($EN$3,0,0,'Données projet'!$E$15+1,1))-AVERAGE(OFFSET($H$3,0,0,'Données projet'!$E$15+1,1))</f>
        <v>478.11504516179713</v>
      </c>
      <c r="EP165" s="60">
        <f t="shared" si="154"/>
        <v>249.93713224442419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0</v>
      </c>
      <c r="EW165" s="23">
        <f>EXP(-LN(2)/25)*EW164+(1-EXP(-LN(2)/25))/(LN(2)/25)*Calculateur!ER165*Calculateur!ET165*VLOOKUP('Données projet'!$B$15,Paramètres!$A$1:$I$89,3,0)*0.475*44/12</f>
        <v>0</v>
      </c>
      <c r="EX165" s="23">
        <f>EXP(-LN(2)/2)*EX164+(1-EXP(-LN(2)/2))/(LN(2)/2)*ER165*EU165*VLOOKUP('Données projet'!$B$15,Paramètres!$A$1:$I$89,3,0)*0.475*44/12</f>
        <v>0</v>
      </c>
      <c r="EY165" s="24">
        <f t="shared" si="181"/>
        <v>0</v>
      </c>
      <c r="EZ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-1.1368683772161603E-13</v>
      </c>
      <c r="FF165" s="18">
        <f>FE165*VLOOKUP('Données projet'!$B$16,Paramètres!$A$1:$I$89,3,0)*VLOOKUP('Données projet'!$B$16,Paramètres!$A$1:$I$89,5,0)</f>
        <v>-1.0995790944434703E-13</v>
      </c>
      <c r="FG165" s="14" t="e">
        <f t="shared" si="182"/>
        <v>#NUM!</v>
      </c>
      <c r="FH165" s="22" t="e">
        <f t="shared" si="183"/>
        <v>#NUM!</v>
      </c>
      <c r="FI165" s="60" t="e">
        <f t="shared" si="131"/>
        <v>#NUM!</v>
      </c>
      <c r="FJ165" s="60">
        <f ca="1">AVERAGE(OFFSET($FI$3,0,0,'Données projet'!$E$16+1,1))-AVERAGE(OFFSET($H$3,0,0,'Données projet'!$E$16+1,1))</f>
        <v>603.52431522262032</v>
      </c>
      <c r="FK165" s="60">
        <f t="shared" si="156"/>
        <v>313.56299786481338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>
        <f>EXP(-LN(2)/35)*FQ164+(1-EXP(-LN(2)/35))/(LN(2)/35)*FM165*FN165*VLOOKUP('Données projet'!$B$16,Paramètres!$A$1:$I$89,3,0)*0.475*44/12</f>
        <v>0</v>
      </c>
      <c r="FR165" s="23">
        <f>EXP(-LN(2)/25)*FR164+(1-EXP(-LN(2)/25))/(LN(2)/25)*Calculateur!FM165*Calculateur!FO165*VLOOKUP('Données projet'!$B$16,Paramètres!$A$1:$I$89,3,0)*0.475*44/12</f>
        <v>0</v>
      </c>
      <c r="FS165" s="23">
        <f>EXP(-LN(2)/2)*FS164+(1-EXP(-LN(2)/2))/(LN(2)/2)*FM165*FP165*VLOOKUP('Données projet'!$B$16,Paramètres!$A$1:$I$89,3,0)*0.475*44/12</f>
        <v>0</v>
      </c>
      <c r="FT165" s="24">
        <f t="shared" si="184"/>
        <v>0</v>
      </c>
      <c r="FU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>
        <f>FZ165*VLOOKUP('Données projet'!$B$17,Paramètres!$A$1:$I$89,3,0)*VLOOKUP('Données projet'!$B$17,Paramètres!$A$1:$I$89,5,0)</f>
        <v>0</v>
      </c>
      <c r="GB165" s="14" t="e">
        <f t="shared" si="185"/>
        <v>#NUM!</v>
      </c>
      <c r="GC165" s="22" t="e">
        <f t="shared" si="186"/>
        <v>#NUM!</v>
      </c>
      <c r="GD165" s="60" t="e">
        <f t="shared" si="134"/>
        <v>#NUM!</v>
      </c>
      <c r="GE165" s="60">
        <f ca="1">AVERAGE(OFFSET($GD$3,0,0,'Données projet'!$E$17+1,1))-AVERAGE(OFFSET($H$3,0,0,'Données projet'!$E$17+1,1))</f>
        <v>396.0878652679051</v>
      </c>
      <c r="GF165" s="60">
        <f t="shared" si="158"/>
        <v>327.26339199235406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>
        <f>EXP(-LN(2)/35)*GL164+(1-EXP(-LN(2)/35))/(LN(2)/35)*GH165*GI165*VLOOKUP('Données projet'!$B$17,Paramètres!$A$1:$I$89,3,0)*0.475*44/12</f>
        <v>0</v>
      </c>
      <c r="GM165" s="23">
        <f>EXP(-LN(2)/25)*GM164+(1-EXP(-LN(2)/25))/(LN(2)/25)*Calculateur!GH165*Calculateur!GJ165*VLOOKUP('Données projet'!$B$17,Paramètres!$A$1:$I$89,3,0)*0.475*44/12</f>
        <v>0</v>
      </c>
      <c r="GN165" s="23">
        <f>EXP(-LN(2)/2)*GN164+(1-EXP(-LN(2)/2))/(LN(2)/2)*GH165*GK165*VLOOKUP('Données projet'!$B$17,Paramètres!$A$1:$I$89,3,0)*0.475*44/12</f>
        <v>0</v>
      </c>
      <c r="GO165" s="23">
        <f t="shared" si="187"/>
        <v>0</v>
      </c>
      <c r="GP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-1.1368683772161603E-13</v>
      </c>
      <c r="GV165" s="18">
        <f>GU165*VLOOKUP('Données projet'!$B$18,Paramètres!$A$1:$I$89,3,0)*VLOOKUP('Données projet'!$B$18,Paramètres!$A$1:$I$89,5,0)</f>
        <v>-9.2222762759774927E-14</v>
      </c>
      <c r="GW165" s="14" t="e">
        <f t="shared" si="188"/>
        <v>#NUM!</v>
      </c>
      <c r="GX165" s="22" t="e">
        <f t="shared" si="189"/>
        <v>#NUM!</v>
      </c>
      <c r="GY165" s="60" t="e">
        <f t="shared" si="137"/>
        <v>#NUM!</v>
      </c>
      <c r="GZ165" s="60">
        <f ca="1">AVERAGE(OFFSET($GY$3,0,0,'Données projet'!$E$18+1,1))-AVERAGE(OFFSET($H$3,0,0,'Données projet'!$E$18+1,1))</f>
        <v>272.69564942740931</v>
      </c>
      <c r="HA165" s="60">
        <f t="shared" si="160"/>
        <v>316.57989180609252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>
        <f>EXP(-LN(2)/35)*HG164+(1-EXP(-LN(2)/35))/(LN(2)/35)*HC165*HD165*VLOOKUP('Données projet'!$B$18,Paramètres!$A$1:$I$89,3,0)*0.475*44/12</f>
        <v>0</v>
      </c>
      <c r="HH165" s="23">
        <f>EXP(-LN(2)/25)*HH164+(1-EXP(-LN(2)/25))/(LN(2)/25)*Calculateur!HC165*Calculateur!HE165*VLOOKUP('Données projet'!$B$18,Paramètres!$A$1:$I$89,3,0)*0.475*44/12</f>
        <v>0</v>
      </c>
      <c r="HI165" s="23">
        <f>EXP(-LN(2)/2)*HI164+(1-EXP(-LN(2)/2))/(LN(2)/2)*HC165*HF165*VLOOKUP('Données projet'!$B$18,Paramètres!$A$1:$I$89,3,0)*0.475*44/12</f>
        <v>0</v>
      </c>
      <c r="HJ165" s="24">
        <f t="shared" si="190"/>
        <v>0</v>
      </c>
    </row>
    <row r="166" spans="1:218" x14ac:dyDescent="0.25">
      <c r="A166" s="11">
        <f t="shared" si="161"/>
        <v>163</v>
      </c>
      <c r="B166" s="75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8">
        <f t="shared" si="110"/>
        <v>183.33333333333334</v>
      </c>
      <c r="I166" s="7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-1.1368683772161603E-13</v>
      </c>
      <c r="O166" s="14">
        <f>N166*VLOOKUP('Données projet'!$B$9,Paramètres!$A$1:$I$89,3,0)*VLOOKUP('Données projet'!$B$9,Paramètres!$A$1:$I$89,5,0)</f>
        <v>-1.0286385077051818E-13</v>
      </c>
      <c r="P166" s="14" t="e">
        <f t="shared" si="141"/>
        <v>#NUM!</v>
      </c>
      <c r="Q166" s="22" t="e">
        <f t="shared" si="162"/>
        <v>#NUM!</v>
      </c>
      <c r="R166" s="60" t="e">
        <f t="shared" si="109"/>
        <v>#NUM!</v>
      </c>
      <c r="S166" s="60">
        <f ca="1">AVERAGE(OFFSET($R$3,0,0,'Données projet'!$E$9+1,1))-AVERAGE(OFFSET($H$3,0,0,'Données projet'!$E$9+1,1))</f>
        <v>570.08763950759544</v>
      </c>
      <c r="T166" s="60">
        <f t="shared" si="142"/>
        <v>297.32483725004136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-5.6843418860808015E-14</v>
      </c>
      <c r="AJ166" s="14">
        <f>AI166*VLOOKUP('Données projet'!$B$10,Paramètres!$A$1:$I$89,3,0)*VLOOKUP('Données projet'!$B$10,Paramètres!$A$1:$I$89,5,0)</f>
        <v>-4.5224624045658861E-14</v>
      </c>
      <c r="AK166" s="14" t="e">
        <f t="shared" si="164"/>
        <v>#NUM!</v>
      </c>
      <c r="AL166" s="22" t="e">
        <f t="shared" si="165"/>
        <v>#NUM!</v>
      </c>
      <c r="AM166" s="60" t="e">
        <f t="shared" si="113"/>
        <v>#NUM!</v>
      </c>
      <c r="AN166" s="60">
        <f ca="1">AVERAGE(OFFSET($AM$3,0,0,'Données projet'!$E$10+1,1))-AVERAGE(OFFSET($H$3,0,0,'Données projet'!$E$10+1,1))</f>
        <v>394.49874384716014</v>
      </c>
      <c r="AO166" s="60">
        <f t="shared" si="144"/>
        <v>423.72519584013378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3.4106051316484809E-13</v>
      </c>
      <c r="BE166" s="14">
        <f>BD166*VLOOKUP('Données projet'!$B$11,Paramètres!$A$1:$I$89,3,0)*VLOOKUP('Données projet'!$B$11,Paramètres!$A$1:$I$89,5,0)</f>
        <v>2.9795046430081134E-13</v>
      </c>
      <c r="BF166" s="14">
        <f t="shared" si="167"/>
        <v>3.9419014464513778E-12</v>
      </c>
      <c r="BG166" s="22">
        <f t="shared" si="168"/>
        <v>7.384408744560063E-12</v>
      </c>
      <c r="BH166" s="60">
        <f t="shared" si="116"/>
        <v>288.04417668715962</v>
      </c>
      <c r="BI166" s="60">
        <f ca="1">AVERAGE(OFFSET($BH$3,0,0,'Données projet'!$E$11+1,1))-AVERAGE(OFFSET($H$3,0,0,'Données projet'!$E$11+1,1))</f>
        <v>363.28611056308665</v>
      </c>
      <c r="BJ166" s="60">
        <f t="shared" si="146"/>
        <v>389.43647559455974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5.6843418860808015E-14</v>
      </c>
      <c r="BZ166" s="14">
        <f>BY166*VLOOKUP('Données projet'!$B$12,Paramètres!$A$1:$I$89,3,0)*VLOOKUP('Données projet'!$B$12,Paramètres!$A$1:$I$89,5,0)</f>
        <v>5.4092197387944907E-14</v>
      </c>
      <c r="CA166" s="14">
        <f t="shared" si="170"/>
        <v>8.7287050538073676E-13</v>
      </c>
      <c r="CB166" s="22">
        <f t="shared" si="171"/>
        <v>1.6144600406554537E-12</v>
      </c>
      <c r="CC166" s="60">
        <f t="shared" si="119"/>
        <v>288.04417668715382</v>
      </c>
      <c r="CD166" s="60">
        <f ca="1">AVERAGE(OFFSET($CC$3,0,0,'Données projet'!$E$12+1,1))-AVERAGE(OFFSET($H$3,0,0,'Données projet'!$E$12+1,1))</f>
        <v>441.15969139782891</v>
      </c>
      <c r="CE166" s="60">
        <f t="shared" si="148"/>
        <v>315.06466790224783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-5.6843418860808015E-14</v>
      </c>
      <c r="CU166" s="18">
        <f>CT166*VLOOKUP('Données projet'!$B$13,Paramètres!$A$1:$I$89,3,0)*VLOOKUP('Données projet'!$B$13,Paramètres!$A$1:$I$89,5,0)</f>
        <v>-4.1677594708744434E-14</v>
      </c>
      <c r="CV166" s="14" t="e">
        <f t="shared" si="173"/>
        <v>#NUM!</v>
      </c>
      <c r="CW166" s="22" t="e">
        <f t="shared" si="174"/>
        <v>#NUM!</v>
      </c>
      <c r="CX166" s="60" t="e">
        <f t="shared" si="122"/>
        <v>#NUM!</v>
      </c>
      <c r="CY166" s="60">
        <f ca="1">AVERAGE(OFFSET($CX$3,0,0,'Données projet'!$E$13+1,1))-AVERAGE(OFFSET($H$3,0,0,'Données projet'!$E$13+1,1))</f>
        <v>368.35775920359396</v>
      </c>
      <c r="CZ166" s="60">
        <f t="shared" si="150"/>
        <v>395.5218438652638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1.1368683772161603E-13</v>
      </c>
      <c r="DP166" s="18">
        <f>DO166*VLOOKUP('Données projet'!$B$14,Paramètres!$A$1:$I$89,3,0)*VLOOKUP('Données projet'!$B$14,Paramètres!$A$1:$I$89,5,0)</f>
        <v>8.8675733422860506E-14</v>
      </c>
      <c r="DQ166" s="14">
        <f t="shared" si="176"/>
        <v>1.3509285393066301E-12</v>
      </c>
      <c r="DR166" s="22">
        <f t="shared" si="177"/>
        <v>2.5073107750038623E-12</v>
      </c>
      <c r="DS166" s="60">
        <f t="shared" si="125"/>
        <v>288.04417668715473</v>
      </c>
      <c r="DT166" s="60">
        <f ca="1">AVERAGE(OFFSET($DS$3,0,0,'Données projet'!$E$14+1,1))-AVERAGE(OFFSET($H$3,0,0,'Données projet'!$E$14+1,1))</f>
        <v>312.59632808777332</v>
      </c>
      <c r="DU166" s="60">
        <f t="shared" si="152"/>
        <v>302.59481222418219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0</v>
      </c>
      <c r="EE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-1.1368683772161603E-13</v>
      </c>
      <c r="EK166" s="18">
        <f>EJ166*VLOOKUP('Données projet'!$B$15,Paramètres!$A$1:$I$89,3,0)*VLOOKUP('Données projet'!$B$15,Paramètres!$A$1:$I$89,5,0)</f>
        <v>-9.7543306765146564E-14</v>
      </c>
      <c r="EL166" s="14" t="e">
        <f t="shared" si="179"/>
        <v>#NUM!</v>
      </c>
      <c r="EM166" s="22" t="e">
        <f t="shared" si="180"/>
        <v>#NUM!</v>
      </c>
      <c r="EN166" s="60" t="e">
        <f t="shared" si="128"/>
        <v>#NUM!</v>
      </c>
      <c r="EO166" s="60">
        <f ca="1">AVERAGE(OFFSET($EN$3,0,0,'Données projet'!$E$15+1,1))-AVERAGE(OFFSET($H$3,0,0,'Données projet'!$E$15+1,1))</f>
        <v>478.11504516179713</v>
      </c>
      <c r="EP166" s="60">
        <f t="shared" si="154"/>
        <v>249.93713224442419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0</v>
      </c>
      <c r="EW166" s="23">
        <f>EXP(-LN(2)/25)*EW165+(1-EXP(-LN(2)/25))/(LN(2)/25)*Calculateur!ER166*Calculateur!ET166*VLOOKUP('Données projet'!$B$15,Paramètres!$A$1:$I$89,3,0)*0.475*44/12</f>
        <v>0</v>
      </c>
      <c r="EX166" s="23">
        <f>EXP(-LN(2)/2)*EX165+(1-EXP(-LN(2)/2))/(LN(2)/2)*ER166*EU166*VLOOKUP('Données projet'!$B$15,Paramètres!$A$1:$I$89,3,0)*0.475*44/12</f>
        <v>0</v>
      </c>
      <c r="EY166" s="24">
        <f t="shared" si="181"/>
        <v>0</v>
      </c>
      <c r="EZ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-1.1368683772161603E-13</v>
      </c>
      <c r="FF166" s="18">
        <f>FE166*VLOOKUP('Données projet'!$B$16,Paramètres!$A$1:$I$89,3,0)*VLOOKUP('Données projet'!$B$16,Paramètres!$A$1:$I$89,5,0)</f>
        <v>-1.0995790944434703E-13</v>
      </c>
      <c r="FG166" s="14" t="e">
        <f t="shared" si="182"/>
        <v>#NUM!</v>
      </c>
      <c r="FH166" s="22" t="e">
        <f t="shared" si="183"/>
        <v>#NUM!</v>
      </c>
      <c r="FI166" s="60" t="e">
        <f t="shared" si="131"/>
        <v>#NUM!</v>
      </c>
      <c r="FJ166" s="60">
        <f ca="1">AVERAGE(OFFSET($FI$3,0,0,'Données projet'!$E$16+1,1))-AVERAGE(OFFSET($H$3,0,0,'Données projet'!$E$16+1,1))</f>
        <v>603.52431522262032</v>
      </c>
      <c r="FK166" s="60">
        <f t="shared" si="156"/>
        <v>313.56299786481338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>
        <f>EXP(-LN(2)/35)*FQ165+(1-EXP(-LN(2)/35))/(LN(2)/35)*FM166*FN166*VLOOKUP('Données projet'!$B$16,Paramètres!$A$1:$I$89,3,0)*0.475*44/12</f>
        <v>0</v>
      </c>
      <c r="FR166" s="23">
        <f>EXP(-LN(2)/25)*FR165+(1-EXP(-LN(2)/25))/(LN(2)/25)*Calculateur!FM166*Calculateur!FO166*VLOOKUP('Données projet'!$B$16,Paramètres!$A$1:$I$89,3,0)*0.475*44/12</f>
        <v>0</v>
      </c>
      <c r="FS166" s="23">
        <f>EXP(-LN(2)/2)*FS165+(1-EXP(-LN(2)/2))/(LN(2)/2)*FM166*FP166*VLOOKUP('Données projet'!$B$16,Paramètres!$A$1:$I$89,3,0)*0.475*44/12</f>
        <v>0</v>
      </c>
      <c r="FT166" s="24">
        <f t="shared" si="184"/>
        <v>0</v>
      </c>
      <c r="FU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>
        <f>FZ166*VLOOKUP('Données projet'!$B$17,Paramètres!$A$1:$I$89,3,0)*VLOOKUP('Données projet'!$B$17,Paramètres!$A$1:$I$89,5,0)</f>
        <v>0</v>
      </c>
      <c r="GB166" s="14" t="e">
        <f t="shared" si="185"/>
        <v>#NUM!</v>
      </c>
      <c r="GC166" s="22" t="e">
        <f t="shared" si="186"/>
        <v>#NUM!</v>
      </c>
      <c r="GD166" s="60" t="e">
        <f t="shared" si="134"/>
        <v>#NUM!</v>
      </c>
      <c r="GE166" s="60">
        <f ca="1">AVERAGE(OFFSET($GD$3,0,0,'Données projet'!$E$17+1,1))-AVERAGE(OFFSET($H$3,0,0,'Données projet'!$E$17+1,1))</f>
        <v>396.0878652679051</v>
      </c>
      <c r="GF166" s="60">
        <f t="shared" si="158"/>
        <v>327.26339199235406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>
        <f>EXP(-LN(2)/35)*GL165+(1-EXP(-LN(2)/35))/(LN(2)/35)*GH166*GI166*VLOOKUP('Données projet'!$B$17,Paramètres!$A$1:$I$89,3,0)*0.475*44/12</f>
        <v>0</v>
      </c>
      <c r="GM166" s="23">
        <f>EXP(-LN(2)/25)*GM165+(1-EXP(-LN(2)/25))/(LN(2)/25)*Calculateur!GH166*Calculateur!GJ166*VLOOKUP('Données projet'!$B$17,Paramètres!$A$1:$I$89,3,0)*0.475*44/12</f>
        <v>0</v>
      </c>
      <c r="GN166" s="23">
        <f>EXP(-LN(2)/2)*GN165+(1-EXP(-LN(2)/2))/(LN(2)/2)*GH166*GK166*VLOOKUP('Données projet'!$B$17,Paramètres!$A$1:$I$89,3,0)*0.475*44/12</f>
        <v>0</v>
      </c>
      <c r="GO166" s="23">
        <f t="shared" si="187"/>
        <v>0</v>
      </c>
      <c r="GP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-1.1368683772161603E-13</v>
      </c>
      <c r="GV166" s="18">
        <f>GU166*VLOOKUP('Données projet'!$B$18,Paramètres!$A$1:$I$89,3,0)*VLOOKUP('Données projet'!$B$18,Paramètres!$A$1:$I$89,5,0)</f>
        <v>-9.2222762759774927E-14</v>
      </c>
      <c r="GW166" s="14" t="e">
        <f t="shared" si="188"/>
        <v>#NUM!</v>
      </c>
      <c r="GX166" s="22" t="e">
        <f t="shared" si="189"/>
        <v>#NUM!</v>
      </c>
      <c r="GY166" s="60" t="e">
        <f t="shared" si="137"/>
        <v>#NUM!</v>
      </c>
      <c r="GZ166" s="60">
        <f ca="1">AVERAGE(OFFSET($GY$3,0,0,'Données projet'!$E$18+1,1))-AVERAGE(OFFSET($H$3,0,0,'Données projet'!$E$18+1,1))</f>
        <v>272.69564942740931</v>
      </c>
      <c r="HA166" s="60">
        <f t="shared" si="160"/>
        <v>316.57989180609252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>
        <f>EXP(-LN(2)/35)*HG165+(1-EXP(-LN(2)/35))/(LN(2)/35)*HC166*HD166*VLOOKUP('Données projet'!$B$18,Paramètres!$A$1:$I$89,3,0)*0.475*44/12</f>
        <v>0</v>
      </c>
      <c r="HH166" s="23">
        <f>EXP(-LN(2)/25)*HH165+(1-EXP(-LN(2)/25))/(LN(2)/25)*Calculateur!HC166*Calculateur!HE166*VLOOKUP('Données projet'!$B$18,Paramètres!$A$1:$I$89,3,0)*0.475*44/12</f>
        <v>0</v>
      </c>
      <c r="HI166" s="23">
        <f>EXP(-LN(2)/2)*HI165+(1-EXP(-LN(2)/2))/(LN(2)/2)*HC166*HF166*VLOOKUP('Données projet'!$B$18,Paramètres!$A$1:$I$89,3,0)*0.475*44/12</f>
        <v>0</v>
      </c>
      <c r="HJ166" s="24">
        <f t="shared" si="190"/>
        <v>0</v>
      </c>
    </row>
    <row r="167" spans="1:218" x14ac:dyDescent="0.25">
      <c r="A167" s="11">
        <f t="shared" si="161"/>
        <v>164</v>
      </c>
      <c r="B167" s="75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8">
        <f t="shared" si="110"/>
        <v>183.33333333333334</v>
      </c>
      <c r="I167" s="7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-1.1368683772161603E-13</v>
      </c>
      <c r="O167" s="14">
        <f>N167*VLOOKUP('Données projet'!$B$9,Paramètres!$A$1:$I$89,3,0)*VLOOKUP('Données projet'!$B$9,Paramètres!$A$1:$I$89,5,0)</f>
        <v>-1.0286385077051818E-13</v>
      </c>
      <c r="P167" s="14" t="e">
        <f t="shared" si="141"/>
        <v>#NUM!</v>
      </c>
      <c r="Q167" s="22" t="e">
        <f t="shared" si="162"/>
        <v>#NUM!</v>
      </c>
      <c r="R167" s="60" t="e">
        <f t="shared" si="109"/>
        <v>#NUM!</v>
      </c>
      <c r="S167" s="60">
        <f ca="1">AVERAGE(OFFSET($R$3,0,0,'Données projet'!$E$9+1,1))-AVERAGE(OFFSET($H$3,0,0,'Données projet'!$E$9+1,1))</f>
        <v>570.08763950759544</v>
      </c>
      <c r="T167" s="60">
        <f t="shared" si="142"/>
        <v>297.32483725004136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-5.6843418860808015E-14</v>
      </c>
      <c r="AJ167" s="14">
        <f>AI167*VLOOKUP('Données projet'!$B$10,Paramètres!$A$1:$I$89,3,0)*VLOOKUP('Données projet'!$B$10,Paramètres!$A$1:$I$89,5,0)</f>
        <v>-4.5224624045658861E-14</v>
      </c>
      <c r="AK167" s="14" t="e">
        <f t="shared" si="164"/>
        <v>#NUM!</v>
      </c>
      <c r="AL167" s="22" t="e">
        <f t="shared" si="165"/>
        <v>#NUM!</v>
      </c>
      <c r="AM167" s="60" t="e">
        <f t="shared" si="113"/>
        <v>#NUM!</v>
      </c>
      <c r="AN167" s="60">
        <f ca="1">AVERAGE(OFFSET($AM$3,0,0,'Données projet'!$E$10+1,1))-AVERAGE(OFFSET($H$3,0,0,'Données projet'!$E$10+1,1))</f>
        <v>394.49874384716014</v>
      </c>
      <c r="AO167" s="60">
        <f t="shared" si="144"/>
        <v>423.72519584013378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3.4106051316484809E-13</v>
      </c>
      <c r="BE167" s="14">
        <f>BD167*VLOOKUP('Données projet'!$B$11,Paramètres!$A$1:$I$89,3,0)*VLOOKUP('Données projet'!$B$11,Paramètres!$A$1:$I$89,5,0)</f>
        <v>2.9795046430081134E-13</v>
      </c>
      <c r="BF167" s="14">
        <f t="shared" si="167"/>
        <v>3.9419014464513778E-12</v>
      </c>
      <c r="BG167" s="22">
        <f t="shared" si="168"/>
        <v>7.384408744560063E-12</v>
      </c>
      <c r="BH167" s="60">
        <f t="shared" si="116"/>
        <v>288.13593173018808</v>
      </c>
      <c r="BI167" s="60">
        <f ca="1">AVERAGE(OFFSET($BH$3,0,0,'Données projet'!$E$11+1,1))-AVERAGE(OFFSET($H$3,0,0,'Données projet'!$E$11+1,1))</f>
        <v>363.28611056308665</v>
      </c>
      <c r="BJ167" s="60">
        <f t="shared" si="146"/>
        <v>389.43647559455974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5.6843418860808015E-14</v>
      </c>
      <c r="BZ167" s="14">
        <f>BY167*VLOOKUP('Données projet'!$B$12,Paramètres!$A$1:$I$89,3,0)*VLOOKUP('Données projet'!$B$12,Paramètres!$A$1:$I$89,5,0)</f>
        <v>5.4092197387944907E-14</v>
      </c>
      <c r="CA167" s="14">
        <f t="shared" si="170"/>
        <v>8.7287050538073676E-13</v>
      </c>
      <c r="CB167" s="22">
        <f t="shared" si="171"/>
        <v>1.6144600406554537E-12</v>
      </c>
      <c r="CC167" s="60">
        <f t="shared" si="119"/>
        <v>288.13593173018228</v>
      </c>
      <c r="CD167" s="60">
        <f ca="1">AVERAGE(OFFSET($CC$3,0,0,'Données projet'!$E$12+1,1))-AVERAGE(OFFSET($H$3,0,0,'Données projet'!$E$12+1,1))</f>
        <v>441.15969139782891</v>
      </c>
      <c r="CE167" s="60">
        <f t="shared" si="148"/>
        <v>315.06466790224783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-5.6843418860808015E-14</v>
      </c>
      <c r="CU167" s="18">
        <f>CT167*VLOOKUP('Données projet'!$B$13,Paramètres!$A$1:$I$89,3,0)*VLOOKUP('Données projet'!$B$13,Paramètres!$A$1:$I$89,5,0)</f>
        <v>-4.1677594708744434E-14</v>
      </c>
      <c r="CV167" s="14" t="e">
        <f t="shared" si="173"/>
        <v>#NUM!</v>
      </c>
      <c r="CW167" s="22" t="e">
        <f t="shared" si="174"/>
        <v>#NUM!</v>
      </c>
      <c r="CX167" s="60" t="e">
        <f t="shared" si="122"/>
        <v>#NUM!</v>
      </c>
      <c r="CY167" s="60">
        <f ca="1">AVERAGE(OFFSET($CX$3,0,0,'Données projet'!$E$13+1,1))-AVERAGE(OFFSET($H$3,0,0,'Données projet'!$E$13+1,1))</f>
        <v>368.35775920359396</v>
      </c>
      <c r="CZ167" s="60">
        <f t="shared" si="150"/>
        <v>395.5218438652638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1.1368683772161603E-13</v>
      </c>
      <c r="DP167" s="18">
        <f>DO167*VLOOKUP('Données projet'!$B$14,Paramètres!$A$1:$I$89,3,0)*VLOOKUP('Données projet'!$B$14,Paramètres!$A$1:$I$89,5,0)</f>
        <v>8.8675733422860506E-14</v>
      </c>
      <c r="DQ167" s="14">
        <f t="shared" si="176"/>
        <v>1.3509285393066301E-12</v>
      </c>
      <c r="DR167" s="22">
        <f t="shared" si="177"/>
        <v>2.5073107750038623E-12</v>
      </c>
      <c r="DS167" s="60">
        <f t="shared" si="125"/>
        <v>288.13593173018319</v>
      </c>
      <c r="DT167" s="60">
        <f ca="1">AVERAGE(OFFSET($DS$3,0,0,'Données projet'!$E$14+1,1))-AVERAGE(OFFSET($H$3,0,0,'Données projet'!$E$14+1,1))</f>
        <v>312.59632808777332</v>
      </c>
      <c r="DU167" s="60">
        <f t="shared" si="152"/>
        <v>302.59481222418219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0</v>
      </c>
      <c r="EE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-1.1368683772161603E-13</v>
      </c>
      <c r="EK167" s="18">
        <f>EJ167*VLOOKUP('Données projet'!$B$15,Paramètres!$A$1:$I$89,3,0)*VLOOKUP('Données projet'!$B$15,Paramètres!$A$1:$I$89,5,0)</f>
        <v>-9.7543306765146564E-14</v>
      </c>
      <c r="EL167" s="14" t="e">
        <f t="shared" si="179"/>
        <v>#NUM!</v>
      </c>
      <c r="EM167" s="22" t="e">
        <f t="shared" si="180"/>
        <v>#NUM!</v>
      </c>
      <c r="EN167" s="60" t="e">
        <f t="shared" si="128"/>
        <v>#NUM!</v>
      </c>
      <c r="EO167" s="60">
        <f ca="1">AVERAGE(OFFSET($EN$3,0,0,'Données projet'!$E$15+1,1))-AVERAGE(OFFSET($H$3,0,0,'Données projet'!$E$15+1,1))</f>
        <v>478.11504516179713</v>
      </c>
      <c r="EP167" s="60">
        <f t="shared" si="154"/>
        <v>249.93713224442419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0</v>
      </c>
      <c r="EW167" s="23">
        <f>EXP(-LN(2)/25)*EW166+(1-EXP(-LN(2)/25))/(LN(2)/25)*Calculateur!ER167*Calculateur!ET167*VLOOKUP('Données projet'!$B$15,Paramètres!$A$1:$I$89,3,0)*0.475*44/12</f>
        <v>0</v>
      </c>
      <c r="EX167" s="23">
        <f>EXP(-LN(2)/2)*EX166+(1-EXP(-LN(2)/2))/(LN(2)/2)*ER167*EU167*VLOOKUP('Données projet'!$B$15,Paramètres!$A$1:$I$89,3,0)*0.475*44/12</f>
        <v>0</v>
      </c>
      <c r="EY167" s="24">
        <f t="shared" si="181"/>
        <v>0</v>
      </c>
      <c r="EZ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-1.1368683772161603E-13</v>
      </c>
      <c r="FF167" s="18">
        <f>FE167*VLOOKUP('Données projet'!$B$16,Paramètres!$A$1:$I$89,3,0)*VLOOKUP('Données projet'!$B$16,Paramètres!$A$1:$I$89,5,0)</f>
        <v>-1.0995790944434703E-13</v>
      </c>
      <c r="FG167" s="14" t="e">
        <f t="shared" si="182"/>
        <v>#NUM!</v>
      </c>
      <c r="FH167" s="22" t="e">
        <f t="shared" si="183"/>
        <v>#NUM!</v>
      </c>
      <c r="FI167" s="60" t="e">
        <f t="shared" si="131"/>
        <v>#NUM!</v>
      </c>
      <c r="FJ167" s="60">
        <f ca="1">AVERAGE(OFFSET($FI$3,0,0,'Données projet'!$E$16+1,1))-AVERAGE(OFFSET($H$3,0,0,'Données projet'!$E$16+1,1))</f>
        <v>603.52431522262032</v>
      </c>
      <c r="FK167" s="60">
        <f t="shared" si="156"/>
        <v>313.56299786481338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>
        <f>EXP(-LN(2)/35)*FQ166+(1-EXP(-LN(2)/35))/(LN(2)/35)*FM167*FN167*VLOOKUP('Données projet'!$B$16,Paramètres!$A$1:$I$89,3,0)*0.475*44/12</f>
        <v>0</v>
      </c>
      <c r="FR167" s="23">
        <f>EXP(-LN(2)/25)*FR166+(1-EXP(-LN(2)/25))/(LN(2)/25)*Calculateur!FM167*Calculateur!FO167*VLOOKUP('Données projet'!$B$16,Paramètres!$A$1:$I$89,3,0)*0.475*44/12</f>
        <v>0</v>
      </c>
      <c r="FS167" s="23">
        <f>EXP(-LN(2)/2)*FS166+(1-EXP(-LN(2)/2))/(LN(2)/2)*FM167*FP167*VLOOKUP('Données projet'!$B$16,Paramètres!$A$1:$I$89,3,0)*0.475*44/12</f>
        <v>0</v>
      </c>
      <c r="FT167" s="24">
        <f t="shared" si="184"/>
        <v>0</v>
      </c>
      <c r="FU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>
        <f>FZ167*VLOOKUP('Données projet'!$B$17,Paramètres!$A$1:$I$89,3,0)*VLOOKUP('Données projet'!$B$17,Paramètres!$A$1:$I$89,5,0)</f>
        <v>0</v>
      </c>
      <c r="GB167" s="14" t="e">
        <f t="shared" si="185"/>
        <v>#NUM!</v>
      </c>
      <c r="GC167" s="22" t="e">
        <f t="shared" si="186"/>
        <v>#NUM!</v>
      </c>
      <c r="GD167" s="60" t="e">
        <f t="shared" si="134"/>
        <v>#NUM!</v>
      </c>
      <c r="GE167" s="60">
        <f ca="1">AVERAGE(OFFSET($GD$3,0,0,'Données projet'!$E$17+1,1))-AVERAGE(OFFSET($H$3,0,0,'Données projet'!$E$17+1,1))</f>
        <v>396.0878652679051</v>
      </c>
      <c r="GF167" s="60">
        <f t="shared" si="158"/>
        <v>327.26339199235406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>
        <f>EXP(-LN(2)/35)*GL166+(1-EXP(-LN(2)/35))/(LN(2)/35)*GH167*GI167*VLOOKUP('Données projet'!$B$17,Paramètres!$A$1:$I$89,3,0)*0.475*44/12</f>
        <v>0</v>
      </c>
      <c r="GM167" s="23">
        <f>EXP(-LN(2)/25)*GM166+(1-EXP(-LN(2)/25))/(LN(2)/25)*Calculateur!GH167*Calculateur!GJ167*VLOOKUP('Données projet'!$B$17,Paramètres!$A$1:$I$89,3,0)*0.475*44/12</f>
        <v>0</v>
      </c>
      <c r="GN167" s="23">
        <f>EXP(-LN(2)/2)*GN166+(1-EXP(-LN(2)/2))/(LN(2)/2)*GH167*GK167*VLOOKUP('Données projet'!$B$17,Paramètres!$A$1:$I$89,3,0)*0.475*44/12</f>
        <v>0</v>
      </c>
      <c r="GO167" s="23">
        <f t="shared" si="187"/>
        <v>0</v>
      </c>
      <c r="GP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-1.1368683772161603E-13</v>
      </c>
      <c r="GV167" s="18">
        <f>GU167*VLOOKUP('Données projet'!$B$18,Paramètres!$A$1:$I$89,3,0)*VLOOKUP('Données projet'!$B$18,Paramètres!$A$1:$I$89,5,0)</f>
        <v>-9.2222762759774927E-14</v>
      </c>
      <c r="GW167" s="14" t="e">
        <f t="shared" si="188"/>
        <v>#NUM!</v>
      </c>
      <c r="GX167" s="22" t="e">
        <f t="shared" si="189"/>
        <v>#NUM!</v>
      </c>
      <c r="GY167" s="60" t="e">
        <f t="shared" si="137"/>
        <v>#NUM!</v>
      </c>
      <c r="GZ167" s="60">
        <f ca="1">AVERAGE(OFFSET($GY$3,0,0,'Données projet'!$E$18+1,1))-AVERAGE(OFFSET($H$3,0,0,'Données projet'!$E$18+1,1))</f>
        <v>272.69564942740931</v>
      </c>
      <c r="HA167" s="60">
        <f t="shared" si="160"/>
        <v>316.57989180609252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>
        <f>EXP(-LN(2)/35)*HG166+(1-EXP(-LN(2)/35))/(LN(2)/35)*HC167*HD167*VLOOKUP('Données projet'!$B$18,Paramètres!$A$1:$I$89,3,0)*0.475*44/12</f>
        <v>0</v>
      </c>
      <c r="HH167" s="23">
        <f>EXP(-LN(2)/25)*HH166+(1-EXP(-LN(2)/25))/(LN(2)/25)*Calculateur!HC167*Calculateur!HE167*VLOOKUP('Données projet'!$B$18,Paramètres!$A$1:$I$89,3,0)*0.475*44/12</f>
        <v>0</v>
      </c>
      <c r="HI167" s="23">
        <f>EXP(-LN(2)/2)*HI166+(1-EXP(-LN(2)/2))/(LN(2)/2)*HC167*HF167*VLOOKUP('Données projet'!$B$18,Paramètres!$A$1:$I$89,3,0)*0.475*44/12</f>
        <v>0</v>
      </c>
      <c r="HJ167" s="24">
        <f t="shared" si="190"/>
        <v>0</v>
      </c>
    </row>
    <row r="168" spans="1:218" x14ac:dyDescent="0.25">
      <c r="A168" s="11">
        <f t="shared" si="161"/>
        <v>165</v>
      </c>
      <c r="B168" s="75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8">
        <f t="shared" si="110"/>
        <v>183.33333333333334</v>
      </c>
      <c r="I168" s="7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-1.1368683772161603E-13</v>
      </c>
      <c r="O168" s="14">
        <f>N168*VLOOKUP('Données projet'!$B$9,Paramètres!$A$1:$I$89,3,0)*VLOOKUP('Données projet'!$B$9,Paramètres!$A$1:$I$89,5,0)</f>
        <v>-1.0286385077051818E-13</v>
      </c>
      <c r="P168" s="14" t="e">
        <f t="shared" si="141"/>
        <v>#NUM!</v>
      </c>
      <c r="Q168" s="22" t="e">
        <f t="shared" si="162"/>
        <v>#NUM!</v>
      </c>
      <c r="R168" s="60" t="e">
        <f t="shared" si="109"/>
        <v>#NUM!</v>
      </c>
      <c r="S168" s="60">
        <f ca="1">AVERAGE(OFFSET($R$3,0,0,'Données projet'!$E$9+1,1))-AVERAGE(OFFSET($H$3,0,0,'Données projet'!$E$9+1,1))</f>
        <v>570.08763950759544</v>
      </c>
      <c r="T168" s="60">
        <f t="shared" si="142"/>
        <v>297.32483725004136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-5.6843418860808015E-14</v>
      </c>
      <c r="AJ168" s="14">
        <f>AI168*VLOOKUP('Données projet'!$B$10,Paramètres!$A$1:$I$89,3,0)*VLOOKUP('Données projet'!$B$10,Paramètres!$A$1:$I$89,5,0)</f>
        <v>-4.5224624045658861E-14</v>
      </c>
      <c r="AK168" s="14" t="e">
        <f t="shared" si="164"/>
        <v>#NUM!</v>
      </c>
      <c r="AL168" s="22" t="e">
        <f t="shared" si="165"/>
        <v>#NUM!</v>
      </c>
      <c r="AM168" s="60" t="e">
        <f t="shared" si="113"/>
        <v>#NUM!</v>
      </c>
      <c r="AN168" s="60">
        <f ca="1">AVERAGE(OFFSET($AM$3,0,0,'Données projet'!$E$10+1,1))-AVERAGE(OFFSET($H$3,0,0,'Données projet'!$E$10+1,1))</f>
        <v>394.49874384716014</v>
      </c>
      <c r="AO168" s="60">
        <f t="shared" si="144"/>
        <v>423.72519584013378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3.4106051316484809E-13</v>
      </c>
      <c r="BE168" s="14">
        <f>BD168*VLOOKUP('Données projet'!$B$11,Paramètres!$A$1:$I$89,3,0)*VLOOKUP('Données projet'!$B$11,Paramètres!$A$1:$I$89,5,0)</f>
        <v>2.9795046430081134E-13</v>
      </c>
      <c r="BF168" s="14">
        <f t="shared" si="167"/>
        <v>3.9419014464513778E-12</v>
      </c>
      <c r="BG168" s="22">
        <f t="shared" si="168"/>
        <v>7.384408744560063E-12</v>
      </c>
      <c r="BH168" s="60">
        <f t="shared" si="116"/>
        <v>288.22609502835354</v>
      </c>
      <c r="BI168" s="60">
        <f ca="1">AVERAGE(OFFSET($BH$3,0,0,'Données projet'!$E$11+1,1))-AVERAGE(OFFSET($H$3,0,0,'Données projet'!$E$11+1,1))</f>
        <v>363.28611056308665</v>
      </c>
      <c r="BJ168" s="60">
        <f t="shared" si="146"/>
        <v>389.43647559455974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5.6843418860808015E-14</v>
      </c>
      <c r="BZ168" s="14">
        <f>BY168*VLOOKUP('Données projet'!$B$12,Paramètres!$A$1:$I$89,3,0)*VLOOKUP('Données projet'!$B$12,Paramètres!$A$1:$I$89,5,0)</f>
        <v>5.4092197387944907E-14</v>
      </c>
      <c r="CA168" s="14">
        <f t="shared" si="170"/>
        <v>8.7287050538073676E-13</v>
      </c>
      <c r="CB168" s="22">
        <f t="shared" si="171"/>
        <v>1.6144600406554537E-12</v>
      </c>
      <c r="CC168" s="60">
        <f t="shared" si="119"/>
        <v>288.22609502834774</v>
      </c>
      <c r="CD168" s="60">
        <f ca="1">AVERAGE(OFFSET($CC$3,0,0,'Données projet'!$E$12+1,1))-AVERAGE(OFFSET($H$3,0,0,'Données projet'!$E$12+1,1))</f>
        <v>441.15969139782891</v>
      </c>
      <c r="CE168" s="60">
        <f t="shared" si="148"/>
        <v>315.06466790224783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-5.6843418860808015E-14</v>
      </c>
      <c r="CU168" s="18">
        <f>CT168*VLOOKUP('Données projet'!$B$13,Paramètres!$A$1:$I$89,3,0)*VLOOKUP('Données projet'!$B$13,Paramètres!$A$1:$I$89,5,0)</f>
        <v>-4.1677594708744434E-14</v>
      </c>
      <c r="CV168" s="14" t="e">
        <f t="shared" si="173"/>
        <v>#NUM!</v>
      </c>
      <c r="CW168" s="22" t="e">
        <f t="shared" si="174"/>
        <v>#NUM!</v>
      </c>
      <c r="CX168" s="60" t="e">
        <f t="shared" si="122"/>
        <v>#NUM!</v>
      </c>
      <c r="CY168" s="60">
        <f ca="1">AVERAGE(OFFSET($CX$3,0,0,'Données projet'!$E$13+1,1))-AVERAGE(OFFSET($H$3,0,0,'Données projet'!$E$13+1,1))</f>
        <v>368.35775920359396</v>
      </c>
      <c r="CZ168" s="60">
        <f t="shared" si="150"/>
        <v>395.5218438652638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1.1368683772161603E-13</v>
      </c>
      <c r="DP168" s="18">
        <f>DO168*VLOOKUP('Données projet'!$B$14,Paramètres!$A$1:$I$89,3,0)*VLOOKUP('Données projet'!$B$14,Paramètres!$A$1:$I$89,5,0)</f>
        <v>8.8675733422860506E-14</v>
      </c>
      <c r="DQ168" s="14">
        <f t="shared" si="176"/>
        <v>1.3509285393066301E-12</v>
      </c>
      <c r="DR168" s="22">
        <f t="shared" si="177"/>
        <v>2.5073107750038623E-12</v>
      </c>
      <c r="DS168" s="60">
        <f t="shared" si="125"/>
        <v>288.22609502834865</v>
      </c>
      <c r="DT168" s="60">
        <f ca="1">AVERAGE(OFFSET($DS$3,0,0,'Données projet'!$E$14+1,1))-AVERAGE(OFFSET($H$3,0,0,'Données projet'!$E$14+1,1))</f>
        <v>312.59632808777332</v>
      </c>
      <c r="DU168" s="60">
        <f t="shared" si="152"/>
        <v>302.59481222418219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0</v>
      </c>
      <c r="EE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-1.1368683772161603E-13</v>
      </c>
      <c r="EK168" s="18">
        <f>EJ168*VLOOKUP('Données projet'!$B$15,Paramètres!$A$1:$I$89,3,0)*VLOOKUP('Données projet'!$B$15,Paramètres!$A$1:$I$89,5,0)</f>
        <v>-9.7543306765146564E-14</v>
      </c>
      <c r="EL168" s="14" t="e">
        <f t="shared" si="179"/>
        <v>#NUM!</v>
      </c>
      <c r="EM168" s="22" t="e">
        <f t="shared" si="180"/>
        <v>#NUM!</v>
      </c>
      <c r="EN168" s="60" t="e">
        <f t="shared" si="128"/>
        <v>#NUM!</v>
      </c>
      <c r="EO168" s="60">
        <f ca="1">AVERAGE(OFFSET($EN$3,0,0,'Données projet'!$E$15+1,1))-AVERAGE(OFFSET($H$3,0,0,'Données projet'!$E$15+1,1))</f>
        <v>478.11504516179713</v>
      </c>
      <c r="EP168" s="60">
        <f t="shared" si="154"/>
        <v>249.93713224442419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0</v>
      </c>
      <c r="EW168" s="23">
        <f>EXP(-LN(2)/25)*EW167+(1-EXP(-LN(2)/25))/(LN(2)/25)*Calculateur!ER168*Calculateur!ET168*VLOOKUP('Données projet'!$B$15,Paramètres!$A$1:$I$89,3,0)*0.475*44/12</f>
        <v>0</v>
      </c>
      <c r="EX168" s="23">
        <f>EXP(-LN(2)/2)*EX167+(1-EXP(-LN(2)/2))/(LN(2)/2)*ER168*EU168*VLOOKUP('Données projet'!$B$15,Paramètres!$A$1:$I$89,3,0)*0.475*44/12</f>
        <v>0</v>
      </c>
      <c r="EY168" s="24">
        <f t="shared" si="181"/>
        <v>0</v>
      </c>
      <c r="EZ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-1.1368683772161603E-13</v>
      </c>
      <c r="FF168" s="18">
        <f>FE168*VLOOKUP('Données projet'!$B$16,Paramètres!$A$1:$I$89,3,0)*VLOOKUP('Données projet'!$B$16,Paramètres!$A$1:$I$89,5,0)</f>
        <v>-1.0995790944434703E-13</v>
      </c>
      <c r="FG168" s="14" t="e">
        <f t="shared" si="182"/>
        <v>#NUM!</v>
      </c>
      <c r="FH168" s="22" t="e">
        <f t="shared" si="183"/>
        <v>#NUM!</v>
      </c>
      <c r="FI168" s="60" t="e">
        <f t="shared" si="131"/>
        <v>#NUM!</v>
      </c>
      <c r="FJ168" s="60">
        <f ca="1">AVERAGE(OFFSET($FI$3,0,0,'Données projet'!$E$16+1,1))-AVERAGE(OFFSET($H$3,0,0,'Données projet'!$E$16+1,1))</f>
        <v>603.52431522262032</v>
      </c>
      <c r="FK168" s="60">
        <f t="shared" si="156"/>
        <v>313.56299786481338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>
        <f>EXP(-LN(2)/35)*FQ167+(1-EXP(-LN(2)/35))/(LN(2)/35)*FM168*FN168*VLOOKUP('Données projet'!$B$16,Paramètres!$A$1:$I$89,3,0)*0.475*44/12</f>
        <v>0</v>
      </c>
      <c r="FR168" s="23">
        <f>EXP(-LN(2)/25)*FR167+(1-EXP(-LN(2)/25))/(LN(2)/25)*Calculateur!FM168*Calculateur!FO168*VLOOKUP('Données projet'!$B$16,Paramètres!$A$1:$I$89,3,0)*0.475*44/12</f>
        <v>0</v>
      </c>
      <c r="FS168" s="23">
        <f>EXP(-LN(2)/2)*FS167+(1-EXP(-LN(2)/2))/(LN(2)/2)*FM168*FP168*VLOOKUP('Données projet'!$B$16,Paramètres!$A$1:$I$89,3,0)*0.475*44/12</f>
        <v>0</v>
      </c>
      <c r="FT168" s="24">
        <f t="shared" si="184"/>
        <v>0</v>
      </c>
      <c r="FU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>
        <f>FZ168*VLOOKUP('Données projet'!$B$17,Paramètres!$A$1:$I$89,3,0)*VLOOKUP('Données projet'!$B$17,Paramètres!$A$1:$I$89,5,0)</f>
        <v>0</v>
      </c>
      <c r="GB168" s="14" t="e">
        <f t="shared" si="185"/>
        <v>#NUM!</v>
      </c>
      <c r="GC168" s="22" t="e">
        <f t="shared" si="186"/>
        <v>#NUM!</v>
      </c>
      <c r="GD168" s="60" t="e">
        <f t="shared" si="134"/>
        <v>#NUM!</v>
      </c>
      <c r="GE168" s="60">
        <f ca="1">AVERAGE(OFFSET($GD$3,0,0,'Données projet'!$E$17+1,1))-AVERAGE(OFFSET($H$3,0,0,'Données projet'!$E$17+1,1))</f>
        <v>396.0878652679051</v>
      </c>
      <c r="GF168" s="60">
        <f t="shared" si="158"/>
        <v>327.26339199235406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>
        <f>EXP(-LN(2)/35)*GL167+(1-EXP(-LN(2)/35))/(LN(2)/35)*GH168*GI168*VLOOKUP('Données projet'!$B$17,Paramètres!$A$1:$I$89,3,0)*0.475*44/12</f>
        <v>0</v>
      </c>
      <c r="GM168" s="23">
        <f>EXP(-LN(2)/25)*GM167+(1-EXP(-LN(2)/25))/(LN(2)/25)*Calculateur!GH168*Calculateur!GJ168*VLOOKUP('Données projet'!$B$17,Paramètres!$A$1:$I$89,3,0)*0.475*44/12</f>
        <v>0</v>
      </c>
      <c r="GN168" s="23">
        <f>EXP(-LN(2)/2)*GN167+(1-EXP(-LN(2)/2))/(LN(2)/2)*GH168*GK168*VLOOKUP('Données projet'!$B$17,Paramètres!$A$1:$I$89,3,0)*0.475*44/12</f>
        <v>0</v>
      </c>
      <c r="GO168" s="23">
        <f t="shared" si="187"/>
        <v>0</v>
      </c>
      <c r="GP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-1.1368683772161603E-13</v>
      </c>
      <c r="GV168" s="18">
        <f>GU168*VLOOKUP('Données projet'!$B$18,Paramètres!$A$1:$I$89,3,0)*VLOOKUP('Données projet'!$B$18,Paramètres!$A$1:$I$89,5,0)</f>
        <v>-9.2222762759774927E-14</v>
      </c>
      <c r="GW168" s="14" t="e">
        <f t="shared" si="188"/>
        <v>#NUM!</v>
      </c>
      <c r="GX168" s="22" t="e">
        <f t="shared" si="189"/>
        <v>#NUM!</v>
      </c>
      <c r="GY168" s="60" t="e">
        <f t="shared" si="137"/>
        <v>#NUM!</v>
      </c>
      <c r="GZ168" s="60">
        <f ca="1">AVERAGE(OFFSET($GY$3,0,0,'Données projet'!$E$18+1,1))-AVERAGE(OFFSET($H$3,0,0,'Données projet'!$E$18+1,1))</f>
        <v>272.69564942740931</v>
      </c>
      <c r="HA168" s="60">
        <f t="shared" si="160"/>
        <v>316.57989180609252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>
        <f>EXP(-LN(2)/35)*HG167+(1-EXP(-LN(2)/35))/(LN(2)/35)*HC168*HD168*VLOOKUP('Données projet'!$B$18,Paramètres!$A$1:$I$89,3,0)*0.475*44/12</f>
        <v>0</v>
      </c>
      <c r="HH168" s="23">
        <f>EXP(-LN(2)/25)*HH167+(1-EXP(-LN(2)/25))/(LN(2)/25)*Calculateur!HC168*Calculateur!HE168*VLOOKUP('Données projet'!$B$18,Paramètres!$A$1:$I$89,3,0)*0.475*44/12</f>
        <v>0</v>
      </c>
      <c r="HI168" s="23">
        <f>EXP(-LN(2)/2)*HI167+(1-EXP(-LN(2)/2))/(LN(2)/2)*HC168*HF168*VLOOKUP('Données projet'!$B$18,Paramètres!$A$1:$I$89,3,0)*0.475*44/12</f>
        <v>0</v>
      </c>
      <c r="HJ168" s="24">
        <f t="shared" si="190"/>
        <v>0</v>
      </c>
    </row>
    <row r="169" spans="1:218" x14ac:dyDescent="0.25">
      <c r="A169" s="11">
        <f t="shared" si="161"/>
        <v>166</v>
      </c>
      <c r="B169" s="75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8">
        <f t="shared" si="110"/>
        <v>183.33333333333334</v>
      </c>
      <c r="I169" s="7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-1.1368683772161603E-13</v>
      </c>
      <c r="O169" s="14">
        <f>N169*VLOOKUP('Données projet'!$B$9,Paramètres!$A$1:$I$89,3,0)*VLOOKUP('Données projet'!$B$9,Paramètres!$A$1:$I$89,5,0)</f>
        <v>-1.0286385077051818E-13</v>
      </c>
      <c r="P169" s="14" t="e">
        <f t="shared" si="141"/>
        <v>#NUM!</v>
      </c>
      <c r="Q169" s="22" t="e">
        <f t="shared" si="162"/>
        <v>#NUM!</v>
      </c>
      <c r="R169" s="60" t="e">
        <f t="shared" si="109"/>
        <v>#NUM!</v>
      </c>
      <c r="S169" s="60">
        <f ca="1">AVERAGE(OFFSET($R$3,0,0,'Données projet'!$E$9+1,1))-AVERAGE(OFFSET($H$3,0,0,'Données projet'!$E$9+1,1))</f>
        <v>570.08763950759544</v>
      </c>
      <c r="T169" s="60">
        <f t="shared" si="142"/>
        <v>297.32483725004136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-5.6843418860808015E-14</v>
      </c>
      <c r="AJ169" s="14">
        <f>AI169*VLOOKUP('Données projet'!$B$10,Paramètres!$A$1:$I$89,3,0)*VLOOKUP('Données projet'!$B$10,Paramètres!$A$1:$I$89,5,0)</f>
        <v>-4.5224624045658861E-14</v>
      </c>
      <c r="AK169" s="14" t="e">
        <f t="shared" si="164"/>
        <v>#NUM!</v>
      </c>
      <c r="AL169" s="22" t="e">
        <f t="shared" si="165"/>
        <v>#NUM!</v>
      </c>
      <c r="AM169" s="60" t="e">
        <f t="shared" si="113"/>
        <v>#NUM!</v>
      </c>
      <c r="AN169" s="60">
        <f ca="1">AVERAGE(OFFSET($AM$3,0,0,'Données projet'!$E$10+1,1))-AVERAGE(OFFSET($H$3,0,0,'Données projet'!$E$10+1,1))</f>
        <v>394.49874384716014</v>
      </c>
      <c r="AO169" s="60">
        <f t="shared" si="144"/>
        <v>423.72519584013378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3.4106051316484809E-13</v>
      </c>
      <c r="BE169" s="14">
        <f>BD169*VLOOKUP('Données projet'!$B$11,Paramètres!$A$1:$I$89,3,0)*VLOOKUP('Données projet'!$B$11,Paramètres!$A$1:$I$89,5,0)</f>
        <v>2.9795046430081134E-13</v>
      </c>
      <c r="BF169" s="14">
        <f t="shared" si="167"/>
        <v>3.9419014464513778E-12</v>
      </c>
      <c r="BG169" s="22">
        <f t="shared" si="168"/>
        <v>7.384408744560063E-12</v>
      </c>
      <c r="BH169" s="60">
        <f t="shared" si="116"/>
        <v>288.31469419487081</v>
      </c>
      <c r="BI169" s="60">
        <f ca="1">AVERAGE(OFFSET($BH$3,0,0,'Données projet'!$E$11+1,1))-AVERAGE(OFFSET($H$3,0,0,'Données projet'!$E$11+1,1))</f>
        <v>363.28611056308665</v>
      </c>
      <c r="BJ169" s="60">
        <f t="shared" si="146"/>
        <v>389.43647559455974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5.6843418860808015E-14</v>
      </c>
      <c r="BZ169" s="14">
        <f>BY169*VLOOKUP('Données projet'!$B$12,Paramètres!$A$1:$I$89,3,0)*VLOOKUP('Données projet'!$B$12,Paramètres!$A$1:$I$89,5,0)</f>
        <v>5.4092197387944907E-14</v>
      </c>
      <c r="CA169" s="14">
        <f t="shared" si="170"/>
        <v>8.7287050538073676E-13</v>
      </c>
      <c r="CB169" s="22">
        <f t="shared" si="171"/>
        <v>1.6144600406554537E-12</v>
      </c>
      <c r="CC169" s="60">
        <f t="shared" si="119"/>
        <v>288.31469419486501</v>
      </c>
      <c r="CD169" s="60">
        <f ca="1">AVERAGE(OFFSET($CC$3,0,0,'Données projet'!$E$12+1,1))-AVERAGE(OFFSET($H$3,0,0,'Données projet'!$E$12+1,1))</f>
        <v>441.15969139782891</v>
      </c>
      <c r="CE169" s="60">
        <f t="shared" si="148"/>
        <v>315.06466790224783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-5.6843418860808015E-14</v>
      </c>
      <c r="CU169" s="18">
        <f>CT169*VLOOKUP('Données projet'!$B$13,Paramètres!$A$1:$I$89,3,0)*VLOOKUP('Données projet'!$B$13,Paramètres!$A$1:$I$89,5,0)</f>
        <v>-4.1677594708744434E-14</v>
      </c>
      <c r="CV169" s="14" t="e">
        <f t="shared" si="173"/>
        <v>#NUM!</v>
      </c>
      <c r="CW169" s="22" t="e">
        <f t="shared" si="174"/>
        <v>#NUM!</v>
      </c>
      <c r="CX169" s="60" t="e">
        <f t="shared" si="122"/>
        <v>#NUM!</v>
      </c>
      <c r="CY169" s="60">
        <f ca="1">AVERAGE(OFFSET($CX$3,0,0,'Données projet'!$E$13+1,1))-AVERAGE(OFFSET($H$3,0,0,'Données projet'!$E$13+1,1))</f>
        <v>368.35775920359396</v>
      </c>
      <c r="CZ169" s="60">
        <f t="shared" si="150"/>
        <v>395.5218438652638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1.1368683772161603E-13</v>
      </c>
      <c r="DP169" s="18">
        <f>DO169*VLOOKUP('Données projet'!$B$14,Paramètres!$A$1:$I$89,3,0)*VLOOKUP('Données projet'!$B$14,Paramètres!$A$1:$I$89,5,0)</f>
        <v>8.8675733422860506E-14</v>
      </c>
      <c r="DQ169" s="14">
        <f t="shared" si="176"/>
        <v>1.3509285393066301E-12</v>
      </c>
      <c r="DR169" s="22">
        <f t="shared" si="177"/>
        <v>2.5073107750038623E-12</v>
      </c>
      <c r="DS169" s="60">
        <f t="shared" si="125"/>
        <v>288.31469419486592</v>
      </c>
      <c r="DT169" s="60">
        <f ca="1">AVERAGE(OFFSET($DS$3,0,0,'Données projet'!$E$14+1,1))-AVERAGE(OFFSET($H$3,0,0,'Données projet'!$E$14+1,1))</f>
        <v>312.59632808777332</v>
      </c>
      <c r="DU169" s="60">
        <f t="shared" si="152"/>
        <v>302.59481222418219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0</v>
      </c>
      <c r="EE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-1.1368683772161603E-13</v>
      </c>
      <c r="EK169" s="18">
        <f>EJ169*VLOOKUP('Données projet'!$B$15,Paramètres!$A$1:$I$89,3,0)*VLOOKUP('Données projet'!$B$15,Paramètres!$A$1:$I$89,5,0)</f>
        <v>-9.7543306765146564E-14</v>
      </c>
      <c r="EL169" s="14" t="e">
        <f t="shared" si="179"/>
        <v>#NUM!</v>
      </c>
      <c r="EM169" s="22" t="e">
        <f t="shared" si="180"/>
        <v>#NUM!</v>
      </c>
      <c r="EN169" s="60" t="e">
        <f t="shared" si="128"/>
        <v>#NUM!</v>
      </c>
      <c r="EO169" s="60">
        <f ca="1">AVERAGE(OFFSET($EN$3,0,0,'Données projet'!$E$15+1,1))-AVERAGE(OFFSET($H$3,0,0,'Données projet'!$E$15+1,1))</f>
        <v>478.11504516179713</v>
      </c>
      <c r="EP169" s="60">
        <f t="shared" si="154"/>
        <v>249.93713224442419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0</v>
      </c>
      <c r="EW169" s="23">
        <f>EXP(-LN(2)/25)*EW168+(1-EXP(-LN(2)/25))/(LN(2)/25)*Calculateur!ER169*Calculateur!ET169*VLOOKUP('Données projet'!$B$15,Paramètres!$A$1:$I$89,3,0)*0.475*44/12</f>
        <v>0</v>
      </c>
      <c r="EX169" s="23">
        <f>EXP(-LN(2)/2)*EX168+(1-EXP(-LN(2)/2))/(LN(2)/2)*ER169*EU169*VLOOKUP('Données projet'!$B$15,Paramètres!$A$1:$I$89,3,0)*0.475*44/12</f>
        <v>0</v>
      </c>
      <c r="EY169" s="24">
        <f t="shared" si="181"/>
        <v>0</v>
      </c>
      <c r="EZ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-1.1368683772161603E-13</v>
      </c>
      <c r="FF169" s="18">
        <f>FE169*VLOOKUP('Données projet'!$B$16,Paramètres!$A$1:$I$89,3,0)*VLOOKUP('Données projet'!$B$16,Paramètres!$A$1:$I$89,5,0)</f>
        <v>-1.0995790944434703E-13</v>
      </c>
      <c r="FG169" s="14" t="e">
        <f t="shared" si="182"/>
        <v>#NUM!</v>
      </c>
      <c r="FH169" s="22" t="e">
        <f t="shared" si="183"/>
        <v>#NUM!</v>
      </c>
      <c r="FI169" s="60" t="e">
        <f t="shared" si="131"/>
        <v>#NUM!</v>
      </c>
      <c r="FJ169" s="60">
        <f ca="1">AVERAGE(OFFSET($FI$3,0,0,'Données projet'!$E$16+1,1))-AVERAGE(OFFSET($H$3,0,0,'Données projet'!$E$16+1,1))</f>
        <v>603.52431522262032</v>
      </c>
      <c r="FK169" s="60">
        <f t="shared" si="156"/>
        <v>313.56299786481338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>
        <f>EXP(-LN(2)/35)*FQ168+(1-EXP(-LN(2)/35))/(LN(2)/35)*FM169*FN169*VLOOKUP('Données projet'!$B$16,Paramètres!$A$1:$I$89,3,0)*0.475*44/12</f>
        <v>0</v>
      </c>
      <c r="FR169" s="23">
        <f>EXP(-LN(2)/25)*FR168+(1-EXP(-LN(2)/25))/(LN(2)/25)*Calculateur!FM169*Calculateur!FO169*VLOOKUP('Données projet'!$B$16,Paramètres!$A$1:$I$89,3,0)*0.475*44/12</f>
        <v>0</v>
      </c>
      <c r="FS169" s="23">
        <f>EXP(-LN(2)/2)*FS168+(1-EXP(-LN(2)/2))/(LN(2)/2)*FM169*FP169*VLOOKUP('Données projet'!$B$16,Paramètres!$A$1:$I$89,3,0)*0.475*44/12</f>
        <v>0</v>
      </c>
      <c r="FT169" s="24">
        <f t="shared" si="184"/>
        <v>0</v>
      </c>
      <c r="FU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>
        <f>FZ169*VLOOKUP('Données projet'!$B$17,Paramètres!$A$1:$I$89,3,0)*VLOOKUP('Données projet'!$B$17,Paramètres!$A$1:$I$89,5,0)</f>
        <v>0</v>
      </c>
      <c r="GB169" s="14" t="e">
        <f t="shared" si="185"/>
        <v>#NUM!</v>
      </c>
      <c r="GC169" s="22" t="e">
        <f t="shared" si="186"/>
        <v>#NUM!</v>
      </c>
      <c r="GD169" s="60" t="e">
        <f t="shared" si="134"/>
        <v>#NUM!</v>
      </c>
      <c r="GE169" s="60">
        <f ca="1">AVERAGE(OFFSET($GD$3,0,0,'Données projet'!$E$17+1,1))-AVERAGE(OFFSET($H$3,0,0,'Données projet'!$E$17+1,1))</f>
        <v>396.0878652679051</v>
      </c>
      <c r="GF169" s="60">
        <f t="shared" si="158"/>
        <v>327.26339199235406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>
        <f>EXP(-LN(2)/35)*GL168+(1-EXP(-LN(2)/35))/(LN(2)/35)*GH169*GI169*VLOOKUP('Données projet'!$B$17,Paramètres!$A$1:$I$89,3,0)*0.475*44/12</f>
        <v>0</v>
      </c>
      <c r="GM169" s="23">
        <f>EXP(-LN(2)/25)*GM168+(1-EXP(-LN(2)/25))/(LN(2)/25)*Calculateur!GH169*Calculateur!GJ169*VLOOKUP('Données projet'!$B$17,Paramètres!$A$1:$I$89,3,0)*0.475*44/12</f>
        <v>0</v>
      </c>
      <c r="GN169" s="23">
        <f>EXP(-LN(2)/2)*GN168+(1-EXP(-LN(2)/2))/(LN(2)/2)*GH169*GK169*VLOOKUP('Données projet'!$B$17,Paramètres!$A$1:$I$89,3,0)*0.475*44/12</f>
        <v>0</v>
      </c>
      <c r="GO169" s="23">
        <f t="shared" si="187"/>
        <v>0</v>
      </c>
      <c r="GP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-1.1368683772161603E-13</v>
      </c>
      <c r="GV169" s="18">
        <f>GU169*VLOOKUP('Données projet'!$B$18,Paramètres!$A$1:$I$89,3,0)*VLOOKUP('Données projet'!$B$18,Paramètres!$A$1:$I$89,5,0)</f>
        <v>-9.2222762759774927E-14</v>
      </c>
      <c r="GW169" s="14" t="e">
        <f t="shared" si="188"/>
        <v>#NUM!</v>
      </c>
      <c r="GX169" s="22" t="e">
        <f t="shared" si="189"/>
        <v>#NUM!</v>
      </c>
      <c r="GY169" s="60" t="e">
        <f t="shared" si="137"/>
        <v>#NUM!</v>
      </c>
      <c r="GZ169" s="60">
        <f ca="1">AVERAGE(OFFSET($GY$3,0,0,'Données projet'!$E$18+1,1))-AVERAGE(OFFSET($H$3,0,0,'Données projet'!$E$18+1,1))</f>
        <v>272.69564942740931</v>
      </c>
      <c r="HA169" s="60">
        <f t="shared" si="160"/>
        <v>316.57989180609252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>
        <f>EXP(-LN(2)/35)*HG168+(1-EXP(-LN(2)/35))/(LN(2)/35)*HC169*HD169*VLOOKUP('Données projet'!$B$18,Paramètres!$A$1:$I$89,3,0)*0.475*44/12</f>
        <v>0</v>
      </c>
      <c r="HH169" s="23">
        <f>EXP(-LN(2)/25)*HH168+(1-EXP(-LN(2)/25))/(LN(2)/25)*Calculateur!HC169*Calculateur!HE169*VLOOKUP('Données projet'!$B$18,Paramètres!$A$1:$I$89,3,0)*0.475*44/12</f>
        <v>0</v>
      </c>
      <c r="HI169" s="23">
        <f>EXP(-LN(2)/2)*HI168+(1-EXP(-LN(2)/2))/(LN(2)/2)*HC169*HF169*VLOOKUP('Données projet'!$B$18,Paramètres!$A$1:$I$89,3,0)*0.475*44/12</f>
        <v>0</v>
      </c>
      <c r="HJ169" s="24">
        <f t="shared" si="190"/>
        <v>0</v>
      </c>
    </row>
    <row r="170" spans="1:218" x14ac:dyDescent="0.25">
      <c r="A170" s="11">
        <f t="shared" si="161"/>
        <v>167</v>
      </c>
      <c r="B170" s="75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8">
        <f t="shared" si="110"/>
        <v>183.33333333333334</v>
      </c>
      <c r="I170" s="7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-1.1368683772161603E-13</v>
      </c>
      <c r="O170" s="14">
        <f>N170*VLOOKUP('Données projet'!$B$9,Paramètres!$A$1:$I$89,3,0)*VLOOKUP('Données projet'!$B$9,Paramètres!$A$1:$I$89,5,0)</f>
        <v>-1.0286385077051818E-13</v>
      </c>
      <c r="P170" s="14" t="e">
        <f t="shared" si="141"/>
        <v>#NUM!</v>
      </c>
      <c r="Q170" s="22" t="e">
        <f t="shared" si="162"/>
        <v>#NUM!</v>
      </c>
      <c r="R170" s="60" t="e">
        <f t="shared" si="109"/>
        <v>#NUM!</v>
      </c>
      <c r="S170" s="60">
        <f ca="1">AVERAGE(OFFSET($R$3,0,0,'Données projet'!$E$9+1,1))-AVERAGE(OFFSET($H$3,0,0,'Données projet'!$E$9+1,1))</f>
        <v>570.08763950759544</v>
      </c>
      <c r="T170" s="60">
        <f t="shared" si="142"/>
        <v>297.32483725004136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-5.6843418860808015E-14</v>
      </c>
      <c r="AJ170" s="14">
        <f>AI170*VLOOKUP('Données projet'!$B$10,Paramètres!$A$1:$I$89,3,0)*VLOOKUP('Données projet'!$B$10,Paramètres!$A$1:$I$89,5,0)</f>
        <v>-4.5224624045658861E-14</v>
      </c>
      <c r="AK170" s="14" t="e">
        <f t="shared" si="164"/>
        <v>#NUM!</v>
      </c>
      <c r="AL170" s="22" t="e">
        <f t="shared" si="165"/>
        <v>#NUM!</v>
      </c>
      <c r="AM170" s="60" t="e">
        <f t="shared" si="113"/>
        <v>#NUM!</v>
      </c>
      <c r="AN170" s="60">
        <f ca="1">AVERAGE(OFFSET($AM$3,0,0,'Données projet'!$E$10+1,1))-AVERAGE(OFFSET($H$3,0,0,'Données projet'!$E$10+1,1))</f>
        <v>394.49874384716014</v>
      </c>
      <c r="AO170" s="60">
        <f t="shared" si="144"/>
        <v>423.72519584013378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3.4106051316484809E-13</v>
      </c>
      <c r="BE170" s="14">
        <f>BD170*VLOOKUP('Données projet'!$B$11,Paramètres!$A$1:$I$89,3,0)*VLOOKUP('Données projet'!$B$11,Paramètres!$A$1:$I$89,5,0)</f>
        <v>2.9795046430081134E-13</v>
      </c>
      <c r="BF170" s="14">
        <f t="shared" si="167"/>
        <v>3.9419014464513778E-12</v>
      </c>
      <c r="BG170" s="22">
        <f t="shared" si="168"/>
        <v>7.384408744560063E-12</v>
      </c>
      <c r="BH170" s="60">
        <f t="shared" si="116"/>
        <v>288.40175636392701</v>
      </c>
      <c r="BI170" s="60">
        <f ca="1">AVERAGE(OFFSET($BH$3,0,0,'Données projet'!$E$11+1,1))-AVERAGE(OFFSET($H$3,0,0,'Données projet'!$E$11+1,1))</f>
        <v>363.28611056308665</v>
      </c>
      <c r="BJ170" s="60">
        <f t="shared" si="146"/>
        <v>389.43647559455974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5.6843418860808015E-14</v>
      </c>
      <c r="BZ170" s="14">
        <f>BY170*VLOOKUP('Données projet'!$B$12,Paramètres!$A$1:$I$89,3,0)*VLOOKUP('Données projet'!$B$12,Paramètres!$A$1:$I$89,5,0)</f>
        <v>5.4092197387944907E-14</v>
      </c>
      <c r="CA170" s="14">
        <f t="shared" si="170"/>
        <v>8.7287050538073676E-13</v>
      </c>
      <c r="CB170" s="22">
        <f t="shared" si="171"/>
        <v>1.6144600406554537E-12</v>
      </c>
      <c r="CC170" s="60">
        <f t="shared" si="119"/>
        <v>288.40175636392121</v>
      </c>
      <c r="CD170" s="60">
        <f ca="1">AVERAGE(OFFSET($CC$3,0,0,'Données projet'!$E$12+1,1))-AVERAGE(OFFSET($H$3,0,0,'Données projet'!$E$12+1,1))</f>
        <v>441.15969139782891</v>
      </c>
      <c r="CE170" s="60">
        <f t="shared" si="148"/>
        <v>315.06466790224783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-5.6843418860808015E-14</v>
      </c>
      <c r="CU170" s="18">
        <f>CT170*VLOOKUP('Données projet'!$B$13,Paramètres!$A$1:$I$89,3,0)*VLOOKUP('Données projet'!$B$13,Paramètres!$A$1:$I$89,5,0)</f>
        <v>-4.1677594708744434E-14</v>
      </c>
      <c r="CV170" s="14" t="e">
        <f t="shared" si="173"/>
        <v>#NUM!</v>
      </c>
      <c r="CW170" s="22" t="e">
        <f t="shared" si="174"/>
        <v>#NUM!</v>
      </c>
      <c r="CX170" s="60" t="e">
        <f t="shared" si="122"/>
        <v>#NUM!</v>
      </c>
      <c r="CY170" s="60">
        <f ca="1">AVERAGE(OFFSET($CX$3,0,0,'Données projet'!$E$13+1,1))-AVERAGE(OFFSET($H$3,0,0,'Données projet'!$E$13+1,1))</f>
        <v>368.35775920359396</v>
      </c>
      <c r="CZ170" s="60">
        <f t="shared" si="150"/>
        <v>395.5218438652638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1.1368683772161603E-13</v>
      </c>
      <c r="DP170" s="18">
        <f>DO170*VLOOKUP('Données projet'!$B$14,Paramètres!$A$1:$I$89,3,0)*VLOOKUP('Données projet'!$B$14,Paramètres!$A$1:$I$89,5,0)</f>
        <v>8.8675733422860506E-14</v>
      </c>
      <c r="DQ170" s="14">
        <f t="shared" si="176"/>
        <v>1.3509285393066301E-12</v>
      </c>
      <c r="DR170" s="22">
        <f t="shared" si="177"/>
        <v>2.5073107750038623E-12</v>
      </c>
      <c r="DS170" s="60">
        <f t="shared" si="125"/>
        <v>288.40175636392212</v>
      </c>
      <c r="DT170" s="60">
        <f ca="1">AVERAGE(OFFSET($DS$3,0,0,'Données projet'!$E$14+1,1))-AVERAGE(OFFSET($H$3,0,0,'Données projet'!$E$14+1,1))</f>
        <v>312.59632808777332</v>
      </c>
      <c r="DU170" s="60">
        <f t="shared" si="152"/>
        <v>302.59481222418219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0</v>
      </c>
      <c r="EE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-1.1368683772161603E-13</v>
      </c>
      <c r="EK170" s="18">
        <f>EJ170*VLOOKUP('Données projet'!$B$15,Paramètres!$A$1:$I$89,3,0)*VLOOKUP('Données projet'!$B$15,Paramètres!$A$1:$I$89,5,0)</f>
        <v>-9.7543306765146564E-14</v>
      </c>
      <c r="EL170" s="14" t="e">
        <f t="shared" si="179"/>
        <v>#NUM!</v>
      </c>
      <c r="EM170" s="22" t="e">
        <f t="shared" si="180"/>
        <v>#NUM!</v>
      </c>
      <c r="EN170" s="60" t="e">
        <f t="shared" si="128"/>
        <v>#NUM!</v>
      </c>
      <c r="EO170" s="60">
        <f ca="1">AVERAGE(OFFSET($EN$3,0,0,'Données projet'!$E$15+1,1))-AVERAGE(OFFSET($H$3,0,0,'Données projet'!$E$15+1,1))</f>
        <v>478.11504516179713</v>
      </c>
      <c r="EP170" s="60">
        <f t="shared" si="154"/>
        <v>249.93713224442419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0</v>
      </c>
      <c r="EW170" s="23">
        <f>EXP(-LN(2)/25)*EW169+(1-EXP(-LN(2)/25))/(LN(2)/25)*Calculateur!ER170*Calculateur!ET170*VLOOKUP('Données projet'!$B$15,Paramètres!$A$1:$I$89,3,0)*0.475*44/12</f>
        <v>0</v>
      </c>
      <c r="EX170" s="23">
        <f>EXP(-LN(2)/2)*EX169+(1-EXP(-LN(2)/2))/(LN(2)/2)*ER170*EU170*VLOOKUP('Données projet'!$B$15,Paramètres!$A$1:$I$89,3,0)*0.475*44/12</f>
        <v>0</v>
      </c>
      <c r="EY170" s="24">
        <f t="shared" si="181"/>
        <v>0</v>
      </c>
      <c r="EZ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-1.1368683772161603E-13</v>
      </c>
      <c r="FF170" s="18">
        <f>FE170*VLOOKUP('Données projet'!$B$16,Paramètres!$A$1:$I$89,3,0)*VLOOKUP('Données projet'!$B$16,Paramètres!$A$1:$I$89,5,0)</f>
        <v>-1.0995790944434703E-13</v>
      </c>
      <c r="FG170" s="14" t="e">
        <f t="shared" si="182"/>
        <v>#NUM!</v>
      </c>
      <c r="FH170" s="22" t="e">
        <f t="shared" si="183"/>
        <v>#NUM!</v>
      </c>
      <c r="FI170" s="60" t="e">
        <f t="shared" si="131"/>
        <v>#NUM!</v>
      </c>
      <c r="FJ170" s="60">
        <f ca="1">AVERAGE(OFFSET($FI$3,0,0,'Données projet'!$E$16+1,1))-AVERAGE(OFFSET($H$3,0,0,'Données projet'!$E$16+1,1))</f>
        <v>603.52431522262032</v>
      </c>
      <c r="FK170" s="60">
        <f t="shared" si="156"/>
        <v>313.56299786481338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>
        <f>EXP(-LN(2)/35)*FQ169+(1-EXP(-LN(2)/35))/(LN(2)/35)*FM170*FN170*VLOOKUP('Données projet'!$B$16,Paramètres!$A$1:$I$89,3,0)*0.475*44/12</f>
        <v>0</v>
      </c>
      <c r="FR170" s="23">
        <f>EXP(-LN(2)/25)*FR169+(1-EXP(-LN(2)/25))/(LN(2)/25)*Calculateur!FM170*Calculateur!FO170*VLOOKUP('Données projet'!$B$16,Paramètres!$A$1:$I$89,3,0)*0.475*44/12</f>
        <v>0</v>
      </c>
      <c r="FS170" s="23">
        <f>EXP(-LN(2)/2)*FS169+(1-EXP(-LN(2)/2))/(LN(2)/2)*FM170*FP170*VLOOKUP('Données projet'!$B$16,Paramètres!$A$1:$I$89,3,0)*0.475*44/12</f>
        <v>0</v>
      </c>
      <c r="FT170" s="24">
        <f t="shared" si="184"/>
        <v>0</v>
      </c>
      <c r="FU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>
        <f>FZ170*VLOOKUP('Données projet'!$B$17,Paramètres!$A$1:$I$89,3,0)*VLOOKUP('Données projet'!$B$17,Paramètres!$A$1:$I$89,5,0)</f>
        <v>0</v>
      </c>
      <c r="GB170" s="14" t="e">
        <f t="shared" si="185"/>
        <v>#NUM!</v>
      </c>
      <c r="GC170" s="22" t="e">
        <f t="shared" si="186"/>
        <v>#NUM!</v>
      </c>
      <c r="GD170" s="60" t="e">
        <f t="shared" si="134"/>
        <v>#NUM!</v>
      </c>
      <c r="GE170" s="60">
        <f ca="1">AVERAGE(OFFSET($GD$3,0,0,'Données projet'!$E$17+1,1))-AVERAGE(OFFSET($H$3,0,0,'Données projet'!$E$17+1,1))</f>
        <v>396.0878652679051</v>
      </c>
      <c r="GF170" s="60">
        <f t="shared" si="158"/>
        <v>327.26339199235406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>
        <f>EXP(-LN(2)/35)*GL169+(1-EXP(-LN(2)/35))/(LN(2)/35)*GH170*GI170*VLOOKUP('Données projet'!$B$17,Paramètres!$A$1:$I$89,3,0)*0.475*44/12</f>
        <v>0</v>
      </c>
      <c r="GM170" s="23">
        <f>EXP(-LN(2)/25)*GM169+(1-EXP(-LN(2)/25))/(LN(2)/25)*Calculateur!GH170*Calculateur!GJ170*VLOOKUP('Données projet'!$B$17,Paramètres!$A$1:$I$89,3,0)*0.475*44/12</f>
        <v>0</v>
      </c>
      <c r="GN170" s="23">
        <f>EXP(-LN(2)/2)*GN169+(1-EXP(-LN(2)/2))/(LN(2)/2)*GH170*GK170*VLOOKUP('Données projet'!$B$17,Paramètres!$A$1:$I$89,3,0)*0.475*44/12</f>
        <v>0</v>
      </c>
      <c r="GO170" s="23">
        <f t="shared" si="187"/>
        <v>0</v>
      </c>
      <c r="GP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-1.1368683772161603E-13</v>
      </c>
      <c r="GV170" s="18">
        <f>GU170*VLOOKUP('Données projet'!$B$18,Paramètres!$A$1:$I$89,3,0)*VLOOKUP('Données projet'!$B$18,Paramètres!$A$1:$I$89,5,0)</f>
        <v>-9.2222762759774927E-14</v>
      </c>
      <c r="GW170" s="14" t="e">
        <f t="shared" si="188"/>
        <v>#NUM!</v>
      </c>
      <c r="GX170" s="22" t="e">
        <f t="shared" si="189"/>
        <v>#NUM!</v>
      </c>
      <c r="GY170" s="60" t="e">
        <f t="shared" si="137"/>
        <v>#NUM!</v>
      </c>
      <c r="GZ170" s="60">
        <f ca="1">AVERAGE(OFFSET($GY$3,0,0,'Données projet'!$E$18+1,1))-AVERAGE(OFFSET($H$3,0,0,'Données projet'!$E$18+1,1))</f>
        <v>272.69564942740931</v>
      </c>
      <c r="HA170" s="60">
        <f t="shared" si="160"/>
        <v>316.57989180609252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>
        <f>EXP(-LN(2)/35)*HG169+(1-EXP(-LN(2)/35))/(LN(2)/35)*HC170*HD170*VLOOKUP('Données projet'!$B$18,Paramètres!$A$1:$I$89,3,0)*0.475*44/12</f>
        <v>0</v>
      </c>
      <c r="HH170" s="23">
        <f>EXP(-LN(2)/25)*HH169+(1-EXP(-LN(2)/25))/(LN(2)/25)*Calculateur!HC170*Calculateur!HE170*VLOOKUP('Données projet'!$B$18,Paramètres!$A$1:$I$89,3,0)*0.475*44/12</f>
        <v>0</v>
      </c>
      <c r="HI170" s="23">
        <f>EXP(-LN(2)/2)*HI169+(1-EXP(-LN(2)/2))/(LN(2)/2)*HC170*HF170*VLOOKUP('Données projet'!$B$18,Paramètres!$A$1:$I$89,3,0)*0.475*44/12</f>
        <v>0</v>
      </c>
      <c r="HJ170" s="24">
        <f t="shared" si="190"/>
        <v>0</v>
      </c>
    </row>
    <row r="171" spans="1:218" x14ac:dyDescent="0.25">
      <c r="A171" s="11">
        <f t="shared" si="161"/>
        <v>168</v>
      </c>
      <c r="B171" s="75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8">
        <f t="shared" si="110"/>
        <v>183.33333333333334</v>
      </c>
      <c r="I171" s="7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-1.1368683772161603E-13</v>
      </c>
      <c r="O171" s="14">
        <f>N171*VLOOKUP('Données projet'!$B$9,Paramètres!$A$1:$I$89,3,0)*VLOOKUP('Données projet'!$B$9,Paramètres!$A$1:$I$89,5,0)</f>
        <v>-1.0286385077051818E-13</v>
      </c>
      <c r="P171" s="14" t="e">
        <f t="shared" si="141"/>
        <v>#NUM!</v>
      </c>
      <c r="Q171" s="22" t="e">
        <f t="shared" si="162"/>
        <v>#NUM!</v>
      </c>
      <c r="R171" s="60" t="e">
        <f t="shared" si="109"/>
        <v>#NUM!</v>
      </c>
      <c r="S171" s="60">
        <f ca="1">AVERAGE(OFFSET($R$3,0,0,'Données projet'!$E$9+1,1))-AVERAGE(OFFSET($H$3,0,0,'Données projet'!$E$9+1,1))</f>
        <v>570.08763950759544</v>
      </c>
      <c r="T171" s="60">
        <f t="shared" si="142"/>
        <v>297.32483725004136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-5.6843418860808015E-14</v>
      </c>
      <c r="AJ171" s="14">
        <f>AI171*VLOOKUP('Données projet'!$B$10,Paramètres!$A$1:$I$89,3,0)*VLOOKUP('Données projet'!$B$10,Paramètres!$A$1:$I$89,5,0)</f>
        <v>-4.5224624045658861E-14</v>
      </c>
      <c r="AK171" s="14" t="e">
        <f t="shared" si="164"/>
        <v>#NUM!</v>
      </c>
      <c r="AL171" s="22" t="e">
        <f t="shared" si="165"/>
        <v>#NUM!</v>
      </c>
      <c r="AM171" s="60" t="e">
        <f t="shared" si="113"/>
        <v>#NUM!</v>
      </c>
      <c r="AN171" s="60">
        <f ca="1">AVERAGE(OFFSET($AM$3,0,0,'Données projet'!$E$10+1,1))-AVERAGE(OFFSET($H$3,0,0,'Données projet'!$E$10+1,1))</f>
        <v>394.49874384716014</v>
      </c>
      <c r="AO171" s="60">
        <f t="shared" si="144"/>
        <v>423.72519584013378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3.4106051316484809E-13</v>
      </c>
      <c r="BE171" s="14">
        <f>BD171*VLOOKUP('Données projet'!$B$11,Paramètres!$A$1:$I$89,3,0)*VLOOKUP('Données projet'!$B$11,Paramètres!$A$1:$I$89,5,0)</f>
        <v>2.9795046430081134E-13</v>
      </c>
      <c r="BF171" s="14">
        <f t="shared" si="167"/>
        <v>3.9419014464513778E-12</v>
      </c>
      <c r="BG171" s="22">
        <f t="shared" si="168"/>
        <v>7.384408744560063E-12</v>
      </c>
      <c r="BH171" s="60">
        <f t="shared" si="116"/>
        <v>288.48730819899191</v>
      </c>
      <c r="BI171" s="60">
        <f ca="1">AVERAGE(OFFSET($BH$3,0,0,'Données projet'!$E$11+1,1))-AVERAGE(OFFSET($H$3,0,0,'Données projet'!$E$11+1,1))</f>
        <v>363.28611056308665</v>
      </c>
      <c r="BJ171" s="60">
        <f t="shared" si="146"/>
        <v>389.43647559455974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5.6843418860808015E-14</v>
      </c>
      <c r="BZ171" s="14">
        <f>BY171*VLOOKUP('Données projet'!$B$12,Paramètres!$A$1:$I$89,3,0)*VLOOKUP('Données projet'!$B$12,Paramètres!$A$1:$I$89,5,0)</f>
        <v>5.4092197387944907E-14</v>
      </c>
      <c r="CA171" s="14">
        <f t="shared" si="170"/>
        <v>8.7287050538073676E-13</v>
      </c>
      <c r="CB171" s="22">
        <f t="shared" si="171"/>
        <v>1.6144600406554537E-12</v>
      </c>
      <c r="CC171" s="60">
        <f t="shared" si="119"/>
        <v>288.48730819898611</v>
      </c>
      <c r="CD171" s="60">
        <f ca="1">AVERAGE(OFFSET($CC$3,0,0,'Données projet'!$E$12+1,1))-AVERAGE(OFFSET($H$3,0,0,'Données projet'!$E$12+1,1))</f>
        <v>441.15969139782891</v>
      </c>
      <c r="CE171" s="60">
        <f t="shared" si="148"/>
        <v>315.06466790224783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-5.6843418860808015E-14</v>
      </c>
      <c r="CU171" s="18">
        <f>CT171*VLOOKUP('Données projet'!$B$13,Paramètres!$A$1:$I$89,3,0)*VLOOKUP('Données projet'!$B$13,Paramètres!$A$1:$I$89,5,0)</f>
        <v>-4.1677594708744434E-14</v>
      </c>
      <c r="CV171" s="14" t="e">
        <f t="shared" si="173"/>
        <v>#NUM!</v>
      </c>
      <c r="CW171" s="22" t="e">
        <f t="shared" si="174"/>
        <v>#NUM!</v>
      </c>
      <c r="CX171" s="60" t="e">
        <f t="shared" si="122"/>
        <v>#NUM!</v>
      </c>
      <c r="CY171" s="60">
        <f ca="1">AVERAGE(OFFSET($CX$3,0,0,'Données projet'!$E$13+1,1))-AVERAGE(OFFSET($H$3,0,0,'Données projet'!$E$13+1,1))</f>
        <v>368.35775920359396</v>
      </c>
      <c r="CZ171" s="60">
        <f t="shared" si="150"/>
        <v>395.5218438652638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1.1368683772161603E-13</v>
      </c>
      <c r="DP171" s="18">
        <f>DO171*VLOOKUP('Données projet'!$B$14,Paramètres!$A$1:$I$89,3,0)*VLOOKUP('Données projet'!$B$14,Paramètres!$A$1:$I$89,5,0)</f>
        <v>8.8675733422860506E-14</v>
      </c>
      <c r="DQ171" s="14">
        <f t="shared" si="176"/>
        <v>1.3509285393066301E-12</v>
      </c>
      <c r="DR171" s="22">
        <f t="shared" si="177"/>
        <v>2.5073107750038623E-12</v>
      </c>
      <c r="DS171" s="60">
        <f t="shared" si="125"/>
        <v>288.48730819898702</v>
      </c>
      <c r="DT171" s="60">
        <f ca="1">AVERAGE(OFFSET($DS$3,0,0,'Données projet'!$E$14+1,1))-AVERAGE(OFFSET($H$3,0,0,'Données projet'!$E$14+1,1))</f>
        <v>312.59632808777332</v>
      </c>
      <c r="DU171" s="60">
        <f t="shared" si="152"/>
        <v>302.59481222418219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0</v>
      </c>
      <c r="EE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-1.1368683772161603E-13</v>
      </c>
      <c r="EK171" s="18">
        <f>EJ171*VLOOKUP('Données projet'!$B$15,Paramètres!$A$1:$I$89,3,0)*VLOOKUP('Données projet'!$B$15,Paramètres!$A$1:$I$89,5,0)</f>
        <v>-9.7543306765146564E-14</v>
      </c>
      <c r="EL171" s="14" t="e">
        <f t="shared" si="179"/>
        <v>#NUM!</v>
      </c>
      <c r="EM171" s="22" t="e">
        <f t="shared" si="180"/>
        <v>#NUM!</v>
      </c>
      <c r="EN171" s="60" t="e">
        <f t="shared" si="128"/>
        <v>#NUM!</v>
      </c>
      <c r="EO171" s="60">
        <f ca="1">AVERAGE(OFFSET($EN$3,0,0,'Données projet'!$E$15+1,1))-AVERAGE(OFFSET($H$3,0,0,'Données projet'!$E$15+1,1))</f>
        <v>478.11504516179713</v>
      </c>
      <c r="EP171" s="60">
        <f t="shared" si="154"/>
        <v>249.93713224442419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0</v>
      </c>
      <c r="EW171" s="23">
        <f>EXP(-LN(2)/25)*EW170+(1-EXP(-LN(2)/25))/(LN(2)/25)*Calculateur!ER171*Calculateur!ET171*VLOOKUP('Données projet'!$B$15,Paramètres!$A$1:$I$89,3,0)*0.475*44/12</f>
        <v>0</v>
      </c>
      <c r="EX171" s="23">
        <f>EXP(-LN(2)/2)*EX170+(1-EXP(-LN(2)/2))/(LN(2)/2)*ER171*EU171*VLOOKUP('Données projet'!$B$15,Paramètres!$A$1:$I$89,3,0)*0.475*44/12</f>
        <v>0</v>
      </c>
      <c r="EY171" s="24">
        <f t="shared" si="181"/>
        <v>0</v>
      </c>
      <c r="EZ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-1.1368683772161603E-13</v>
      </c>
      <c r="FF171" s="18">
        <f>FE171*VLOOKUP('Données projet'!$B$16,Paramètres!$A$1:$I$89,3,0)*VLOOKUP('Données projet'!$B$16,Paramètres!$A$1:$I$89,5,0)</f>
        <v>-1.0995790944434703E-13</v>
      </c>
      <c r="FG171" s="14" t="e">
        <f t="shared" si="182"/>
        <v>#NUM!</v>
      </c>
      <c r="FH171" s="22" t="e">
        <f t="shared" si="183"/>
        <v>#NUM!</v>
      </c>
      <c r="FI171" s="60" t="e">
        <f t="shared" si="131"/>
        <v>#NUM!</v>
      </c>
      <c r="FJ171" s="60">
        <f ca="1">AVERAGE(OFFSET($FI$3,0,0,'Données projet'!$E$16+1,1))-AVERAGE(OFFSET($H$3,0,0,'Données projet'!$E$16+1,1))</f>
        <v>603.52431522262032</v>
      </c>
      <c r="FK171" s="60">
        <f t="shared" si="156"/>
        <v>313.56299786481338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>
        <f>EXP(-LN(2)/35)*FQ170+(1-EXP(-LN(2)/35))/(LN(2)/35)*FM171*FN171*VLOOKUP('Données projet'!$B$16,Paramètres!$A$1:$I$89,3,0)*0.475*44/12</f>
        <v>0</v>
      </c>
      <c r="FR171" s="23">
        <f>EXP(-LN(2)/25)*FR170+(1-EXP(-LN(2)/25))/(LN(2)/25)*Calculateur!FM171*Calculateur!FO171*VLOOKUP('Données projet'!$B$16,Paramètres!$A$1:$I$89,3,0)*0.475*44/12</f>
        <v>0</v>
      </c>
      <c r="FS171" s="23">
        <f>EXP(-LN(2)/2)*FS170+(1-EXP(-LN(2)/2))/(LN(2)/2)*FM171*FP171*VLOOKUP('Données projet'!$B$16,Paramètres!$A$1:$I$89,3,0)*0.475*44/12</f>
        <v>0</v>
      </c>
      <c r="FT171" s="24">
        <f t="shared" si="184"/>
        <v>0</v>
      </c>
      <c r="FU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>
        <f>FZ171*VLOOKUP('Données projet'!$B$17,Paramètres!$A$1:$I$89,3,0)*VLOOKUP('Données projet'!$B$17,Paramètres!$A$1:$I$89,5,0)</f>
        <v>0</v>
      </c>
      <c r="GB171" s="14" t="e">
        <f t="shared" si="185"/>
        <v>#NUM!</v>
      </c>
      <c r="GC171" s="22" t="e">
        <f t="shared" si="186"/>
        <v>#NUM!</v>
      </c>
      <c r="GD171" s="60" t="e">
        <f t="shared" si="134"/>
        <v>#NUM!</v>
      </c>
      <c r="GE171" s="60">
        <f ca="1">AVERAGE(OFFSET($GD$3,0,0,'Données projet'!$E$17+1,1))-AVERAGE(OFFSET($H$3,0,0,'Données projet'!$E$17+1,1))</f>
        <v>396.0878652679051</v>
      </c>
      <c r="GF171" s="60">
        <f t="shared" si="158"/>
        <v>327.26339199235406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>
        <f>EXP(-LN(2)/35)*GL170+(1-EXP(-LN(2)/35))/(LN(2)/35)*GH171*GI171*VLOOKUP('Données projet'!$B$17,Paramètres!$A$1:$I$89,3,0)*0.475*44/12</f>
        <v>0</v>
      </c>
      <c r="GM171" s="23">
        <f>EXP(-LN(2)/25)*GM170+(1-EXP(-LN(2)/25))/(LN(2)/25)*Calculateur!GH171*Calculateur!GJ171*VLOOKUP('Données projet'!$B$17,Paramètres!$A$1:$I$89,3,0)*0.475*44/12</f>
        <v>0</v>
      </c>
      <c r="GN171" s="23">
        <f>EXP(-LN(2)/2)*GN170+(1-EXP(-LN(2)/2))/(LN(2)/2)*GH171*GK171*VLOOKUP('Données projet'!$B$17,Paramètres!$A$1:$I$89,3,0)*0.475*44/12</f>
        <v>0</v>
      </c>
      <c r="GO171" s="23">
        <f t="shared" si="187"/>
        <v>0</v>
      </c>
      <c r="GP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-1.1368683772161603E-13</v>
      </c>
      <c r="GV171" s="18">
        <f>GU171*VLOOKUP('Données projet'!$B$18,Paramètres!$A$1:$I$89,3,0)*VLOOKUP('Données projet'!$B$18,Paramètres!$A$1:$I$89,5,0)</f>
        <v>-9.2222762759774927E-14</v>
      </c>
      <c r="GW171" s="14" t="e">
        <f t="shared" si="188"/>
        <v>#NUM!</v>
      </c>
      <c r="GX171" s="22" t="e">
        <f t="shared" si="189"/>
        <v>#NUM!</v>
      </c>
      <c r="GY171" s="60" t="e">
        <f t="shared" si="137"/>
        <v>#NUM!</v>
      </c>
      <c r="GZ171" s="60">
        <f ca="1">AVERAGE(OFFSET($GY$3,0,0,'Données projet'!$E$18+1,1))-AVERAGE(OFFSET($H$3,0,0,'Données projet'!$E$18+1,1))</f>
        <v>272.69564942740931</v>
      </c>
      <c r="HA171" s="60">
        <f t="shared" si="160"/>
        <v>316.57989180609252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>
        <f>EXP(-LN(2)/35)*HG170+(1-EXP(-LN(2)/35))/(LN(2)/35)*HC171*HD171*VLOOKUP('Données projet'!$B$18,Paramètres!$A$1:$I$89,3,0)*0.475*44/12</f>
        <v>0</v>
      </c>
      <c r="HH171" s="23">
        <f>EXP(-LN(2)/25)*HH170+(1-EXP(-LN(2)/25))/(LN(2)/25)*Calculateur!HC171*Calculateur!HE171*VLOOKUP('Données projet'!$B$18,Paramètres!$A$1:$I$89,3,0)*0.475*44/12</f>
        <v>0</v>
      </c>
      <c r="HI171" s="23">
        <f>EXP(-LN(2)/2)*HI170+(1-EXP(-LN(2)/2))/(LN(2)/2)*HC171*HF171*VLOOKUP('Données projet'!$B$18,Paramètres!$A$1:$I$89,3,0)*0.475*44/12</f>
        <v>0</v>
      </c>
      <c r="HJ171" s="24">
        <f t="shared" si="190"/>
        <v>0</v>
      </c>
    </row>
    <row r="172" spans="1:218" x14ac:dyDescent="0.25">
      <c r="A172" s="11">
        <f t="shared" si="161"/>
        <v>169</v>
      </c>
      <c r="B172" s="75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8">
        <f t="shared" si="110"/>
        <v>183.33333333333334</v>
      </c>
      <c r="I172" s="7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-1.1368683772161603E-13</v>
      </c>
      <c r="O172" s="14">
        <f>N172*VLOOKUP('Données projet'!$B$9,Paramètres!$A$1:$I$89,3,0)*VLOOKUP('Données projet'!$B$9,Paramètres!$A$1:$I$89,5,0)</f>
        <v>-1.0286385077051818E-13</v>
      </c>
      <c r="P172" s="14" t="e">
        <f t="shared" si="141"/>
        <v>#NUM!</v>
      </c>
      <c r="Q172" s="22" t="e">
        <f t="shared" si="162"/>
        <v>#NUM!</v>
      </c>
      <c r="R172" s="60" t="e">
        <f t="shared" si="109"/>
        <v>#NUM!</v>
      </c>
      <c r="S172" s="60">
        <f ca="1">AVERAGE(OFFSET($R$3,0,0,'Données projet'!$E$9+1,1))-AVERAGE(OFFSET($H$3,0,0,'Données projet'!$E$9+1,1))</f>
        <v>570.08763950759544</v>
      </c>
      <c r="T172" s="60">
        <f t="shared" si="142"/>
        <v>297.32483725004136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-5.6843418860808015E-14</v>
      </c>
      <c r="AJ172" s="14">
        <f>AI172*VLOOKUP('Données projet'!$B$10,Paramètres!$A$1:$I$89,3,0)*VLOOKUP('Données projet'!$B$10,Paramètres!$A$1:$I$89,5,0)</f>
        <v>-4.5224624045658861E-14</v>
      </c>
      <c r="AK172" s="14" t="e">
        <f t="shared" si="164"/>
        <v>#NUM!</v>
      </c>
      <c r="AL172" s="22" t="e">
        <f t="shared" si="165"/>
        <v>#NUM!</v>
      </c>
      <c r="AM172" s="60" t="e">
        <f t="shared" si="113"/>
        <v>#NUM!</v>
      </c>
      <c r="AN172" s="60">
        <f ca="1">AVERAGE(OFFSET($AM$3,0,0,'Données projet'!$E$10+1,1))-AVERAGE(OFFSET($H$3,0,0,'Données projet'!$E$10+1,1))</f>
        <v>394.49874384716014</v>
      </c>
      <c r="AO172" s="60">
        <f t="shared" si="144"/>
        <v>423.72519584013378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3.4106051316484809E-13</v>
      </c>
      <c r="BE172" s="14">
        <f>BD172*VLOOKUP('Données projet'!$B$11,Paramètres!$A$1:$I$89,3,0)*VLOOKUP('Données projet'!$B$11,Paramètres!$A$1:$I$89,5,0)</f>
        <v>2.9795046430081134E-13</v>
      </c>
      <c r="BF172" s="14">
        <f t="shared" si="167"/>
        <v>3.9419014464513778E-12</v>
      </c>
      <c r="BG172" s="22">
        <f t="shared" si="168"/>
        <v>7.384408744560063E-12</v>
      </c>
      <c r="BH172" s="60">
        <f t="shared" si="116"/>
        <v>288.57137590098381</v>
      </c>
      <c r="BI172" s="60">
        <f ca="1">AVERAGE(OFFSET($BH$3,0,0,'Données projet'!$E$11+1,1))-AVERAGE(OFFSET($H$3,0,0,'Données projet'!$E$11+1,1))</f>
        <v>363.28611056308665</v>
      </c>
      <c r="BJ172" s="60">
        <f t="shared" si="146"/>
        <v>389.43647559455974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5.6843418860808015E-14</v>
      </c>
      <c r="BZ172" s="14">
        <f>BY172*VLOOKUP('Données projet'!$B$12,Paramètres!$A$1:$I$89,3,0)*VLOOKUP('Données projet'!$B$12,Paramètres!$A$1:$I$89,5,0)</f>
        <v>5.4092197387944907E-14</v>
      </c>
      <c r="CA172" s="14">
        <f t="shared" si="170"/>
        <v>8.7287050538073676E-13</v>
      </c>
      <c r="CB172" s="22">
        <f t="shared" si="171"/>
        <v>1.6144600406554537E-12</v>
      </c>
      <c r="CC172" s="60">
        <f t="shared" si="119"/>
        <v>288.57137590097801</v>
      </c>
      <c r="CD172" s="60">
        <f ca="1">AVERAGE(OFFSET($CC$3,0,0,'Données projet'!$E$12+1,1))-AVERAGE(OFFSET($H$3,0,0,'Données projet'!$E$12+1,1))</f>
        <v>441.15969139782891</v>
      </c>
      <c r="CE172" s="60">
        <f t="shared" si="148"/>
        <v>315.06466790224783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-5.6843418860808015E-14</v>
      </c>
      <c r="CU172" s="18">
        <f>CT172*VLOOKUP('Données projet'!$B$13,Paramètres!$A$1:$I$89,3,0)*VLOOKUP('Données projet'!$B$13,Paramètres!$A$1:$I$89,5,0)</f>
        <v>-4.1677594708744434E-14</v>
      </c>
      <c r="CV172" s="14" t="e">
        <f t="shared" si="173"/>
        <v>#NUM!</v>
      </c>
      <c r="CW172" s="22" t="e">
        <f t="shared" si="174"/>
        <v>#NUM!</v>
      </c>
      <c r="CX172" s="60" t="e">
        <f t="shared" si="122"/>
        <v>#NUM!</v>
      </c>
      <c r="CY172" s="60">
        <f ca="1">AVERAGE(OFFSET($CX$3,0,0,'Données projet'!$E$13+1,1))-AVERAGE(OFFSET($H$3,0,0,'Données projet'!$E$13+1,1))</f>
        <v>368.35775920359396</v>
      </c>
      <c r="CZ172" s="60">
        <f t="shared" si="150"/>
        <v>395.5218438652638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1.1368683772161603E-13</v>
      </c>
      <c r="DP172" s="18">
        <f>DO172*VLOOKUP('Données projet'!$B$14,Paramètres!$A$1:$I$89,3,0)*VLOOKUP('Données projet'!$B$14,Paramètres!$A$1:$I$89,5,0)</f>
        <v>8.8675733422860506E-14</v>
      </c>
      <c r="DQ172" s="14">
        <f t="shared" si="176"/>
        <v>1.3509285393066301E-12</v>
      </c>
      <c r="DR172" s="22">
        <f t="shared" si="177"/>
        <v>2.5073107750038623E-12</v>
      </c>
      <c r="DS172" s="60">
        <f t="shared" si="125"/>
        <v>288.57137590097892</v>
      </c>
      <c r="DT172" s="60">
        <f ca="1">AVERAGE(OFFSET($DS$3,0,0,'Données projet'!$E$14+1,1))-AVERAGE(OFFSET($H$3,0,0,'Données projet'!$E$14+1,1))</f>
        <v>312.59632808777332</v>
      </c>
      <c r="DU172" s="60">
        <f t="shared" si="152"/>
        <v>302.59481222418219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0</v>
      </c>
      <c r="EE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-1.1368683772161603E-13</v>
      </c>
      <c r="EK172" s="18">
        <f>EJ172*VLOOKUP('Données projet'!$B$15,Paramètres!$A$1:$I$89,3,0)*VLOOKUP('Données projet'!$B$15,Paramètres!$A$1:$I$89,5,0)</f>
        <v>-9.7543306765146564E-14</v>
      </c>
      <c r="EL172" s="14" t="e">
        <f t="shared" si="179"/>
        <v>#NUM!</v>
      </c>
      <c r="EM172" s="22" t="e">
        <f t="shared" si="180"/>
        <v>#NUM!</v>
      </c>
      <c r="EN172" s="60" t="e">
        <f t="shared" si="128"/>
        <v>#NUM!</v>
      </c>
      <c r="EO172" s="60">
        <f ca="1">AVERAGE(OFFSET($EN$3,0,0,'Données projet'!$E$15+1,1))-AVERAGE(OFFSET($H$3,0,0,'Données projet'!$E$15+1,1))</f>
        <v>478.11504516179713</v>
      </c>
      <c r="EP172" s="60">
        <f t="shared" si="154"/>
        <v>249.93713224442419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0</v>
      </c>
      <c r="EW172" s="23">
        <f>EXP(-LN(2)/25)*EW171+(1-EXP(-LN(2)/25))/(LN(2)/25)*Calculateur!ER172*Calculateur!ET172*VLOOKUP('Données projet'!$B$15,Paramètres!$A$1:$I$89,3,0)*0.475*44/12</f>
        <v>0</v>
      </c>
      <c r="EX172" s="23">
        <f>EXP(-LN(2)/2)*EX171+(1-EXP(-LN(2)/2))/(LN(2)/2)*ER172*EU172*VLOOKUP('Données projet'!$B$15,Paramètres!$A$1:$I$89,3,0)*0.475*44/12</f>
        <v>0</v>
      </c>
      <c r="EY172" s="24">
        <f t="shared" si="181"/>
        <v>0</v>
      </c>
      <c r="EZ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-1.1368683772161603E-13</v>
      </c>
      <c r="FF172" s="18">
        <f>FE172*VLOOKUP('Données projet'!$B$16,Paramètres!$A$1:$I$89,3,0)*VLOOKUP('Données projet'!$B$16,Paramètres!$A$1:$I$89,5,0)</f>
        <v>-1.0995790944434703E-13</v>
      </c>
      <c r="FG172" s="14" t="e">
        <f t="shared" si="182"/>
        <v>#NUM!</v>
      </c>
      <c r="FH172" s="22" t="e">
        <f t="shared" si="183"/>
        <v>#NUM!</v>
      </c>
      <c r="FI172" s="60" t="e">
        <f t="shared" si="131"/>
        <v>#NUM!</v>
      </c>
      <c r="FJ172" s="60">
        <f ca="1">AVERAGE(OFFSET($FI$3,0,0,'Données projet'!$E$16+1,1))-AVERAGE(OFFSET($H$3,0,0,'Données projet'!$E$16+1,1))</f>
        <v>603.52431522262032</v>
      </c>
      <c r="FK172" s="60">
        <f t="shared" si="156"/>
        <v>313.56299786481338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>
        <f>EXP(-LN(2)/35)*FQ171+(1-EXP(-LN(2)/35))/(LN(2)/35)*FM172*FN172*VLOOKUP('Données projet'!$B$16,Paramètres!$A$1:$I$89,3,0)*0.475*44/12</f>
        <v>0</v>
      </c>
      <c r="FR172" s="23">
        <f>EXP(-LN(2)/25)*FR171+(1-EXP(-LN(2)/25))/(LN(2)/25)*Calculateur!FM172*Calculateur!FO172*VLOOKUP('Données projet'!$B$16,Paramètres!$A$1:$I$89,3,0)*0.475*44/12</f>
        <v>0</v>
      </c>
      <c r="FS172" s="23">
        <f>EXP(-LN(2)/2)*FS171+(1-EXP(-LN(2)/2))/(LN(2)/2)*FM172*FP172*VLOOKUP('Données projet'!$B$16,Paramètres!$A$1:$I$89,3,0)*0.475*44/12</f>
        <v>0</v>
      </c>
      <c r="FT172" s="24">
        <f t="shared" si="184"/>
        <v>0</v>
      </c>
      <c r="FU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>
        <f>FZ172*VLOOKUP('Données projet'!$B$17,Paramètres!$A$1:$I$89,3,0)*VLOOKUP('Données projet'!$B$17,Paramètres!$A$1:$I$89,5,0)</f>
        <v>0</v>
      </c>
      <c r="GB172" s="14" t="e">
        <f t="shared" si="185"/>
        <v>#NUM!</v>
      </c>
      <c r="GC172" s="22" t="e">
        <f t="shared" si="186"/>
        <v>#NUM!</v>
      </c>
      <c r="GD172" s="60" t="e">
        <f t="shared" si="134"/>
        <v>#NUM!</v>
      </c>
      <c r="GE172" s="60">
        <f ca="1">AVERAGE(OFFSET($GD$3,0,0,'Données projet'!$E$17+1,1))-AVERAGE(OFFSET($H$3,0,0,'Données projet'!$E$17+1,1))</f>
        <v>396.0878652679051</v>
      </c>
      <c r="GF172" s="60">
        <f t="shared" si="158"/>
        <v>327.26339199235406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>
        <f>EXP(-LN(2)/35)*GL171+(1-EXP(-LN(2)/35))/(LN(2)/35)*GH172*GI172*VLOOKUP('Données projet'!$B$17,Paramètres!$A$1:$I$89,3,0)*0.475*44/12</f>
        <v>0</v>
      </c>
      <c r="GM172" s="23">
        <f>EXP(-LN(2)/25)*GM171+(1-EXP(-LN(2)/25))/(LN(2)/25)*Calculateur!GH172*Calculateur!GJ172*VLOOKUP('Données projet'!$B$17,Paramètres!$A$1:$I$89,3,0)*0.475*44/12</f>
        <v>0</v>
      </c>
      <c r="GN172" s="23">
        <f>EXP(-LN(2)/2)*GN171+(1-EXP(-LN(2)/2))/(LN(2)/2)*GH172*GK172*VLOOKUP('Données projet'!$B$17,Paramètres!$A$1:$I$89,3,0)*0.475*44/12</f>
        <v>0</v>
      </c>
      <c r="GO172" s="23">
        <f t="shared" si="187"/>
        <v>0</v>
      </c>
      <c r="GP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-1.1368683772161603E-13</v>
      </c>
      <c r="GV172" s="18">
        <f>GU172*VLOOKUP('Données projet'!$B$18,Paramètres!$A$1:$I$89,3,0)*VLOOKUP('Données projet'!$B$18,Paramètres!$A$1:$I$89,5,0)</f>
        <v>-9.2222762759774927E-14</v>
      </c>
      <c r="GW172" s="14" t="e">
        <f t="shared" si="188"/>
        <v>#NUM!</v>
      </c>
      <c r="GX172" s="22" t="e">
        <f t="shared" si="189"/>
        <v>#NUM!</v>
      </c>
      <c r="GY172" s="60" t="e">
        <f t="shared" si="137"/>
        <v>#NUM!</v>
      </c>
      <c r="GZ172" s="60">
        <f ca="1">AVERAGE(OFFSET($GY$3,0,0,'Données projet'!$E$18+1,1))-AVERAGE(OFFSET($H$3,0,0,'Données projet'!$E$18+1,1))</f>
        <v>272.69564942740931</v>
      </c>
      <c r="HA172" s="60">
        <f t="shared" si="160"/>
        <v>316.57989180609252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>
        <f>EXP(-LN(2)/35)*HG171+(1-EXP(-LN(2)/35))/(LN(2)/35)*HC172*HD172*VLOOKUP('Données projet'!$B$18,Paramètres!$A$1:$I$89,3,0)*0.475*44/12</f>
        <v>0</v>
      </c>
      <c r="HH172" s="23">
        <f>EXP(-LN(2)/25)*HH171+(1-EXP(-LN(2)/25))/(LN(2)/25)*Calculateur!HC172*Calculateur!HE172*VLOOKUP('Données projet'!$B$18,Paramètres!$A$1:$I$89,3,0)*0.475*44/12</f>
        <v>0</v>
      </c>
      <c r="HI172" s="23">
        <f>EXP(-LN(2)/2)*HI171+(1-EXP(-LN(2)/2))/(LN(2)/2)*HC172*HF172*VLOOKUP('Données projet'!$B$18,Paramètres!$A$1:$I$89,3,0)*0.475*44/12</f>
        <v>0</v>
      </c>
      <c r="HJ172" s="24">
        <f t="shared" si="190"/>
        <v>0</v>
      </c>
    </row>
    <row r="173" spans="1:218" x14ac:dyDescent="0.25">
      <c r="A173" s="11">
        <f t="shared" si="161"/>
        <v>170</v>
      </c>
      <c r="B173" s="75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8">
        <f t="shared" si="110"/>
        <v>183.33333333333334</v>
      </c>
      <c r="I173" s="7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-1.1368683772161603E-13</v>
      </c>
      <c r="O173" s="14">
        <f>N173*VLOOKUP('Données projet'!$B$9,Paramètres!$A$1:$I$89,3,0)*VLOOKUP('Données projet'!$B$9,Paramètres!$A$1:$I$89,5,0)</f>
        <v>-1.0286385077051818E-13</v>
      </c>
      <c r="P173" s="14" t="e">
        <f t="shared" si="141"/>
        <v>#NUM!</v>
      </c>
      <c r="Q173" s="22" t="e">
        <f t="shared" si="162"/>
        <v>#NUM!</v>
      </c>
      <c r="R173" s="60" t="e">
        <f t="shared" si="109"/>
        <v>#NUM!</v>
      </c>
      <c r="S173" s="60">
        <f ca="1">AVERAGE(OFFSET($R$3,0,0,'Données projet'!$E$9+1,1))-AVERAGE(OFFSET($H$3,0,0,'Données projet'!$E$9+1,1))</f>
        <v>570.08763950759544</v>
      </c>
      <c r="T173" s="60">
        <f t="shared" si="142"/>
        <v>297.32483725004136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-5.6843418860808015E-14</v>
      </c>
      <c r="AJ173" s="14">
        <f>AI173*VLOOKUP('Données projet'!$B$10,Paramètres!$A$1:$I$89,3,0)*VLOOKUP('Données projet'!$B$10,Paramètres!$A$1:$I$89,5,0)</f>
        <v>-4.5224624045658861E-14</v>
      </c>
      <c r="AK173" s="14" t="e">
        <f t="shared" si="164"/>
        <v>#NUM!</v>
      </c>
      <c r="AL173" s="22" t="e">
        <f t="shared" si="165"/>
        <v>#NUM!</v>
      </c>
      <c r="AM173" s="60" t="e">
        <f t="shared" si="113"/>
        <v>#NUM!</v>
      </c>
      <c r="AN173" s="60">
        <f ca="1">AVERAGE(OFFSET($AM$3,0,0,'Données projet'!$E$10+1,1))-AVERAGE(OFFSET($H$3,0,0,'Données projet'!$E$10+1,1))</f>
        <v>394.49874384716014</v>
      </c>
      <c r="AO173" s="60">
        <f t="shared" si="144"/>
        <v>423.72519584013378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3.4106051316484809E-13</v>
      </c>
      <c r="BE173" s="14">
        <f>BD173*VLOOKUP('Données projet'!$B$11,Paramètres!$A$1:$I$89,3,0)*VLOOKUP('Données projet'!$B$11,Paramètres!$A$1:$I$89,5,0)</f>
        <v>2.9795046430081134E-13</v>
      </c>
      <c r="BF173" s="14">
        <f t="shared" si="167"/>
        <v>3.9419014464513778E-12</v>
      </c>
      <c r="BG173" s="22">
        <f t="shared" si="168"/>
        <v>7.384408744560063E-12</v>
      </c>
      <c r="BH173" s="60">
        <f t="shared" si="116"/>
        <v>288.65398521629328</v>
      </c>
      <c r="BI173" s="60">
        <f ca="1">AVERAGE(OFFSET($BH$3,0,0,'Données projet'!$E$11+1,1))-AVERAGE(OFFSET($H$3,0,0,'Données projet'!$E$11+1,1))</f>
        <v>363.28611056308665</v>
      </c>
      <c r="BJ173" s="60">
        <f t="shared" si="146"/>
        <v>389.43647559455974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5.6843418860808015E-14</v>
      </c>
      <c r="BZ173" s="14">
        <f>BY173*VLOOKUP('Données projet'!$B$12,Paramètres!$A$1:$I$89,3,0)*VLOOKUP('Données projet'!$B$12,Paramètres!$A$1:$I$89,5,0)</f>
        <v>5.4092197387944907E-14</v>
      </c>
      <c r="CA173" s="14">
        <f t="shared" si="170"/>
        <v>8.7287050538073676E-13</v>
      </c>
      <c r="CB173" s="22">
        <f t="shared" si="171"/>
        <v>1.6144600406554537E-12</v>
      </c>
      <c r="CC173" s="60">
        <f t="shared" si="119"/>
        <v>288.65398521628748</v>
      </c>
      <c r="CD173" s="60">
        <f ca="1">AVERAGE(OFFSET($CC$3,0,0,'Données projet'!$E$12+1,1))-AVERAGE(OFFSET($H$3,0,0,'Données projet'!$E$12+1,1))</f>
        <v>441.15969139782891</v>
      </c>
      <c r="CE173" s="60">
        <f t="shared" si="148"/>
        <v>315.06466790224783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-5.6843418860808015E-14</v>
      </c>
      <c r="CU173" s="18">
        <f>CT173*VLOOKUP('Données projet'!$B$13,Paramètres!$A$1:$I$89,3,0)*VLOOKUP('Données projet'!$B$13,Paramètres!$A$1:$I$89,5,0)</f>
        <v>-4.1677594708744434E-14</v>
      </c>
      <c r="CV173" s="14" t="e">
        <f t="shared" si="173"/>
        <v>#NUM!</v>
      </c>
      <c r="CW173" s="22" t="e">
        <f t="shared" si="174"/>
        <v>#NUM!</v>
      </c>
      <c r="CX173" s="60" t="e">
        <f t="shared" si="122"/>
        <v>#NUM!</v>
      </c>
      <c r="CY173" s="60">
        <f ca="1">AVERAGE(OFFSET($CX$3,0,0,'Données projet'!$E$13+1,1))-AVERAGE(OFFSET($H$3,0,0,'Données projet'!$E$13+1,1))</f>
        <v>368.35775920359396</v>
      </c>
      <c r="CZ173" s="60">
        <f t="shared" si="150"/>
        <v>395.5218438652638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1.1368683772161603E-13</v>
      </c>
      <c r="DP173" s="18">
        <f>DO173*VLOOKUP('Données projet'!$B$14,Paramètres!$A$1:$I$89,3,0)*VLOOKUP('Données projet'!$B$14,Paramètres!$A$1:$I$89,5,0)</f>
        <v>8.8675733422860506E-14</v>
      </c>
      <c r="DQ173" s="14">
        <f t="shared" si="176"/>
        <v>1.3509285393066301E-12</v>
      </c>
      <c r="DR173" s="22">
        <f t="shared" si="177"/>
        <v>2.5073107750038623E-12</v>
      </c>
      <c r="DS173" s="60">
        <f t="shared" si="125"/>
        <v>288.65398521628839</v>
      </c>
      <c r="DT173" s="60">
        <f ca="1">AVERAGE(OFFSET($DS$3,0,0,'Données projet'!$E$14+1,1))-AVERAGE(OFFSET($H$3,0,0,'Données projet'!$E$14+1,1))</f>
        <v>312.59632808777332</v>
      </c>
      <c r="DU173" s="60">
        <f t="shared" si="152"/>
        <v>302.59481222418219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0</v>
      </c>
      <c r="EE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-1.1368683772161603E-13</v>
      </c>
      <c r="EK173" s="18">
        <f>EJ173*VLOOKUP('Données projet'!$B$15,Paramètres!$A$1:$I$89,3,0)*VLOOKUP('Données projet'!$B$15,Paramètres!$A$1:$I$89,5,0)</f>
        <v>-9.7543306765146564E-14</v>
      </c>
      <c r="EL173" s="14" t="e">
        <f t="shared" si="179"/>
        <v>#NUM!</v>
      </c>
      <c r="EM173" s="22" t="e">
        <f t="shared" si="180"/>
        <v>#NUM!</v>
      </c>
      <c r="EN173" s="60" t="e">
        <f t="shared" si="128"/>
        <v>#NUM!</v>
      </c>
      <c r="EO173" s="60">
        <f ca="1">AVERAGE(OFFSET($EN$3,0,0,'Données projet'!$E$15+1,1))-AVERAGE(OFFSET($H$3,0,0,'Données projet'!$E$15+1,1))</f>
        <v>478.11504516179713</v>
      </c>
      <c r="EP173" s="60">
        <f t="shared" si="154"/>
        <v>249.93713224442419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0</v>
      </c>
      <c r="EW173" s="23">
        <f>EXP(-LN(2)/25)*EW172+(1-EXP(-LN(2)/25))/(LN(2)/25)*Calculateur!ER173*Calculateur!ET173*VLOOKUP('Données projet'!$B$15,Paramètres!$A$1:$I$89,3,0)*0.475*44/12</f>
        <v>0</v>
      </c>
      <c r="EX173" s="23">
        <f>EXP(-LN(2)/2)*EX172+(1-EXP(-LN(2)/2))/(LN(2)/2)*ER173*EU173*VLOOKUP('Données projet'!$B$15,Paramètres!$A$1:$I$89,3,0)*0.475*44/12</f>
        <v>0</v>
      </c>
      <c r="EY173" s="24">
        <f t="shared" si="181"/>
        <v>0</v>
      </c>
      <c r="EZ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-1.1368683772161603E-13</v>
      </c>
      <c r="FF173" s="18">
        <f>FE173*VLOOKUP('Données projet'!$B$16,Paramètres!$A$1:$I$89,3,0)*VLOOKUP('Données projet'!$B$16,Paramètres!$A$1:$I$89,5,0)</f>
        <v>-1.0995790944434703E-13</v>
      </c>
      <c r="FG173" s="14" t="e">
        <f t="shared" si="182"/>
        <v>#NUM!</v>
      </c>
      <c r="FH173" s="22" t="e">
        <f t="shared" si="183"/>
        <v>#NUM!</v>
      </c>
      <c r="FI173" s="60" t="e">
        <f t="shared" si="131"/>
        <v>#NUM!</v>
      </c>
      <c r="FJ173" s="60">
        <f ca="1">AVERAGE(OFFSET($FI$3,0,0,'Données projet'!$E$16+1,1))-AVERAGE(OFFSET($H$3,0,0,'Données projet'!$E$16+1,1))</f>
        <v>603.52431522262032</v>
      </c>
      <c r="FK173" s="60">
        <f t="shared" si="156"/>
        <v>313.56299786481338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>
        <f>EXP(-LN(2)/35)*FQ172+(1-EXP(-LN(2)/35))/(LN(2)/35)*FM173*FN173*VLOOKUP('Données projet'!$B$16,Paramètres!$A$1:$I$89,3,0)*0.475*44/12</f>
        <v>0</v>
      </c>
      <c r="FR173" s="23">
        <f>EXP(-LN(2)/25)*FR172+(1-EXP(-LN(2)/25))/(LN(2)/25)*Calculateur!FM173*Calculateur!FO173*VLOOKUP('Données projet'!$B$16,Paramètres!$A$1:$I$89,3,0)*0.475*44/12</f>
        <v>0</v>
      </c>
      <c r="FS173" s="23">
        <f>EXP(-LN(2)/2)*FS172+(1-EXP(-LN(2)/2))/(LN(2)/2)*FM173*FP173*VLOOKUP('Données projet'!$B$16,Paramètres!$A$1:$I$89,3,0)*0.475*44/12</f>
        <v>0</v>
      </c>
      <c r="FT173" s="24">
        <f t="shared" si="184"/>
        <v>0</v>
      </c>
      <c r="FU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>
        <f>FZ173*VLOOKUP('Données projet'!$B$17,Paramètres!$A$1:$I$89,3,0)*VLOOKUP('Données projet'!$B$17,Paramètres!$A$1:$I$89,5,0)</f>
        <v>0</v>
      </c>
      <c r="GB173" s="14" t="e">
        <f t="shared" si="185"/>
        <v>#NUM!</v>
      </c>
      <c r="GC173" s="22" t="e">
        <f t="shared" si="186"/>
        <v>#NUM!</v>
      </c>
      <c r="GD173" s="60" t="e">
        <f t="shared" si="134"/>
        <v>#NUM!</v>
      </c>
      <c r="GE173" s="60">
        <f ca="1">AVERAGE(OFFSET($GD$3,0,0,'Données projet'!$E$17+1,1))-AVERAGE(OFFSET($H$3,0,0,'Données projet'!$E$17+1,1))</f>
        <v>396.0878652679051</v>
      </c>
      <c r="GF173" s="60">
        <f t="shared" si="158"/>
        <v>327.26339199235406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>
        <f>EXP(-LN(2)/35)*GL172+(1-EXP(-LN(2)/35))/(LN(2)/35)*GH173*GI173*VLOOKUP('Données projet'!$B$17,Paramètres!$A$1:$I$89,3,0)*0.475*44/12</f>
        <v>0</v>
      </c>
      <c r="GM173" s="23">
        <f>EXP(-LN(2)/25)*GM172+(1-EXP(-LN(2)/25))/(LN(2)/25)*Calculateur!GH173*Calculateur!GJ173*VLOOKUP('Données projet'!$B$17,Paramètres!$A$1:$I$89,3,0)*0.475*44/12</f>
        <v>0</v>
      </c>
      <c r="GN173" s="23">
        <f>EXP(-LN(2)/2)*GN172+(1-EXP(-LN(2)/2))/(LN(2)/2)*GH173*GK173*VLOOKUP('Données projet'!$B$17,Paramètres!$A$1:$I$89,3,0)*0.475*44/12</f>
        <v>0</v>
      </c>
      <c r="GO173" s="23">
        <f t="shared" si="187"/>
        <v>0</v>
      </c>
      <c r="GP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-1.1368683772161603E-13</v>
      </c>
      <c r="GV173" s="18">
        <f>GU173*VLOOKUP('Données projet'!$B$18,Paramètres!$A$1:$I$89,3,0)*VLOOKUP('Données projet'!$B$18,Paramètres!$A$1:$I$89,5,0)</f>
        <v>-9.2222762759774927E-14</v>
      </c>
      <c r="GW173" s="14" t="e">
        <f t="shared" si="188"/>
        <v>#NUM!</v>
      </c>
      <c r="GX173" s="22" t="e">
        <f t="shared" si="189"/>
        <v>#NUM!</v>
      </c>
      <c r="GY173" s="60" t="e">
        <f t="shared" si="137"/>
        <v>#NUM!</v>
      </c>
      <c r="GZ173" s="60">
        <f ca="1">AVERAGE(OFFSET($GY$3,0,0,'Données projet'!$E$18+1,1))-AVERAGE(OFFSET($H$3,0,0,'Données projet'!$E$18+1,1))</f>
        <v>272.69564942740931</v>
      </c>
      <c r="HA173" s="60">
        <f t="shared" si="160"/>
        <v>316.57989180609252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>
        <f>EXP(-LN(2)/35)*HG172+(1-EXP(-LN(2)/35))/(LN(2)/35)*HC173*HD173*VLOOKUP('Données projet'!$B$18,Paramètres!$A$1:$I$89,3,0)*0.475*44/12</f>
        <v>0</v>
      </c>
      <c r="HH173" s="23">
        <f>EXP(-LN(2)/25)*HH172+(1-EXP(-LN(2)/25))/(LN(2)/25)*Calculateur!HC173*Calculateur!HE173*VLOOKUP('Données projet'!$B$18,Paramètres!$A$1:$I$89,3,0)*0.475*44/12</f>
        <v>0</v>
      </c>
      <c r="HI173" s="23">
        <f>EXP(-LN(2)/2)*HI172+(1-EXP(-LN(2)/2))/(LN(2)/2)*HC173*HF173*VLOOKUP('Données projet'!$B$18,Paramètres!$A$1:$I$89,3,0)*0.475*44/12</f>
        <v>0</v>
      </c>
      <c r="HJ173" s="24">
        <f t="shared" si="190"/>
        <v>0</v>
      </c>
    </row>
    <row r="174" spans="1:218" x14ac:dyDescent="0.25">
      <c r="A174" s="11">
        <f t="shared" si="161"/>
        <v>171</v>
      </c>
      <c r="B174" s="75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8">
        <f t="shared" si="110"/>
        <v>183.33333333333334</v>
      </c>
      <c r="I174" s="7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-1.1368683772161603E-13</v>
      </c>
      <c r="O174" s="14">
        <f>N174*VLOOKUP('Données projet'!$B$9,Paramètres!$A$1:$I$89,3,0)*VLOOKUP('Données projet'!$B$9,Paramètres!$A$1:$I$89,5,0)</f>
        <v>-1.0286385077051818E-13</v>
      </c>
      <c r="P174" s="14" t="e">
        <f t="shared" si="141"/>
        <v>#NUM!</v>
      </c>
      <c r="Q174" s="22" t="e">
        <f t="shared" si="162"/>
        <v>#NUM!</v>
      </c>
      <c r="R174" s="60" t="e">
        <f t="shared" si="109"/>
        <v>#NUM!</v>
      </c>
      <c r="S174" s="60">
        <f ca="1">AVERAGE(OFFSET($R$3,0,0,'Données projet'!$E$9+1,1))-AVERAGE(OFFSET($H$3,0,0,'Données projet'!$E$9+1,1))</f>
        <v>570.08763950759544</v>
      </c>
      <c r="T174" s="60">
        <f t="shared" si="142"/>
        <v>297.32483725004136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-5.6843418860808015E-14</v>
      </c>
      <c r="AJ174" s="14">
        <f>AI174*VLOOKUP('Données projet'!$B$10,Paramètres!$A$1:$I$89,3,0)*VLOOKUP('Données projet'!$B$10,Paramètres!$A$1:$I$89,5,0)</f>
        <v>-4.5224624045658861E-14</v>
      </c>
      <c r="AK174" s="14" t="e">
        <f t="shared" si="164"/>
        <v>#NUM!</v>
      </c>
      <c r="AL174" s="22" t="e">
        <f t="shared" si="165"/>
        <v>#NUM!</v>
      </c>
      <c r="AM174" s="60" t="e">
        <f t="shared" si="113"/>
        <v>#NUM!</v>
      </c>
      <c r="AN174" s="60">
        <f ca="1">AVERAGE(OFFSET($AM$3,0,0,'Données projet'!$E$10+1,1))-AVERAGE(OFFSET($H$3,0,0,'Données projet'!$E$10+1,1))</f>
        <v>394.49874384716014</v>
      </c>
      <c r="AO174" s="60">
        <f t="shared" si="144"/>
        <v>423.72519584013378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3.4106051316484809E-13</v>
      </c>
      <c r="BE174" s="14">
        <f>BD174*VLOOKUP('Données projet'!$B$11,Paramètres!$A$1:$I$89,3,0)*VLOOKUP('Données projet'!$B$11,Paramètres!$A$1:$I$89,5,0)</f>
        <v>2.9795046430081134E-13</v>
      </c>
      <c r="BF174" s="14">
        <f t="shared" si="167"/>
        <v>3.9419014464513778E-12</v>
      </c>
      <c r="BG174" s="22">
        <f t="shared" si="168"/>
        <v>7.384408744560063E-12</v>
      </c>
      <c r="BH174" s="60">
        <f t="shared" si="116"/>
        <v>288.7351614446689</v>
      </c>
      <c r="BI174" s="60">
        <f ca="1">AVERAGE(OFFSET($BH$3,0,0,'Données projet'!$E$11+1,1))-AVERAGE(OFFSET($H$3,0,0,'Données projet'!$E$11+1,1))</f>
        <v>363.28611056308665</v>
      </c>
      <c r="BJ174" s="60">
        <f t="shared" si="146"/>
        <v>389.43647559455974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5.6843418860808015E-14</v>
      </c>
      <c r="BZ174" s="14">
        <f>BY174*VLOOKUP('Données projet'!$B$12,Paramètres!$A$1:$I$89,3,0)*VLOOKUP('Données projet'!$B$12,Paramètres!$A$1:$I$89,5,0)</f>
        <v>5.4092197387944907E-14</v>
      </c>
      <c r="CA174" s="14">
        <f t="shared" si="170"/>
        <v>8.7287050538073676E-13</v>
      </c>
      <c r="CB174" s="22">
        <f t="shared" si="171"/>
        <v>1.6144600406554537E-12</v>
      </c>
      <c r="CC174" s="60">
        <f t="shared" si="119"/>
        <v>288.73516144466311</v>
      </c>
      <c r="CD174" s="60">
        <f ca="1">AVERAGE(OFFSET($CC$3,0,0,'Données projet'!$E$12+1,1))-AVERAGE(OFFSET($H$3,0,0,'Données projet'!$E$12+1,1))</f>
        <v>441.15969139782891</v>
      </c>
      <c r="CE174" s="60">
        <f t="shared" si="148"/>
        <v>315.06466790224783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-5.6843418860808015E-14</v>
      </c>
      <c r="CU174" s="18">
        <f>CT174*VLOOKUP('Données projet'!$B$13,Paramètres!$A$1:$I$89,3,0)*VLOOKUP('Données projet'!$B$13,Paramètres!$A$1:$I$89,5,0)</f>
        <v>-4.1677594708744434E-14</v>
      </c>
      <c r="CV174" s="14" t="e">
        <f t="shared" si="173"/>
        <v>#NUM!</v>
      </c>
      <c r="CW174" s="22" t="e">
        <f t="shared" si="174"/>
        <v>#NUM!</v>
      </c>
      <c r="CX174" s="60" t="e">
        <f t="shared" si="122"/>
        <v>#NUM!</v>
      </c>
      <c r="CY174" s="60">
        <f ca="1">AVERAGE(OFFSET($CX$3,0,0,'Données projet'!$E$13+1,1))-AVERAGE(OFFSET($H$3,0,0,'Données projet'!$E$13+1,1))</f>
        <v>368.35775920359396</v>
      </c>
      <c r="CZ174" s="60">
        <f t="shared" si="150"/>
        <v>395.5218438652638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1.1368683772161603E-13</v>
      </c>
      <c r="DP174" s="18">
        <f>DO174*VLOOKUP('Données projet'!$B$14,Paramètres!$A$1:$I$89,3,0)*VLOOKUP('Données projet'!$B$14,Paramètres!$A$1:$I$89,5,0)</f>
        <v>8.8675733422860506E-14</v>
      </c>
      <c r="DQ174" s="14">
        <f t="shared" si="176"/>
        <v>1.3509285393066301E-12</v>
      </c>
      <c r="DR174" s="22">
        <f t="shared" si="177"/>
        <v>2.5073107750038623E-12</v>
      </c>
      <c r="DS174" s="60">
        <f t="shared" si="125"/>
        <v>288.73516144466402</v>
      </c>
      <c r="DT174" s="60">
        <f ca="1">AVERAGE(OFFSET($DS$3,0,0,'Données projet'!$E$14+1,1))-AVERAGE(OFFSET($H$3,0,0,'Données projet'!$E$14+1,1))</f>
        <v>312.59632808777332</v>
      </c>
      <c r="DU174" s="60">
        <f t="shared" si="152"/>
        <v>302.59481222418219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0</v>
      </c>
      <c r="EE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-1.1368683772161603E-13</v>
      </c>
      <c r="EK174" s="18">
        <f>EJ174*VLOOKUP('Données projet'!$B$15,Paramètres!$A$1:$I$89,3,0)*VLOOKUP('Données projet'!$B$15,Paramètres!$A$1:$I$89,5,0)</f>
        <v>-9.7543306765146564E-14</v>
      </c>
      <c r="EL174" s="14" t="e">
        <f t="shared" si="179"/>
        <v>#NUM!</v>
      </c>
      <c r="EM174" s="22" t="e">
        <f t="shared" si="180"/>
        <v>#NUM!</v>
      </c>
      <c r="EN174" s="60" t="e">
        <f t="shared" si="128"/>
        <v>#NUM!</v>
      </c>
      <c r="EO174" s="60">
        <f ca="1">AVERAGE(OFFSET($EN$3,0,0,'Données projet'!$E$15+1,1))-AVERAGE(OFFSET($H$3,0,0,'Données projet'!$E$15+1,1))</f>
        <v>478.11504516179713</v>
      </c>
      <c r="EP174" s="60">
        <f t="shared" si="154"/>
        <v>249.93713224442419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0</v>
      </c>
      <c r="EW174" s="23">
        <f>EXP(-LN(2)/25)*EW173+(1-EXP(-LN(2)/25))/(LN(2)/25)*Calculateur!ER174*Calculateur!ET174*VLOOKUP('Données projet'!$B$15,Paramètres!$A$1:$I$89,3,0)*0.475*44/12</f>
        <v>0</v>
      </c>
      <c r="EX174" s="23">
        <f>EXP(-LN(2)/2)*EX173+(1-EXP(-LN(2)/2))/(LN(2)/2)*ER174*EU174*VLOOKUP('Données projet'!$B$15,Paramètres!$A$1:$I$89,3,0)*0.475*44/12</f>
        <v>0</v>
      </c>
      <c r="EY174" s="24">
        <f t="shared" si="181"/>
        <v>0</v>
      </c>
      <c r="EZ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-1.1368683772161603E-13</v>
      </c>
      <c r="FF174" s="18">
        <f>FE174*VLOOKUP('Données projet'!$B$16,Paramètres!$A$1:$I$89,3,0)*VLOOKUP('Données projet'!$B$16,Paramètres!$A$1:$I$89,5,0)</f>
        <v>-1.0995790944434703E-13</v>
      </c>
      <c r="FG174" s="14" t="e">
        <f t="shared" si="182"/>
        <v>#NUM!</v>
      </c>
      <c r="FH174" s="22" t="e">
        <f t="shared" si="183"/>
        <v>#NUM!</v>
      </c>
      <c r="FI174" s="60" t="e">
        <f t="shared" si="131"/>
        <v>#NUM!</v>
      </c>
      <c r="FJ174" s="60">
        <f ca="1">AVERAGE(OFFSET($FI$3,0,0,'Données projet'!$E$16+1,1))-AVERAGE(OFFSET($H$3,0,0,'Données projet'!$E$16+1,1))</f>
        <v>603.52431522262032</v>
      </c>
      <c r="FK174" s="60">
        <f t="shared" si="156"/>
        <v>313.56299786481338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>
        <f>EXP(-LN(2)/35)*FQ173+(1-EXP(-LN(2)/35))/(LN(2)/35)*FM174*FN174*VLOOKUP('Données projet'!$B$16,Paramètres!$A$1:$I$89,3,0)*0.475*44/12</f>
        <v>0</v>
      </c>
      <c r="FR174" s="23">
        <f>EXP(-LN(2)/25)*FR173+(1-EXP(-LN(2)/25))/(LN(2)/25)*Calculateur!FM174*Calculateur!FO174*VLOOKUP('Données projet'!$B$16,Paramètres!$A$1:$I$89,3,0)*0.475*44/12</f>
        <v>0</v>
      </c>
      <c r="FS174" s="23">
        <f>EXP(-LN(2)/2)*FS173+(1-EXP(-LN(2)/2))/(LN(2)/2)*FM174*FP174*VLOOKUP('Données projet'!$B$16,Paramètres!$A$1:$I$89,3,0)*0.475*44/12</f>
        <v>0</v>
      </c>
      <c r="FT174" s="24">
        <f t="shared" si="184"/>
        <v>0</v>
      </c>
      <c r="FU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>
        <f>FZ174*VLOOKUP('Données projet'!$B$17,Paramètres!$A$1:$I$89,3,0)*VLOOKUP('Données projet'!$B$17,Paramètres!$A$1:$I$89,5,0)</f>
        <v>0</v>
      </c>
      <c r="GB174" s="14" t="e">
        <f t="shared" si="185"/>
        <v>#NUM!</v>
      </c>
      <c r="GC174" s="22" t="e">
        <f t="shared" si="186"/>
        <v>#NUM!</v>
      </c>
      <c r="GD174" s="60" t="e">
        <f t="shared" si="134"/>
        <v>#NUM!</v>
      </c>
      <c r="GE174" s="60">
        <f ca="1">AVERAGE(OFFSET($GD$3,0,0,'Données projet'!$E$17+1,1))-AVERAGE(OFFSET($H$3,0,0,'Données projet'!$E$17+1,1))</f>
        <v>396.0878652679051</v>
      </c>
      <c r="GF174" s="60">
        <f t="shared" si="158"/>
        <v>327.26339199235406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>
        <f>EXP(-LN(2)/35)*GL173+(1-EXP(-LN(2)/35))/(LN(2)/35)*GH174*GI174*VLOOKUP('Données projet'!$B$17,Paramètres!$A$1:$I$89,3,0)*0.475*44/12</f>
        <v>0</v>
      </c>
      <c r="GM174" s="23">
        <f>EXP(-LN(2)/25)*GM173+(1-EXP(-LN(2)/25))/(LN(2)/25)*Calculateur!GH174*Calculateur!GJ174*VLOOKUP('Données projet'!$B$17,Paramètres!$A$1:$I$89,3,0)*0.475*44/12</f>
        <v>0</v>
      </c>
      <c r="GN174" s="23">
        <f>EXP(-LN(2)/2)*GN173+(1-EXP(-LN(2)/2))/(LN(2)/2)*GH174*GK174*VLOOKUP('Données projet'!$B$17,Paramètres!$A$1:$I$89,3,0)*0.475*44/12</f>
        <v>0</v>
      </c>
      <c r="GO174" s="23">
        <f t="shared" si="187"/>
        <v>0</v>
      </c>
      <c r="GP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-1.1368683772161603E-13</v>
      </c>
      <c r="GV174" s="18">
        <f>GU174*VLOOKUP('Données projet'!$B$18,Paramètres!$A$1:$I$89,3,0)*VLOOKUP('Données projet'!$B$18,Paramètres!$A$1:$I$89,5,0)</f>
        <v>-9.2222762759774927E-14</v>
      </c>
      <c r="GW174" s="14" t="e">
        <f t="shared" si="188"/>
        <v>#NUM!</v>
      </c>
      <c r="GX174" s="22" t="e">
        <f t="shared" si="189"/>
        <v>#NUM!</v>
      </c>
      <c r="GY174" s="60" t="e">
        <f t="shared" si="137"/>
        <v>#NUM!</v>
      </c>
      <c r="GZ174" s="60">
        <f ca="1">AVERAGE(OFFSET($GY$3,0,0,'Données projet'!$E$18+1,1))-AVERAGE(OFFSET($H$3,0,0,'Données projet'!$E$18+1,1))</f>
        <v>272.69564942740931</v>
      </c>
      <c r="HA174" s="60">
        <f t="shared" si="160"/>
        <v>316.57989180609252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>
        <f>EXP(-LN(2)/35)*HG173+(1-EXP(-LN(2)/35))/(LN(2)/35)*HC174*HD174*VLOOKUP('Données projet'!$B$18,Paramètres!$A$1:$I$89,3,0)*0.475*44/12</f>
        <v>0</v>
      </c>
      <c r="HH174" s="23">
        <f>EXP(-LN(2)/25)*HH173+(1-EXP(-LN(2)/25))/(LN(2)/25)*Calculateur!HC174*Calculateur!HE174*VLOOKUP('Données projet'!$B$18,Paramètres!$A$1:$I$89,3,0)*0.475*44/12</f>
        <v>0</v>
      </c>
      <c r="HI174" s="23">
        <f>EXP(-LN(2)/2)*HI173+(1-EXP(-LN(2)/2))/(LN(2)/2)*HC174*HF174*VLOOKUP('Données projet'!$B$18,Paramètres!$A$1:$I$89,3,0)*0.475*44/12</f>
        <v>0</v>
      </c>
      <c r="HJ174" s="24">
        <f t="shared" si="190"/>
        <v>0</v>
      </c>
    </row>
    <row r="175" spans="1:218" x14ac:dyDescent="0.25">
      <c r="A175" s="11">
        <f t="shared" si="161"/>
        <v>172</v>
      </c>
      <c r="B175" s="75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8">
        <f t="shared" si="110"/>
        <v>183.33333333333334</v>
      </c>
      <c r="I175" s="7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-1.1368683772161603E-13</v>
      </c>
      <c r="O175" s="14">
        <f>N175*VLOOKUP('Données projet'!$B$9,Paramètres!$A$1:$I$89,3,0)*VLOOKUP('Données projet'!$B$9,Paramètres!$A$1:$I$89,5,0)</f>
        <v>-1.0286385077051818E-13</v>
      </c>
      <c r="P175" s="14" t="e">
        <f t="shared" si="141"/>
        <v>#NUM!</v>
      </c>
      <c r="Q175" s="22" t="e">
        <f t="shared" si="162"/>
        <v>#NUM!</v>
      </c>
      <c r="R175" s="60" t="e">
        <f t="shared" si="109"/>
        <v>#NUM!</v>
      </c>
      <c r="S175" s="60">
        <f ca="1">AVERAGE(OFFSET($R$3,0,0,'Données projet'!$E$9+1,1))-AVERAGE(OFFSET($H$3,0,0,'Données projet'!$E$9+1,1))</f>
        <v>570.08763950759544</v>
      </c>
      <c r="T175" s="60">
        <f t="shared" si="142"/>
        <v>297.32483725004136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-5.6843418860808015E-14</v>
      </c>
      <c r="AJ175" s="14">
        <f>AI175*VLOOKUP('Données projet'!$B$10,Paramètres!$A$1:$I$89,3,0)*VLOOKUP('Données projet'!$B$10,Paramètres!$A$1:$I$89,5,0)</f>
        <v>-4.5224624045658861E-14</v>
      </c>
      <c r="AK175" s="14" t="e">
        <f t="shared" si="164"/>
        <v>#NUM!</v>
      </c>
      <c r="AL175" s="22" t="e">
        <f t="shared" si="165"/>
        <v>#NUM!</v>
      </c>
      <c r="AM175" s="60" t="e">
        <f t="shared" si="113"/>
        <v>#NUM!</v>
      </c>
      <c r="AN175" s="60">
        <f ca="1">AVERAGE(OFFSET($AM$3,0,0,'Données projet'!$E$10+1,1))-AVERAGE(OFFSET($H$3,0,0,'Données projet'!$E$10+1,1))</f>
        <v>394.49874384716014</v>
      </c>
      <c r="AO175" s="60">
        <f t="shared" si="144"/>
        <v>423.72519584013378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3.4106051316484809E-13</v>
      </c>
      <c r="BE175" s="14">
        <f>BD175*VLOOKUP('Données projet'!$B$11,Paramètres!$A$1:$I$89,3,0)*VLOOKUP('Données projet'!$B$11,Paramètres!$A$1:$I$89,5,0)</f>
        <v>2.9795046430081134E-13</v>
      </c>
      <c r="BF175" s="14">
        <f t="shared" si="167"/>
        <v>3.9419014464513778E-12</v>
      </c>
      <c r="BG175" s="22">
        <f t="shared" si="168"/>
        <v>7.384408744560063E-12</v>
      </c>
      <c r="BH175" s="60">
        <f t="shared" si="116"/>
        <v>288.81492944696504</v>
      </c>
      <c r="BI175" s="60">
        <f ca="1">AVERAGE(OFFSET($BH$3,0,0,'Données projet'!$E$11+1,1))-AVERAGE(OFFSET($H$3,0,0,'Données projet'!$E$11+1,1))</f>
        <v>363.28611056308665</v>
      </c>
      <c r="BJ175" s="60">
        <f t="shared" si="146"/>
        <v>389.43647559455974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5.6843418860808015E-14</v>
      </c>
      <c r="BZ175" s="14">
        <f>BY175*VLOOKUP('Données projet'!$B$12,Paramètres!$A$1:$I$89,3,0)*VLOOKUP('Données projet'!$B$12,Paramètres!$A$1:$I$89,5,0)</f>
        <v>5.4092197387944907E-14</v>
      </c>
      <c r="CA175" s="14">
        <f t="shared" si="170"/>
        <v>8.7287050538073676E-13</v>
      </c>
      <c r="CB175" s="22">
        <f t="shared" si="171"/>
        <v>1.6144600406554537E-12</v>
      </c>
      <c r="CC175" s="60">
        <f t="shared" si="119"/>
        <v>288.81492944695924</v>
      </c>
      <c r="CD175" s="60">
        <f ca="1">AVERAGE(OFFSET($CC$3,0,0,'Données projet'!$E$12+1,1))-AVERAGE(OFFSET($H$3,0,0,'Données projet'!$E$12+1,1))</f>
        <v>441.15969139782891</v>
      </c>
      <c r="CE175" s="60">
        <f t="shared" si="148"/>
        <v>315.06466790224783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-5.6843418860808015E-14</v>
      </c>
      <c r="CU175" s="18">
        <f>CT175*VLOOKUP('Données projet'!$B$13,Paramètres!$A$1:$I$89,3,0)*VLOOKUP('Données projet'!$B$13,Paramètres!$A$1:$I$89,5,0)</f>
        <v>-4.1677594708744434E-14</v>
      </c>
      <c r="CV175" s="14" t="e">
        <f t="shared" si="173"/>
        <v>#NUM!</v>
      </c>
      <c r="CW175" s="22" t="e">
        <f t="shared" si="174"/>
        <v>#NUM!</v>
      </c>
      <c r="CX175" s="60" t="e">
        <f t="shared" si="122"/>
        <v>#NUM!</v>
      </c>
      <c r="CY175" s="60">
        <f ca="1">AVERAGE(OFFSET($CX$3,0,0,'Données projet'!$E$13+1,1))-AVERAGE(OFFSET($H$3,0,0,'Données projet'!$E$13+1,1))</f>
        <v>368.35775920359396</v>
      </c>
      <c r="CZ175" s="60">
        <f t="shared" si="150"/>
        <v>395.5218438652638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1.1368683772161603E-13</v>
      </c>
      <c r="DP175" s="18">
        <f>DO175*VLOOKUP('Données projet'!$B$14,Paramètres!$A$1:$I$89,3,0)*VLOOKUP('Données projet'!$B$14,Paramètres!$A$1:$I$89,5,0)</f>
        <v>8.8675733422860506E-14</v>
      </c>
      <c r="DQ175" s="14">
        <f t="shared" si="176"/>
        <v>1.3509285393066301E-12</v>
      </c>
      <c r="DR175" s="22">
        <f t="shared" si="177"/>
        <v>2.5073107750038623E-12</v>
      </c>
      <c r="DS175" s="60">
        <f t="shared" si="125"/>
        <v>288.81492944696015</v>
      </c>
      <c r="DT175" s="60">
        <f ca="1">AVERAGE(OFFSET($DS$3,0,0,'Données projet'!$E$14+1,1))-AVERAGE(OFFSET($H$3,0,0,'Données projet'!$E$14+1,1))</f>
        <v>312.59632808777332</v>
      </c>
      <c r="DU175" s="60">
        <f t="shared" si="152"/>
        <v>302.59481222418219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0</v>
      </c>
      <c r="EE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-1.1368683772161603E-13</v>
      </c>
      <c r="EK175" s="18">
        <f>EJ175*VLOOKUP('Données projet'!$B$15,Paramètres!$A$1:$I$89,3,0)*VLOOKUP('Données projet'!$B$15,Paramètres!$A$1:$I$89,5,0)</f>
        <v>-9.7543306765146564E-14</v>
      </c>
      <c r="EL175" s="14" t="e">
        <f t="shared" si="179"/>
        <v>#NUM!</v>
      </c>
      <c r="EM175" s="22" t="e">
        <f t="shared" si="180"/>
        <v>#NUM!</v>
      </c>
      <c r="EN175" s="60" t="e">
        <f t="shared" si="128"/>
        <v>#NUM!</v>
      </c>
      <c r="EO175" s="60">
        <f ca="1">AVERAGE(OFFSET($EN$3,0,0,'Données projet'!$E$15+1,1))-AVERAGE(OFFSET($H$3,0,0,'Données projet'!$E$15+1,1))</f>
        <v>478.11504516179713</v>
      </c>
      <c r="EP175" s="60">
        <f t="shared" si="154"/>
        <v>249.93713224442419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0</v>
      </c>
      <c r="EW175" s="23">
        <f>EXP(-LN(2)/25)*EW174+(1-EXP(-LN(2)/25))/(LN(2)/25)*Calculateur!ER175*Calculateur!ET175*VLOOKUP('Données projet'!$B$15,Paramètres!$A$1:$I$89,3,0)*0.475*44/12</f>
        <v>0</v>
      </c>
      <c r="EX175" s="23">
        <f>EXP(-LN(2)/2)*EX174+(1-EXP(-LN(2)/2))/(LN(2)/2)*ER175*EU175*VLOOKUP('Données projet'!$B$15,Paramètres!$A$1:$I$89,3,0)*0.475*44/12</f>
        <v>0</v>
      </c>
      <c r="EY175" s="24">
        <f t="shared" si="181"/>
        <v>0</v>
      </c>
      <c r="EZ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-1.1368683772161603E-13</v>
      </c>
      <c r="FF175" s="18">
        <f>FE175*VLOOKUP('Données projet'!$B$16,Paramètres!$A$1:$I$89,3,0)*VLOOKUP('Données projet'!$B$16,Paramètres!$A$1:$I$89,5,0)</f>
        <v>-1.0995790944434703E-13</v>
      </c>
      <c r="FG175" s="14" t="e">
        <f t="shared" si="182"/>
        <v>#NUM!</v>
      </c>
      <c r="FH175" s="22" t="e">
        <f t="shared" si="183"/>
        <v>#NUM!</v>
      </c>
      <c r="FI175" s="60" t="e">
        <f t="shared" si="131"/>
        <v>#NUM!</v>
      </c>
      <c r="FJ175" s="60">
        <f ca="1">AVERAGE(OFFSET($FI$3,0,0,'Données projet'!$E$16+1,1))-AVERAGE(OFFSET($H$3,0,0,'Données projet'!$E$16+1,1))</f>
        <v>603.52431522262032</v>
      </c>
      <c r="FK175" s="60">
        <f t="shared" si="156"/>
        <v>313.56299786481338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>
        <f>EXP(-LN(2)/35)*FQ174+(1-EXP(-LN(2)/35))/(LN(2)/35)*FM175*FN175*VLOOKUP('Données projet'!$B$16,Paramètres!$A$1:$I$89,3,0)*0.475*44/12</f>
        <v>0</v>
      </c>
      <c r="FR175" s="23">
        <f>EXP(-LN(2)/25)*FR174+(1-EXP(-LN(2)/25))/(LN(2)/25)*Calculateur!FM175*Calculateur!FO175*VLOOKUP('Données projet'!$B$16,Paramètres!$A$1:$I$89,3,0)*0.475*44/12</f>
        <v>0</v>
      </c>
      <c r="FS175" s="23">
        <f>EXP(-LN(2)/2)*FS174+(1-EXP(-LN(2)/2))/(LN(2)/2)*FM175*FP175*VLOOKUP('Données projet'!$B$16,Paramètres!$A$1:$I$89,3,0)*0.475*44/12</f>
        <v>0</v>
      </c>
      <c r="FT175" s="24">
        <f t="shared" si="184"/>
        <v>0</v>
      </c>
      <c r="FU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>
        <f>FZ175*VLOOKUP('Données projet'!$B$17,Paramètres!$A$1:$I$89,3,0)*VLOOKUP('Données projet'!$B$17,Paramètres!$A$1:$I$89,5,0)</f>
        <v>0</v>
      </c>
      <c r="GB175" s="14" t="e">
        <f t="shared" si="185"/>
        <v>#NUM!</v>
      </c>
      <c r="GC175" s="22" t="e">
        <f t="shared" si="186"/>
        <v>#NUM!</v>
      </c>
      <c r="GD175" s="60" t="e">
        <f t="shared" si="134"/>
        <v>#NUM!</v>
      </c>
      <c r="GE175" s="60">
        <f ca="1">AVERAGE(OFFSET($GD$3,0,0,'Données projet'!$E$17+1,1))-AVERAGE(OFFSET($H$3,0,0,'Données projet'!$E$17+1,1))</f>
        <v>396.0878652679051</v>
      </c>
      <c r="GF175" s="60">
        <f t="shared" si="158"/>
        <v>327.26339199235406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>
        <f>EXP(-LN(2)/35)*GL174+(1-EXP(-LN(2)/35))/(LN(2)/35)*GH175*GI175*VLOOKUP('Données projet'!$B$17,Paramètres!$A$1:$I$89,3,0)*0.475*44/12</f>
        <v>0</v>
      </c>
      <c r="GM175" s="23">
        <f>EXP(-LN(2)/25)*GM174+(1-EXP(-LN(2)/25))/(LN(2)/25)*Calculateur!GH175*Calculateur!GJ175*VLOOKUP('Données projet'!$B$17,Paramètres!$A$1:$I$89,3,0)*0.475*44/12</f>
        <v>0</v>
      </c>
      <c r="GN175" s="23">
        <f>EXP(-LN(2)/2)*GN174+(1-EXP(-LN(2)/2))/(LN(2)/2)*GH175*GK175*VLOOKUP('Données projet'!$B$17,Paramètres!$A$1:$I$89,3,0)*0.475*44/12</f>
        <v>0</v>
      </c>
      <c r="GO175" s="23">
        <f t="shared" si="187"/>
        <v>0</v>
      </c>
      <c r="GP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-1.1368683772161603E-13</v>
      </c>
      <c r="GV175" s="18">
        <f>GU175*VLOOKUP('Données projet'!$B$18,Paramètres!$A$1:$I$89,3,0)*VLOOKUP('Données projet'!$B$18,Paramètres!$A$1:$I$89,5,0)</f>
        <v>-9.2222762759774927E-14</v>
      </c>
      <c r="GW175" s="14" t="e">
        <f t="shared" si="188"/>
        <v>#NUM!</v>
      </c>
      <c r="GX175" s="22" t="e">
        <f t="shared" si="189"/>
        <v>#NUM!</v>
      </c>
      <c r="GY175" s="60" t="e">
        <f t="shared" si="137"/>
        <v>#NUM!</v>
      </c>
      <c r="GZ175" s="60">
        <f ca="1">AVERAGE(OFFSET($GY$3,0,0,'Données projet'!$E$18+1,1))-AVERAGE(OFFSET($H$3,0,0,'Données projet'!$E$18+1,1))</f>
        <v>272.69564942740931</v>
      </c>
      <c r="HA175" s="60">
        <f t="shared" si="160"/>
        <v>316.57989180609252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>
        <f>EXP(-LN(2)/35)*HG174+(1-EXP(-LN(2)/35))/(LN(2)/35)*HC175*HD175*VLOOKUP('Données projet'!$B$18,Paramètres!$A$1:$I$89,3,0)*0.475*44/12</f>
        <v>0</v>
      </c>
      <c r="HH175" s="23">
        <f>EXP(-LN(2)/25)*HH174+(1-EXP(-LN(2)/25))/(LN(2)/25)*Calculateur!HC175*Calculateur!HE175*VLOOKUP('Données projet'!$B$18,Paramètres!$A$1:$I$89,3,0)*0.475*44/12</f>
        <v>0</v>
      </c>
      <c r="HI175" s="23">
        <f>EXP(-LN(2)/2)*HI174+(1-EXP(-LN(2)/2))/(LN(2)/2)*HC175*HF175*VLOOKUP('Données projet'!$B$18,Paramètres!$A$1:$I$89,3,0)*0.475*44/12</f>
        <v>0</v>
      </c>
      <c r="HJ175" s="24">
        <f t="shared" si="190"/>
        <v>0</v>
      </c>
    </row>
    <row r="176" spans="1:218" x14ac:dyDescent="0.25">
      <c r="A176" s="11">
        <f t="shared" si="161"/>
        <v>173</v>
      </c>
      <c r="B176" s="75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8">
        <f t="shared" si="110"/>
        <v>183.33333333333334</v>
      </c>
      <c r="I176" s="7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-1.1368683772161603E-13</v>
      </c>
      <c r="O176" s="14">
        <f>N176*VLOOKUP('Données projet'!$B$9,Paramètres!$A$1:$I$89,3,0)*VLOOKUP('Données projet'!$B$9,Paramètres!$A$1:$I$89,5,0)</f>
        <v>-1.0286385077051818E-13</v>
      </c>
      <c r="P176" s="14" t="e">
        <f t="shared" si="141"/>
        <v>#NUM!</v>
      </c>
      <c r="Q176" s="22" t="e">
        <f t="shared" si="162"/>
        <v>#NUM!</v>
      </c>
      <c r="R176" s="60" t="e">
        <f t="shared" si="109"/>
        <v>#NUM!</v>
      </c>
      <c r="S176" s="60">
        <f ca="1">AVERAGE(OFFSET($R$3,0,0,'Données projet'!$E$9+1,1))-AVERAGE(OFFSET($H$3,0,0,'Données projet'!$E$9+1,1))</f>
        <v>570.08763950759544</v>
      </c>
      <c r="T176" s="60">
        <f t="shared" si="142"/>
        <v>297.32483725004136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-5.6843418860808015E-14</v>
      </c>
      <c r="AJ176" s="14">
        <f>AI176*VLOOKUP('Données projet'!$B$10,Paramètres!$A$1:$I$89,3,0)*VLOOKUP('Données projet'!$B$10,Paramètres!$A$1:$I$89,5,0)</f>
        <v>-4.5224624045658861E-14</v>
      </c>
      <c r="AK176" s="14" t="e">
        <f t="shared" si="164"/>
        <v>#NUM!</v>
      </c>
      <c r="AL176" s="22" t="e">
        <f t="shared" si="165"/>
        <v>#NUM!</v>
      </c>
      <c r="AM176" s="60" t="e">
        <f t="shared" si="113"/>
        <v>#NUM!</v>
      </c>
      <c r="AN176" s="60">
        <f ca="1">AVERAGE(OFFSET($AM$3,0,0,'Données projet'!$E$10+1,1))-AVERAGE(OFFSET($H$3,0,0,'Données projet'!$E$10+1,1))</f>
        <v>394.49874384716014</v>
      </c>
      <c r="AO176" s="60">
        <f t="shared" si="144"/>
        <v>423.72519584013378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3.4106051316484809E-13</v>
      </c>
      <c r="BE176" s="14">
        <f>BD176*VLOOKUP('Données projet'!$B$11,Paramètres!$A$1:$I$89,3,0)*VLOOKUP('Données projet'!$B$11,Paramètres!$A$1:$I$89,5,0)</f>
        <v>2.9795046430081134E-13</v>
      </c>
      <c r="BF176" s="14">
        <f t="shared" si="167"/>
        <v>3.9419014464513778E-12</v>
      </c>
      <c r="BG176" s="22">
        <f t="shared" si="168"/>
        <v>7.384408744560063E-12</v>
      </c>
      <c r="BH176" s="60">
        <f t="shared" si="116"/>
        <v>288.89331365275586</v>
      </c>
      <c r="BI176" s="60">
        <f ca="1">AVERAGE(OFFSET($BH$3,0,0,'Données projet'!$E$11+1,1))-AVERAGE(OFFSET($H$3,0,0,'Données projet'!$E$11+1,1))</f>
        <v>363.28611056308665</v>
      </c>
      <c r="BJ176" s="60">
        <f t="shared" si="146"/>
        <v>389.43647559455974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5.6843418860808015E-14</v>
      </c>
      <c r="BZ176" s="14">
        <f>BY176*VLOOKUP('Données projet'!$B$12,Paramètres!$A$1:$I$89,3,0)*VLOOKUP('Données projet'!$B$12,Paramètres!$A$1:$I$89,5,0)</f>
        <v>5.4092197387944907E-14</v>
      </c>
      <c r="CA176" s="14">
        <f t="shared" si="170"/>
        <v>8.7287050538073676E-13</v>
      </c>
      <c r="CB176" s="22">
        <f t="shared" si="171"/>
        <v>1.6144600406554537E-12</v>
      </c>
      <c r="CC176" s="60">
        <f t="shared" si="119"/>
        <v>288.89331365275007</v>
      </c>
      <c r="CD176" s="60">
        <f ca="1">AVERAGE(OFFSET($CC$3,0,0,'Données projet'!$E$12+1,1))-AVERAGE(OFFSET($H$3,0,0,'Données projet'!$E$12+1,1))</f>
        <v>441.15969139782891</v>
      </c>
      <c r="CE176" s="60">
        <f t="shared" si="148"/>
        <v>315.06466790224783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-5.6843418860808015E-14</v>
      </c>
      <c r="CU176" s="18">
        <f>CT176*VLOOKUP('Données projet'!$B$13,Paramètres!$A$1:$I$89,3,0)*VLOOKUP('Données projet'!$B$13,Paramètres!$A$1:$I$89,5,0)</f>
        <v>-4.1677594708744434E-14</v>
      </c>
      <c r="CV176" s="14" t="e">
        <f t="shared" si="173"/>
        <v>#NUM!</v>
      </c>
      <c r="CW176" s="22" t="e">
        <f t="shared" si="174"/>
        <v>#NUM!</v>
      </c>
      <c r="CX176" s="60" t="e">
        <f t="shared" si="122"/>
        <v>#NUM!</v>
      </c>
      <c r="CY176" s="60">
        <f ca="1">AVERAGE(OFFSET($CX$3,0,0,'Données projet'!$E$13+1,1))-AVERAGE(OFFSET($H$3,0,0,'Données projet'!$E$13+1,1))</f>
        <v>368.35775920359396</v>
      </c>
      <c r="CZ176" s="60">
        <f t="shared" si="150"/>
        <v>395.5218438652638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1.1368683772161603E-13</v>
      </c>
      <c r="DP176" s="18">
        <f>DO176*VLOOKUP('Données projet'!$B$14,Paramètres!$A$1:$I$89,3,0)*VLOOKUP('Données projet'!$B$14,Paramètres!$A$1:$I$89,5,0)</f>
        <v>8.8675733422860506E-14</v>
      </c>
      <c r="DQ176" s="14">
        <f t="shared" si="176"/>
        <v>1.3509285393066301E-12</v>
      </c>
      <c r="DR176" s="22">
        <f t="shared" si="177"/>
        <v>2.5073107750038623E-12</v>
      </c>
      <c r="DS176" s="60">
        <f t="shared" si="125"/>
        <v>288.89331365275098</v>
      </c>
      <c r="DT176" s="60">
        <f ca="1">AVERAGE(OFFSET($DS$3,0,0,'Données projet'!$E$14+1,1))-AVERAGE(OFFSET($H$3,0,0,'Données projet'!$E$14+1,1))</f>
        <v>312.59632808777332</v>
      </c>
      <c r="DU176" s="60">
        <f t="shared" si="152"/>
        <v>302.59481222418219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0</v>
      </c>
      <c r="EE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-1.1368683772161603E-13</v>
      </c>
      <c r="EK176" s="18">
        <f>EJ176*VLOOKUP('Données projet'!$B$15,Paramètres!$A$1:$I$89,3,0)*VLOOKUP('Données projet'!$B$15,Paramètres!$A$1:$I$89,5,0)</f>
        <v>-9.7543306765146564E-14</v>
      </c>
      <c r="EL176" s="14" t="e">
        <f t="shared" si="179"/>
        <v>#NUM!</v>
      </c>
      <c r="EM176" s="22" t="e">
        <f t="shared" si="180"/>
        <v>#NUM!</v>
      </c>
      <c r="EN176" s="60" t="e">
        <f t="shared" si="128"/>
        <v>#NUM!</v>
      </c>
      <c r="EO176" s="60">
        <f ca="1">AVERAGE(OFFSET($EN$3,0,0,'Données projet'!$E$15+1,1))-AVERAGE(OFFSET($H$3,0,0,'Données projet'!$E$15+1,1))</f>
        <v>478.11504516179713</v>
      </c>
      <c r="EP176" s="60">
        <f t="shared" si="154"/>
        <v>249.93713224442419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0</v>
      </c>
      <c r="EW176" s="23">
        <f>EXP(-LN(2)/25)*EW175+(1-EXP(-LN(2)/25))/(LN(2)/25)*Calculateur!ER176*Calculateur!ET176*VLOOKUP('Données projet'!$B$15,Paramètres!$A$1:$I$89,3,0)*0.475*44/12</f>
        <v>0</v>
      </c>
      <c r="EX176" s="23">
        <f>EXP(-LN(2)/2)*EX175+(1-EXP(-LN(2)/2))/(LN(2)/2)*ER176*EU176*VLOOKUP('Données projet'!$B$15,Paramètres!$A$1:$I$89,3,0)*0.475*44/12</f>
        <v>0</v>
      </c>
      <c r="EY176" s="24">
        <f t="shared" si="181"/>
        <v>0</v>
      </c>
      <c r="EZ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-1.1368683772161603E-13</v>
      </c>
      <c r="FF176" s="18">
        <f>FE176*VLOOKUP('Données projet'!$B$16,Paramètres!$A$1:$I$89,3,0)*VLOOKUP('Données projet'!$B$16,Paramètres!$A$1:$I$89,5,0)</f>
        <v>-1.0995790944434703E-13</v>
      </c>
      <c r="FG176" s="14" t="e">
        <f t="shared" si="182"/>
        <v>#NUM!</v>
      </c>
      <c r="FH176" s="22" t="e">
        <f t="shared" si="183"/>
        <v>#NUM!</v>
      </c>
      <c r="FI176" s="60" t="e">
        <f t="shared" si="131"/>
        <v>#NUM!</v>
      </c>
      <c r="FJ176" s="60">
        <f ca="1">AVERAGE(OFFSET($FI$3,0,0,'Données projet'!$E$16+1,1))-AVERAGE(OFFSET($H$3,0,0,'Données projet'!$E$16+1,1))</f>
        <v>603.52431522262032</v>
      </c>
      <c r="FK176" s="60">
        <f t="shared" si="156"/>
        <v>313.56299786481338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>
        <f>EXP(-LN(2)/35)*FQ175+(1-EXP(-LN(2)/35))/(LN(2)/35)*FM176*FN176*VLOOKUP('Données projet'!$B$16,Paramètres!$A$1:$I$89,3,0)*0.475*44/12</f>
        <v>0</v>
      </c>
      <c r="FR176" s="23">
        <f>EXP(-LN(2)/25)*FR175+(1-EXP(-LN(2)/25))/(LN(2)/25)*Calculateur!FM176*Calculateur!FO176*VLOOKUP('Données projet'!$B$16,Paramètres!$A$1:$I$89,3,0)*0.475*44/12</f>
        <v>0</v>
      </c>
      <c r="FS176" s="23">
        <f>EXP(-LN(2)/2)*FS175+(1-EXP(-LN(2)/2))/(LN(2)/2)*FM176*FP176*VLOOKUP('Données projet'!$B$16,Paramètres!$A$1:$I$89,3,0)*0.475*44/12</f>
        <v>0</v>
      </c>
      <c r="FT176" s="24">
        <f t="shared" si="184"/>
        <v>0</v>
      </c>
      <c r="FU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>
        <f>FZ176*VLOOKUP('Données projet'!$B$17,Paramètres!$A$1:$I$89,3,0)*VLOOKUP('Données projet'!$B$17,Paramètres!$A$1:$I$89,5,0)</f>
        <v>0</v>
      </c>
      <c r="GB176" s="14" t="e">
        <f t="shared" si="185"/>
        <v>#NUM!</v>
      </c>
      <c r="GC176" s="22" t="e">
        <f t="shared" si="186"/>
        <v>#NUM!</v>
      </c>
      <c r="GD176" s="60" t="e">
        <f t="shared" si="134"/>
        <v>#NUM!</v>
      </c>
      <c r="GE176" s="60">
        <f ca="1">AVERAGE(OFFSET($GD$3,0,0,'Données projet'!$E$17+1,1))-AVERAGE(OFFSET($H$3,0,0,'Données projet'!$E$17+1,1))</f>
        <v>396.0878652679051</v>
      </c>
      <c r="GF176" s="60">
        <f t="shared" si="158"/>
        <v>327.26339199235406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>
        <f>EXP(-LN(2)/35)*GL175+(1-EXP(-LN(2)/35))/(LN(2)/35)*GH176*GI176*VLOOKUP('Données projet'!$B$17,Paramètres!$A$1:$I$89,3,0)*0.475*44/12</f>
        <v>0</v>
      </c>
      <c r="GM176" s="23">
        <f>EXP(-LN(2)/25)*GM175+(1-EXP(-LN(2)/25))/(LN(2)/25)*Calculateur!GH176*Calculateur!GJ176*VLOOKUP('Données projet'!$B$17,Paramètres!$A$1:$I$89,3,0)*0.475*44/12</f>
        <v>0</v>
      </c>
      <c r="GN176" s="23">
        <f>EXP(-LN(2)/2)*GN175+(1-EXP(-LN(2)/2))/(LN(2)/2)*GH176*GK176*VLOOKUP('Données projet'!$B$17,Paramètres!$A$1:$I$89,3,0)*0.475*44/12</f>
        <v>0</v>
      </c>
      <c r="GO176" s="23">
        <f t="shared" si="187"/>
        <v>0</v>
      </c>
      <c r="GP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-1.1368683772161603E-13</v>
      </c>
      <c r="GV176" s="18">
        <f>GU176*VLOOKUP('Données projet'!$B$18,Paramètres!$A$1:$I$89,3,0)*VLOOKUP('Données projet'!$B$18,Paramètres!$A$1:$I$89,5,0)</f>
        <v>-9.2222762759774927E-14</v>
      </c>
      <c r="GW176" s="14" t="e">
        <f t="shared" si="188"/>
        <v>#NUM!</v>
      </c>
      <c r="GX176" s="22" t="e">
        <f t="shared" si="189"/>
        <v>#NUM!</v>
      </c>
      <c r="GY176" s="60" t="e">
        <f t="shared" si="137"/>
        <v>#NUM!</v>
      </c>
      <c r="GZ176" s="60">
        <f ca="1">AVERAGE(OFFSET($GY$3,0,0,'Données projet'!$E$18+1,1))-AVERAGE(OFFSET($H$3,0,0,'Données projet'!$E$18+1,1))</f>
        <v>272.69564942740931</v>
      </c>
      <c r="HA176" s="60">
        <f t="shared" si="160"/>
        <v>316.57989180609252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>
        <f>EXP(-LN(2)/35)*HG175+(1-EXP(-LN(2)/35))/(LN(2)/35)*HC176*HD176*VLOOKUP('Données projet'!$B$18,Paramètres!$A$1:$I$89,3,0)*0.475*44/12</f>
        <v>0</v>
      </c>
      <c r="HH176" s="23">
        <f>EXP(-LN(2)/25)*HH175+(1-EXP(-LN(2)/25))/(LN(2)/25)*Calculateur!HC176*Calculateur!HE176*VLOOKUP('Données projet'!$B$18,Paramètres!$A$1:$I$89,3,0)*0.475*44/12</f>
        <v>0</v>
      </c>
      <c r="HI176" s="23">
        <f>EXP(-LN(2)/2)*HI175+(1-EXP(-LN(2)/2))/(LN(2)/2)*HC176*HF176*VLOOKUP('Données projet'!$B$18,Paramètres!$A$1:$I$89,3,0)*0.475*44/12</f>
        <v>0</v>
      </c>
      <c r="HJ176" s="24">
        <f t="shared" si="190"/>
        <v>0</v>
      </c>
    </row>
    <row r="177" spans="1:218" x14ac:dyDescent="0.25">
      <c r="A177" s="11">
        <f t="shared" si="161"/>
        <v>174</v>
      </c>
      <c r="B177" s="75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8">
        <f t="shared" si="110"/>
        <v>183.33333333333334</v>
      </c>
      <c r="I177" s="7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-1.1368683772161603E-13</v>
      </c>
      <c r="O177" s="14">
        <f>N177*VLOOKUP('Données projet'!$B$9,Paramètres!$A$1:$I$89,3,0)*VLOOKUP('Données projet'!$B$9,Paramètres!$A$1:$I$89,5,0)</f>
        <v>-1.0286385077051818E-13</v>
      </c>
      <c r="P177" s="14" t="e">
        <f t="shared" si="141"/>
        <v>#NUM!</v>
      </c>
      <c r="Q177" s="22" t="e">
        <f t="shared" si="162"/>
        <v>#NUM!</v>
      </c>
      <c r="R177" s="60" t="e">
        <f t="shared" si="109"/>
        <v>#NUM!</v>
      </c>
      <c r="S177" s="60">
        <f ca="1">AVERAGE(OFFSET($R$3,0,0,'Données projet'!$E$9+1,1))-AVERAGE(OFFSET($H$3,0,0,'Données projet'!$E$9+1,1))</f>
        <v>570.08763950759544</v>
      </c>
      <c r="T177" s="60">
        <f t="shared" si="142"/>
        <v>297.32483725004136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-5.6843418860808015E-14</v>
      </c>
      <c r="AJ177" s="14">
        <f>AI177*VLOOKUP('Données projet'!$B$10,Paramètres!$A$1:$I$89,3,0)*VLOOKUP('Données projet'!$B$10,Paramètres!$A$1:$I$89,5,0)</f>
        <v>-4.5224624045658861E-14</v>
      </c>
      <c r="AK177" s="14" t="e">
        <f t="shared" si="164"/>
        <v>#NUM!</v>
      </c>
      <c r="AL177" s="22" t="e">
        <f t="shared" si="165"/>
        <v>#NUM!</v>
      </c>
      <c r="AM177" s="60" t="e">
        <f t="shared" si="113"/>
        <v>#NUM!</v>
      </c>
      <c r="AN177" s="60">
        <f ca="1">AVERAGE(OFFSET($AM$3,0,0,'Données projet'!$E$10+1,1))-AVERAGE(OFFSET($H$3,0,0,'Données projet'!$E$10+1,1))</f>
        <v>394.49874384716014</v>
      </c>
      <c r="AO177" s="60">
        <f t="shared" si="144"/>
        <v>423.72519584013378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3.4106051316484809E-13</v>
      </c>
      <c r="BE177" s="14">
        <f>BD177*VLOOKUP('Données projet'!$B$11,Paramètres!$A$1:$I$89,3,0)*VLOOKUP('Données projet'!$B$11,Paramètres!$A$1:$I$89,5,0)</f>
        <v>2.9795046430081134E-13</v>
      </c>
      <c r="BF177" s="14">
        <f t="shared" si="167"/>
        <v>3.9419014464513778E-12</v>
      </c>
      <c r="BG177" s="22">
        <f t="shared" si="168"/>
        <v>7.384408744560063E-12</v>
      </c>
      <c r="BH177" s="60">
        <f t="shared" si="116"/>
        <v>288.97033806781712</v>
      </c>
      <c r="BI177" s="60">
        <f ca="1">AVERAGE(OFFSET($BH$3,0,0,'Données projet'!$E$11+1,1))-AVERAGE(OFFSET($H$3,0,0,'Données projet'!$E$11+1,1))</f>
        <v>363.28611056308665</v>
      </c>
      <c r="BJ177" s="60">
        <f t="shared" si="146"/>
        <v>389.43647559455974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5.6843418860808015E-14</v>
      </c>
      <c r="BZ177" s="14">
        <f>BY177*VLOOKUP('Données projet'!$B$12,Paramètres!$A$1:$I$89,3,0)*VLOOKUP('Données projet'!$B$12,Paramètres!$A$1:$I$89,5,0)</f>
        <v>5.4092197387944907E-14</v>
      </c>
      <c r="CA177" s="14">
        <f t="shared" si="170"/>
        <v>8.7287050538073676E-13</v>
      </c>
      <c r="CB177" s="22">
        <f t="shared" si="171"/>
        <v>1.6144600406554537E-12</v>
      </c>
      <c r="CC177" s="60">
        <f t="shared" si="119"/>
        <v>288.97033806781133</v>
      </c>
      <c r="CD177" s="60">
        <f ca="1">AVERAGE(OFFSET($CC$3,0,0,'Données projet'!$E$12+1,1))-AVERAGE(OFFSET($H$3,0,0,'Données projet'!$E$12+1,1))</f>
        <v>441.15969139782891</v>
      </c>
      <c r="CE177" s="60">
        <f t="shared" si="148"/>
        <v>315.06466790224783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-5.6843418860808015E-14</v>
      </c>
      <c r="CU177" s="18">
        <f>CT177*VLOOKUP('Données projet'!$B$13,Paramètres!$A$1:$I$89,3,0)*VLOOKUP('Données projet'!$B$13,Paramètres!$A$1:$I$89,5,0)</f>
        <v>-4.1677594708744434E-14</v>
      </c>
      <c r="CV177" s="14" t="e">
        <f t="shared" si="173"/>
        <v>#NUM!</v>
      </c>
      <c r="CW177" s="22" t="e">
        <f t="shared" si="174"/>
        <v>#NUM!</v>
      </c>
      <c r="CX177" s="60" t="e">
        <f t="shared" si="122"/>
        <v>#NUM!</v>
      </c>
      <c r="CY177" s="60">
        <f ca="1">AVERAGE(OFFSET($CX$3,0,0,'Données projet'!$E$13+1,1))-AVERAGE(OFFSET($H$3,0,0,'Données projet'!$E$13+1,1))</f>
        <v>368.35775920359396</v>
      </c>
      <c r="CZ177" s="60">
        <f t="shared" si="150"/>
        <v>395.5218438652638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1.1368683772161603E-13</v>
      </c>
      <c r="DP177" s="18">
        <f>DO177*VLOOKUP('Données projet'!$B$14,Paramètres!$A$1:$I$89,3,0)*VLOOKUP('Données projet'!$B$14,Paramètres!$A$1:$I$89,5,0)</f>
        <v>8.8675733422860506E-14</v>
      </c>
      <c r="DQ177" s="14">
        <f t="shared" si="176"/>
        <v>1.3509285393066301E-12</v>
      </c>
      <c r="DR177" s="22">
        <f t="shared" si="177"/>
        <v>2.5073107750038623E-12</v>
      </c>
      <c r="DS177" s="60">
        <f t="shared" si="125"/>
        <v>288.97033806781224</v>
      </c>
      <c r="DT177" s="60">
        <f ca="1">AVERAGE(OFFSET($DS$3,0,0,'Données projet'!$E$14+1,1))-AVERAGE(OFFSET($H$3,0,0,'Données projet'!$E$14+1,1))</f>
        <v>312.59632808777332</v>
      </c>
      <c r="DU177" s="60">
        <f t="shared" si="152"/>
        <v>302.59481222418219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0</v>
      </c>
      <c r="EE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-1.1368683772161603E-13</v>
      </c>
      <c r="EK177" s="18">
        <f>EJ177*VLOOKUP('Données projet'!$B$15,Paramètres!$A$1:$I$89,3,0)*VLOOKUP('Données projet'!$B$15,Paramètres!$A$1:$I$89,5,0)</f>
        <v>-9.7543306765146564E-14</v>
      </c>
      <c r="EL177" s="14" t="e">
        <f t="shared" si="179"/>
        <v>#NUM!</v>
      </c>
      <c r="EM177" s="22" t="e">
        <f t="shared" si="180"/>
        <v>#NUM!</v>
      </c>
      <c r="EN177" s="60" t="e">
        <f t="shared" si="128"/>
        <v>#NUM!</v>
      </c>
      <c r="EO177" s="60">
        <f ca="1">AVERAGE(OFFSET($EN$3,0,0,'Données projet'!$E$15+1,1))-AVERAGE(OFFSET($H$3,0,0,'Données projet'!$E$15+1,1))</f>
        <v>478.11504516179713</v>
      </c>
      <c r="EP177" s="60">
        <f t="shared" si="154"/>
        <v>249.93713224442419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0</v>
      </c>
      <c r="EW177" s="23">
        <f>EXP(-LN(2)/25)*EW176+(1-EXP(-LN(2)/25))/(LN(2)/25)*Calculateur!ER177*Calculateur!ET177*VLOOKUP('Données projet'!$B$15,Paramètres!$A$1:$I$89,3,0)*0.475*44/12</f>
        <v>0</v>
      </c>
      <c r="EX177" s="23">
        <f>EXP(-LN(2)/2)*EX176+(1-EXP(-LN(2)/2))/(LN(2)/2)*ER177*EU177*VLOOKUP('Données projet'!$B$15,Paramètres!$A$1:$I$89,3,0)*0.475*44/12</f>
        <v>0</v>
      </c>
      <c r="EY177" s="24">
        <f t="shared" si="181"/>
        <v>0</v>
      </c>
      <c r="EZ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-1.1368683772161603E-13</v>
      </c>
      <c r="FF177" s="18">
        <f>FE177*VLOOKUP('Données projet'!$B$16,Paramètres!$A$1:$I$89,3,0)*VLOOKUP('Données projet'!$B$16,Paramètres!$A$1:$I$89,5,0)</f>
        <v>-1.0995790944434703E-13</v>
      </c>
      <c r="FG177" s="14" t="e">
        <f t="shared" si="182"/>
        <v>#NUM!</v>
      </c>
      <c r="FH177" s="22" t="e">
        <f t="shared" si="183"/>
        <v>#NUM!</v>
      </c>
      <c r="FI177" s="60" t="e">
        <f t="shared" si="131"/>
        <v>#NUM!</v>
      </c>
      <c r="FJ177" s="60">
        <f ca="1">AVERAGE(OFFSET($FI$3,0,0,'Données projet'!$E$16+1,1))-AVERAGE(OFFSET($H$3,0,0,'Données projet'!$E$16+1,1))</f>
        <v>603.52431522262032</v>
      </c>
      <c r="FK177" s="60">
        <f t="shared" si="156"/>
        <v>313.56299786481338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>
        <f>EXP(-LN(2)/35)*FQ176+(1-EXP(-LN(2)/35))/(LN(2)/35)*FM177*FN177*VLOOKUP('Données projet'!$B$16,Paramètres!$A$1:$I$89,3,0)*0.475*44/12</f>
        <v>0</v>
      </c>
      <c r="FR177" s="23">
        <f>EXP(-LN(2)/25)*FR176+(1-EXP(-LN(2)/25))/(LN(2)/25)*Calculateur!FM177*Calculateur!FO177*VLOOKUP('Données projet'!$B$16,Paramètres!$A$1:$I$89,3,0)*0.475*44/12</f>
        <v>0</v>
      </c>
      <c r="FS177" s="23">
        <f>EXP(-LN(2)/2)*FS176+(1-EXP(-LN(2)/2))/(LN(2)/2)*FM177*FP177*VLOOKUP('Données projet'!$B$16,Paramètres!$A$1:$I$89,3,0)*0.475*44/12</f>
        <v>0</v>
      </c>
      <c r="FT177" s="24">
        <f t="shared" si="184"/>
        <v>0</v>
      </c>
      <c r="FU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>
        <f>FZ177*VLOOKUP('Données projet'!$B$17,Paramètres!$A$1:$I$89,3,0)*VLOOKUP('Données projet'!$B$17,Paramètres!$A$1:$I$89,5,0)</f>
        <v>0</v>
      </c>
      <c r="GB177" s="14" t="e">
        <f t="shared" si="185"/>
        <v>#NUM!</v>
      </c>
      <c r="GC177" s="22" t="e">
        <f t="shared" si="186"/>
        <v>#NUM!</v>
      </c>
      <c r="GD177" s="60" t="e">
        <f t="shared" si="134"/>
        <v>#NUM!</v>
      </c>
      <c r="GE177" s="60">
        <f ca="1">AVERAGE(OFFSET($GD$3,0,0,'Données projet'!$E$17+1,1))-AVERAGE(OFFSET($H$3,0,0,'Données projet'!$E$17+1,1))</f>
        <v>396.0878652679051</v>
      </c>
      <c r="GF177" s="60">
        <f t="shared" si="158"/>
        <v>327.26339199235406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>
        <f>EXP(-LN(2)/35)*GL176+(1-EXP(-LN(2)/35))/(LN(2)/35)*GH177*GI177*VLOOKUP('Données projet'!$B$17,Paramètres!$A$1:$I$89,3,0)*0.475*44/12</f>
        <v>0</v>
      </c>
      <c r="GM177" s="23">
        <f>EXP(-LN(2)/25)*GM176+(1-EXP(-LN(2)/25))/(LN(2)/25)*Calculateur!GH177*Calculateur!GJ177*VLOOKUP('Données projet'!$B$17,Paramètres!$A$1:$I$89,3,0)*0.475*44/12</f>
        <v>0</v>
      </c>
      <c r="GN177" s="23">
        <f>EXP(-LN(2)/2)*GN176+(1-EXP(-LN(2)/2))/(LN(2)/2)*GH177*GK177*VLOOKUP('Données projet'!$B$17,Paramètres!$A$1:$I$89,3,0)*0.475*44/12</f>
        <v>0</v>
      </c>
      <c r="GO177" s="23">
        <f t="shared" si="187"/>
        <v>0</v>
      </c>
      <c r="GP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-1.1368683772161603E-13</v>
      </c>
      <c r="GV177" s="18">
        <f>GU177*VLOOKUP('Données projet'!$B$18,Paramètres!$A$1:$I$89,3,0)*VLOOKUP('Données projet'!$B$18,Paramètres!$A$1:$I$89,5,0)</f>
        <v>-9.2222762759774927E-14</v>
      </c>
      <c r="GW177" s="14" t="e">
        <f t="shared" si="188"/>
        <v>#NUM!</v>
      </c>
      <c r="GX177" s="22" t="e">
        <f t="shared" si="189"/>
        <v>#NUM!</v>
      </c>
      <c r="GY177" s="60" t="e">
        <f t="shared" si="137"/>
        <v>#NUM!</v>
      </c>
      <c r="GZ177" s="60">
        <f ca="1">AVERAGE(OFFSET($GY$3,0,0,'Données projet'!$E$18+1,1))-AVERAGE(OFFSET($H$3,0,0,'Données projet'!$E$18+1,1))</f>
        <v>272.69564942740931</v>
      </c>
      <c r="HA177" s="60">
        <f t="shared" si="160"/>
        <v>316.57989180609252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>
        <f>EXP(-LN(2)/35)*HG176+(1-EXP(-LN(2)/35))/(LN(2)/35)*HC177*HD177*VLOOKUP('Données projet'!$B$18,Paramètres!$A$1:$I$89,3,0)*0.475*44/12</f>
        <v>0</v>
      </c>
      <c r="HH177" s="23">
        <f>EXP(-LN(2)/25)*HH176+(1-EXP(-LN(2)/25))/(LN(2)/25)*Calculateur!HC177*Calculateur!HE177*VLOOKUP('Données projet'!$B$18,Paramètres!$A$1:$I$89,3,0)*0.475*44/12</f>
        <v>0</v>
      </c>
      <c r="HI177" s="23">
        <f>EXP(-LN(2)/2)*HI176+(1-EXP(-LN(2)/2))/(LN(2)/2)*HC177*HF177*VLOOKUP('Données projet'!$B$18,Paramètres!$A$1:$I$89,3,0)*0.475*44/12</f>
        <v>0</v>
      </c>
      <c r="HJ177" s="24">
        <f t="shared" si="190"/>
        <v>0</v>
      </c>
    </row>
    <row r="178" spans="1:218" x14ac:dyDescent="0.25">
      <c r="A178" s="11">
        <f t="shared" si="161"/>
        <v>175</v>
      </c>
      <c r="B178" s="75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8">
        <f t="shared" si="110"/>
        <v>183.33333333333334</v>
      </c>
      <c r="I178" s="7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-1.1368683772161603E-13</v>
      </c>
      <c r="O178" s="14">
        <f>N178*VLOOKUP('Données projet'!$B$9,Paramètres!$A$1:$I$89,3,0)*VLOOKUP('Données projet'!$B$9,Paramètres!$A$1:$I$89,5,0)</f>
        <v>-1.0286385077051818E-13</v>
      </c>
      <c r="P178" s="14" t="e">
        <f t="shared" si="141"/>
        <v>#NUM!</v>
      </c>
      <c r="Q178" s="22" t="e">
        <f t="shared" si="162"/>
        <v>#NUM!</v>
      </c>
      <c r="R178" s="60" t="e">
        <f t="shared" si="109"/>
        <v>#NUM!</v>
      </c>
      <c r="S178" s="60">
        <f ca="1">AVERAGE(OFFSET($R$3,0,0,'Données projet'!$E$9+1,1))-AVERAGE(OFFSET($H$3,0,0,'Données projet'!$E$9+1,1))</f>
        <v>570.08763950759544</v>
      </c>
      <c r="T178" s="60">
        <f t="shared" si="142"/>
        <v>297.32483725004136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-5.6843418860808015E-14</v>
      </c>
      <c r="AJ178" s="14">
        <f>AI178*VLOOKUP('Données projet'!$B$10,Paramètres!$A$1:$I$89,3,0)*VLOOKUP('Données projet'!$B$10,Paramètres!$A$1:$I$89,5,0)</f>
        <v>-4.5224624045658861E-14</v>
      </c>
      <c r="AK178" s="14" t="e">
        <f t="shared" si="164"/>
        <v>#NUM!</v>
      </c>
      <c r="AL178" s="22" t="e">
        <f t="shared" si="165"/>
        <v>#NUM!</v>
      </c>
      <c r="AM178" s="60" t="e">
        <f t="shared" si="113"/>
        <v>#NUM!</v>
      </c>
      <c r="AN178" s="60">
        <f ca="1">AVERAGE(OFFSET($AM$3,0,0,'Données projet'!$E$10+1,1))-AVERAGE(OFFSET($H$3,0,0,'Données projet'!$E$10+1,1))</f>
        <v>394.49874384716014</v>
      </c>
      <c r="AO178" s="60">
        <f t="shared" si="144"/>
        <v>423.72519584013378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3.4106051316484809E-13</v>
      </c>
      <c r="BE178" s="14">
        <f>BD178*VLOOKUP('Données projet'!$B$11,Paramètres!$A$1:$I$89,3,0)*VLOOKUP('Données projet'!$B$11,Paramètres!$A$1:$I$89,5,0)</f>
        <v>2.9795046430081134E-13</v>
      </c>
      <c r="BF178" s="14">
        <f t="shared" si="167"/>
        <v>3.9419014464513778E-12</v>
      </c>
      <c r="BG178" s="22">
        <f t="shared" si="168"/>
        <v>7.384408744560063E-12</v>
      </c>
      <c r="BH178" s="60">
        <f t="shared" si="116"/>
        <v>289.04602628147779</v>
      </c>
      <c r="BI178" s="60">
        <f ca="1">AVERAGE(OFFSET($BH$3,0,0,'Données projet'!$E$11+1,1))-AVERAGE(OFFSET($H$3,0,0,'Données projet'!$E$11+1,1))</f>
        <v>363.28611056308665</v>
      </c>
      <c r="BJ178" s="60">
        <f t="shared" si="146"/>
        <v>389.43647559455974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5.6843418860808015E-14</v>
      </c>
      <c r="BZ178" s="14">
        <f>BY178*VLOOKUP('Données projet'!$B$12,Paramètres!$A$1:$I$89,3,0)*VLOOKUP('Données projet'!$B$12,Paramètres!$A$1:$I$89,5,0)</f>
        <v>5.4092197387944907E-14</v>
      </c>
      <c r="CA178" s="14">
        <f t="shared" si="170"/>
        <v>8.7287050538073676E-13</v>
      </c>
      <c r="CB178" s="22">
        <f t="shared" si="171"/>
        <v>1.6144600406554537E-12</v>
      </c>
      <c r="CC178" s="60">
        <f t="shared" si="119"/>
        <v>289.046026281472</v>
      </c>
      <c r="CD178" s="60">
        <f ca="1">AVERAGE(OFFSET($CC$3,0,0,'Données projet'!$E$12+1,1))-AVERAGE(OFFSET($H$3,0,0,'Données projet'!$E$12+1,1))</f>
        <v>441.15969139782891</v>
      </c>
      <c r="CE178" s="60">
        <f t="shared" si="148"/>
        <v>315.06466790224783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-5.6843418860808015E-14</v>
      </c>
      <c r="CU178" s="18">
        <f>CT178*VLOOKUP('Données projet'!$B$13,Paramètres!$A$1:$I$89,3,0)*VLOOKUP('Données projet'!$B$13,Paramètres!$A$1:$I$89,5,0)</f>
        <v>-4.1677594708744434E-14</v>
      </c>
      <c r="CV178" s="14" t="e">
        <f t="shared" si="173"/>
        <v>#NUM!</v>
      </c>
      <c r="CW178" s="22" t="e">
        <f t="shared" si="174"/>
        <v>#NUM!</v>
      </c>
      <c r="CX178" s="60" t="e">
        <f t="shared" si="122"/>
        <v>#NUM!</v>
      </c>
      <c r="CY178" s="60">
        <f ca="1">AVERAGE(OFFSET($CX$3,0,0,'Données projet'!$E$13+1,1))-AVERAGE(OFFSET($H$3,0,0,'Données projet'!$E$13+1,1))</f>
        <v>368.35775920359396</v>
      </c>
      <c r="CZ178" s="60">
        <f t="shared" si="150"/>
        <v>395.5218438652638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1.1368683772161603E-13</v>
      </c>
      <c r="DP178" s="18">
        <f>DO178*VLOOKUP('Données projet'!$B$14,Paramètres!$A$1:$I$89,3,0)*VLOOKUP('Données projet'!$B$14,Paramètres!$A$1:$I$89,5,0)</f>
        <v>8.8675733422860506E-14</v>
      </c>
      <c r="DQ178" s="14">
        <f t="shared" si="176"/>
        <v>1.3509285393066301E-12</v>
      </c>
      <c r="DR178" s="22">
        <f t="shared" si="177"/>
        <v>2.5073107750038623E-12</v>
      </c>
      <c r="DS178" s="60">
        <f t="shared" si="125"/>
        <v>289.0460262814729</v>
      </c>
      <c r="DT178" s="60">
        <f ca="1">AVERAGE(OFFSET($DS$3,0,0,'Données projet'!$E$14+1,1))-AVERAGE(OFFSET($H$3,0,0,'Données projet'!$E$14+1,1))</f>
        <v>312.59632808777332</v>
      </c>
      <c r="DU178" s="60">
        <f t="shared" si="152"/>
        <v>302.59481222418219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0</v>
      </c>
      <c r="EE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-1.1368683772161603E-13</v>
      </c>
      <c r="EK178" s="18">
        <f>EJ178*VLOOKUP('Données projet'!$B$15,Paramètres!$A$1:$I$89,3,0)*VLOOKUP('Données projet'!$B$15,Paramètres!$A$1:$I$89,5,0)</f>
        <v>-9.7543306765146564E-14</v>
      </c>
      <c r="EL178" s="14" t="e">
        <f t="shared" si="179"/>
        <v>#NUM!</v>
      </c>
      <c r="EM178" s="22" t="e">
        <f t="shared" si="180"/>
        <v>#NUM!</v>
      </c>
      <c r="EN178" s="60" t="e">
        <f t="shared" si="128"/>
        <v>#NUM!</v>
      </c>
      <c r="EO178" s="60">
        <f ca="1">AVERAGE(OFFSET($EN$3,0,0,'Données projet'!$E$15+1,1))-AVERAGE(OFFSET($H$3,0,0,'Données projet'!$E$15+1,1))</f>
        <v>478.11504516179713</v>
      </c>
      <c r="EP178" s="60">
        <f t="shared" si="154"/>
        <v>249.93713224442419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0</v>
      </c>
      <c r="EW178" s="23">
        <f>EXP(-LN(2)/25)*EW177+(1-EXP(-LN(2)/25))/(LN(2)/25)*Calculateur!ER178*Calculateur!ET178*VLOOKUP('Données projet'!$B$15,Paramètres!$A$1:$I$89,3,0)*0.475*44/12</f>
        <v>0</v>
      </c>
      <c r="EX178" s="23">
        <f>EXP(-LN(2)/2)*EX177+(1-EXP(-LN(2)/2))/(LN(2)/2)*ER178*EU178*VLOOKUP('Données projet'!$B$15,Paramètres!$A$1:$I$89,3,0)*0.475*44/12</f>
        <v>0</v>
      </c>
      <c r="EY178" s="24">
        <f t="shared" si="181"/>
        <v>0</v>
      </c>
      <c r="EZ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-1.1368683772161603E-13</v>
      </c>
      <c r="FF178" s="18">
        <f>FE178*VLOOKUP('Données projet'!$B$16,Paramètres!$A$1:$I$89,3,0)*VLOOKUP('Données projet'!$B$16,Paramètres!$A$1:$I$89,5,0)</f>
        <v>-1.0995790944434703E-13</v>
      </c>
      <c r="FG178" s="14" t="e">
        <f t="shared" si="182"/>
        <v>#NUM!</v>
      </c>
      <c r="FH178" s="22" t="e">
        <f t="shared" si="183"/>
        <v>#NUM!</v>
      </c>
      <c r="FI178" s="60" t="e">
        <f t="shared" si="131"/>
        <v>#NUM!</v>
      </c>
      <c r="FJ178" s="60">
        <f ca="1">AVERAGE(OFFSET($FI$3,0,0,'Données projet'!$E$16+1,1))-AVERAGE(OFFSET($H$3,0,0,'Données projet'!$E$16+1,1))</f>
        <v>603.52431522262032</v>
      </c>
      <c r="FK178" s="60">
        <f t="shared" si="156"/>
        <v>313.56299786481338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>
        <f>EXP(-LN(2)/35)*FQ177+(1-EXP(-LN(2)/35))/(LN(2)/35)*FM178*FN178*VLOOKUP('Données projet'!$B$16,Paramètres!$A$1:$I$89,3,0)*0.475*44/12</f>
        <v>0</v>
      </c>
      <c r="FR178" s="23">
        <f>EXP(-LN(2)/25)*FR177+(1-EXP(-LN(2)/25))/(LN(2)/25)*Calculateur!FM178*Calculateur!FO178*VLOOKUP('Données projet'!$B$16,Paramètres!$A$1:$I$89,3,0)*0.475*44/12</f>
        <v>0</v>
      </c>
      <c r="FS178" s="23">
        <f>EXP(-LN(2)/2)*FS177+(1-EXP(-LN(2)/2))/(LN(2)/2)*FM178*FP178*VLOOKUP('Données projet'!$B$16,Paramètres!$A$1:$I$89,3,0)*0.475*44/12</f>
        <v>0</v>
      </c>
      <c r="FT178" s="24">
        <f t="shared" si="184"/>
        <v>0</v>
      </c>
      <c r="FU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>
        <f>FZ178*VLOOKUP('Données projet'!$B$17,Paramètres!$A$1:$I$89,3,0)*VLOOKUP('Données projet'!$B$17,Paramètres!$A$1:$I$89,5,0)</f>
        <v>0</v>
      </c>
      <c r="GB178" s="14" t="e">
        <f t="shared" si="185"/>
        <v>#NUM!</v>
      </c>
      <c r="GC178" s="22" t="e">
        <f t="shared" si="186"/>
        <v>#NUM!</v>
      </c>
      <c r="GD178" s="60" t="e">
        <f t="shared" si="134"/>
        <v>#NUM!</v>
      </c>
      <c r="GE178" s="60">
        <f ca="1">AVERAGE(OFFSET($GD$3,0,0,'Données projet'!$E$17+1,1))-AVERAGE(OFFSET($H$3,0,0,'Données projet'!$E$17+1,1))</f>
        <v>396.0878652679051</v>
      </c>
      <c r="GF178" s="60">
        <f t="shared" si="158"/>
        <v>327.26339199235406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>
        <f>EXP(-LN(2)/35)*GL177+(1-EXP(-LN(2)/35))/(LN(2)/35)*GH178*GI178*VLOOKUP('Données projet'!$B$17,Paramètres!$A$1:$I$89,3,0)*0.475*44/12</f>
        <v>0</v>
      </c>
      <c r="GM178" s="23">
        <f>EXP(-LN(2)/25)*GM177+(1-EXP(-LN(2)/25))/(LN(2)/25)*Calculateur!GH178*Calculateur!GJ178*VLOOKUP('Données projet'!$B$17,Paramètres!$A$1:$I$89,3,0)*0.475*44/12</f>
        <v>0</v>
      </c>
      <c r="GN178" s="23">
        <f>EXP(-LN(2)/2)*GN177+(1-EXP(-LN(2)/2))/(LN(2)/2)*GH178*GK178*VLOOKUP('Données projet'!$B$17,Paramètres!$A$1:$I$89,3,0)*0.475*44/12</f>
        <v>0</v>
      </c>
      <c r="GO178" s="23">
        <f t="shared" si="187"/>
        <v>0</v>
      </c>
      <c r="GP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-1.1368683772161603E-13</v>
      </c>
      <c r="GV178" s="18">
        <f>GU178*VLOOKUP('Données projet'!$B$18,Paramètres!$A$1:$I$89,3,0)*VLOOKUP('Données projet'!$B$18,Paramètres!$A$1:$I$89,5,0)</f>
        <v>-9.2222762759774927E-14</v>
      </c>
      <c r="GW178" s="14" t="e">
        <f t="shared" si="188"/>
        <v>#NUM!</v>
      </c>
      <c r="GX178" s="22" t="e">
        <f t="shared" si="189"/>
        <v>#NUM!</v>
      </c>
      <c r="GY178" s="60" t="e">
        <f t="shared" si="137"/>
        <v>#NUM!</v>
      </c>
      <c r="GZ178" s="60">
        <f ca="1">AVERAGE(OFFSET($GY$3,0,0,'Données projet'!$E$18+1,1))-AVERAGE(OFFSET($H$3,0,0,'Données projet'!$E$18+1,1))</f>
        <v>272.69564942740931</v>
      </c>
      <c r="HA178" s="60">
        <f t="shared" si="160"/>
        <v>316.57989180609252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>
        <f>EXP(-LN(2)/35)*HG177+(1-EXP(-LN(2)/35))/(LN(2)/35)*HC178*HD178*VLOOKUP('Données projet'!$B$18,Paramètres!$A$1:$I$89,3,0)*0.475*44/12</f>
        <v>0</v>
      </c>
      <c r="HH178" s="23">
        <f>EXP(-LN(2)/25)*HH177+(1-EXP(-LN(2)/25))/(LN(2)/25)*Calculateur!HC178*Calculateur!HE178*VLOOKUP('Données projet'!$B$18,Paramètres!$A$1:$I$89,3,0)*0.475*44/12</f>
        <v>0</v>
      </c>
      <c r="HI178" s="23">
        <f>EXP(-LN(2)/2)*HI177+(1-EXP(-LN(2)/2))/(LN(2)/2)*HC178*HF178*VLOOKUP('Données projet'!$B$18,Paramètres!$A$1:$I$89,3,0)*0.475*44/12</f>
        <v>0</v>
      </c>
      <c r="HJ178" s="24">
        <f t="shared" si="190"/>
        <v>0</v>
      </c>
    </row>
    <row r="179" spans="1:218" x14ac:dyDescent="0.25">
      <c r="A179" s="11">
        <f t="shared" si="161"/>
        <v>176</v>
      </c>
      <c r="B179" s="75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8">
        <f t="shared" si="110"/>
        <v>183.33333333333334</v>
      </c>
      <c r="I179" s="7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-1.1368683772161603E-13</v>
      </c>
      <c r="O179" s="14">
        <f>N179*VLOOKUP('Données projet'!$B$9,Paramètres!$A$1:$I$89,3,0)*VLOOKUP('Données projet'!$B$9,Paramètres!$A$1:$I$89,5,0)</f>
        <v>-1.0286385077051818E-13</v>
      </c>
      <c r="P179" s="14" t="e">
        <f t="shared" si="141"/>
        <v>#NUM!</v>
      </c>
      <c r="Q179" s="22" t="e">
        <f t="shared" si="162"/>
        <v>#NUM!</v>
      </c>
      <c r="R179" s="60" t="e">
        <f t="shared" si="109"/>
        <v>#NUM!</v>
      </c>
      <c r="S179" s="60">
        <f ca="1">AVERAGE(OFFSET($R$3,0,0,'Données projet'!$E$9+1,1))-AVERAGE(OFFSET($H$3,0,0,'Données projet'!$E$9+1,1))</f>
        <v>570.08763950759544</v>
      </c>
      <c r="T179" s="60">
        <f t="shared" si="142"/>
        <v>297.32483725004136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-5.6843418860808015E-14</v>
      </c>
      <c r="AJ179" s="14">
        <f>AI179*VLOOKUP('Données projet'!$B$10,Paramètres!$A$1:$I$89,3,0)*VLOOKUP('Données projet'!$B$10,Paramètres!$A$1:$I$89,5,0)</f>
        <v>-4.5224624045658861E-14</v>
      </c>
      <c r="AK179" s="14" t="e">
        <f t="shared" si="164"/>
        <v>#NUM!</v>
      </c>
      <c r="AL179" s="22" t="e">
        <f t="shared" si="165"/>
        <v>#NUM!</v>
      </c>
      <c r="AM179" s="60" t="e">
        <f t="shared" si="113"/>
        <v>#NUM!</v>
      </c>
      <c r="AN179" s="60">
        <f ca="1">AVERAGE(OFFSET($AM$3,0,0,'Données projet'!$E$10+1,1))-AVERAGE(OFFSET($H$3,0,0,'Données projet'!$E$10+1,1))</f>
        <v>394.49874384716014</v>
      </c>
      <c r="AO179" s="60">
        <f t="shared" si="144"/>
        <v>423.72519584013378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3.4106051316484809E-13</v>
      </c>
      <c r="BE179" s="14">
        <f>BD179*VLOOKUP('Données projet'!$B$11,Paramètres!$A$1:$I$89,3,0)*VLOOKUP('Données projet'!$B$11,Paramètres!$A$1:$I$89,5,0)</f>
        <v>2.9795046430081134E-13</v>
      </c>
      <c r="BF179" s="14">
        <f t="shared" si="167"/>
        <v>3.9419014464513778E-12</v>
      </c>
      <c r="BG179" s="22">
        <f t="shared" si="168"/>
        <v>7.384408744560063E-12</v>
      </c>
      <c r="BH179" s="60">
        <f t="shared" si="116"/>
        <v>289.12040147384499</v>
      </c>
      <c r="BI179" s="60">
        <f ca="1">AVERAGE(OFFSET($BH$3,0,0,'Données projet'!$E$11+1,1))-AVERAGE(OFFSET($H$3,0,0,'Données projet'!$E$11+1,1))</f>
        <v>363.28611056308665</v>
      </c>
      <c r="BJ179" s="60">
        <f t="shared" si="146"/>
        <v>389.43647559455974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5.6843418860808015E-14</v>
      </c>
      <c r="BZ179" s="14">
        <f>BY179*VLOOKUP('Données projet'!$B$12,Paramètres!$A$1:$I$89,3,0)*VLOOKUP('Données projet'!$B$12,Paramètres!$A$1:$I$89,5,0)</f>
        <v>5.4092197387944907E-14</v>
      </c>
      <c r="CA179" s="14">
        <f t="shared" si="170"/>
        <v>8.7287050538073676E-13</v>
      </c>
      <c r="CB179" s="22">
        <f t="shared" si="171"/>
        <v>1.6144600406554537E-12</v>
      </c>
      <c r="CC179" s="60">
        <f t="shared" si="119"/>
        <v>289.12040147383919</v>
      </c>
      <c r="CD179" s="60">
        <f ca="1">AVERAGE(OFFSET($CC$3,0,0,'Données projet'!$E$12+1,1))-AVERAGE(OFFSET($H$3,0,0,'Données projet'!$E$12+1,1))</f>
        <v>441.15969139782891</v>
      </c>
      <c r="CE179" s="60">
        <f t="shared" si="148"/>
        <v>315.06466790224783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-5.6843418860808015E-14</v>
      </c>
      <c r="CU179" s="18">
        <f>CT179*VLOOKUP('Données projet'!$B$13,Paramètres!$A$1:$I$89,3,0)*VLOOKUP('Données projet'!$B$13,Paramètres!$A$1:$I$89,5,0)</f>
        <v>-4.1677594708744434E-14</v>
      </c>
      <c r="CV179" s="14" t="e">
        <f t="shared" si="173"/>
        <v>#NUM!</v>
      </c>
      <c r="CW179" s="22" t="e">
        <f t="shared" si="174"/>
        <v>#NUM!</v>
      </c>
      <c r="CX179" s="60" t="e">
        <f t="shared" si="122"/>
        <v>#NUM!</v>
      </c>
      <c r="CY179" s="60">
        <f ca="1">AVERAGE(OFFSET($CX$3,0,0,'Données projet'!$E$13+1,1))-AVERAGE(OFFSET($H$3,0,0,'Données projet'!$E$13+1,1))</f>
        <v>368.35775920359396</v>
      </c>
      <c r="CZ179" s="60">
        <f t="shared" si="150"/>
        <v>395.5218438652638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1.1368683772161603E-13</v>
      </c>
      <c r="DP179" s="18">
        <f>DO179*VLOOKUP('Données projet'!$B$14,Paramètres!$A$1:$I$89,3,0)*VLOOKUP('Données projet'!$B$14,Paramètres!$A$1:$I$89,5,0)</f>
        <v>8.8675733422860506E-14</v>
      </c>
      <c r="DQ179" s="14">
        <f t="shared" si="176"/>
        <v>1.3509285393066301E-12</v>
      </c>
      <c r="DR179" s="22">
        <f t="shared" si="177"/>
        <v>2.5073107750038623E-12</v>
      </c>
      <c r="DS179" s="60">
        <f t="shared" si="125"/>
        <v>289.1204014738401</v>
      </c>
      <c r="DT179" s="60">
        <f ca="1">AVERAGE(OFFSET($DS$3,0,0,'Données projet'!$E$14+1,1))-AVERAGE(OFFSET($H$3,0,0,'Données projet'!$E$14+1,1))</f>
        <v>312.59632808777332</v>
      </c>
      <c r="DU179" s="60">
        <f t="shared" si="152"/>
        <v>302.59481222418219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0</v>
      </c>
      <c r="EE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-1.1368683772161603E-13</v>
      </c>
      <c r="EK179" s="18">
        <f>EJ179*VLOOKUP('Données projet'!$B$15,Paramètres!$A$1:$I$89,3,0)*VLOOKUP('Données projet'!$B$15,Paramètres!$A$1:$I$89,5,0)</f>
        <v>-9.7543306765146564E-14</v>
      </c>
      <c r="EL179" s="14" t="e">
        <f t="shared" si="179"/>
        <v>#NUM!</v>
      </c>
      <c r="EM179" s="22" t="e">
        <f t="shared" si="180"/>
        <v>#NUM!</v>
      </c>
      <c r="EN179" s="60" t="e">
        <f t="shared" si="128"/>
        <v>#NUM!</v>
      </c>
      <c r="EO179" s="60">
        <f ca="1">AVERAGE(OFFSET($EN$3,0,0,'Données projet'!$E$15+1,1))-AVERAGE(OFFSET($H$3,0,0,'Données projet'!$E$15+1,1))</f>
        <v>478.11504516179713</v>
      </c>
      <c r="EP179" s="60">
        <f t="shared" si="154"/>
        <v>249.93713224442419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0</v>
      </c>
      <c r="EW179" s="23">
        <f>EXP(-LN(2)/25)*EW178+(1-EXP(-LN(2)/25))/(LN(2)/25)*Calculateur!ER179*Calculateur!ET179*VLOOKUP('Données projet'!$B$15,Paramètres!$A$1:$I$89,3,0)*0.475*44/12</f>
        <v>0</v>
      </c>
      <c r="EX179" s="23">
        <f>EXP(-LN(2)/2)*EX178+(1-EXP(-LN(2)/2))/(LN(2)/2)*ER179*EU179*VLOOKUP('Données projet'!$B$15,Paramètres!$A$1:$I$89,3,0)*0.475*44/12</f>
        <v>0</v>
      </c>
      <c r="EY179" s="24">
        <f t="shared" si="181"/>
        <v>0</v>
      </c>
      <c r="EZ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-1.1368683772161603E-13</v>
      </c>
      <c r="FF179" s="18">
        <f>FE179*VLOOKUP('Données projet'!$B$16,Paramètres!$A$1:$I$89,3,0)*VLOOKUP('Données projet'!$B$16,Paramètres!$A$1:$I$89,5,0)</f>
        <v>-1.0995790944434703E-13</v>
      </c>
      <c r="FG179" s="14" t="e">
        <f t="shared" si="182"/>
        <v>#NUM!</v>
      </c>
      <c r="FH179" s="22" t="e">
        <f t="shared" si="183"/>
        <v>#NUM!</v>
      </c>
      <c r="FI179" s="60" t="e">
        <f t="shared" si="131"/>
        <v>#NUM!</v>
      </c>
      <c r="FJ179" s="60">
        <f ca="1">AVERAGE(OFFSET($FI$3,0,0,'Données projet'!$E$16+1,1))-AVERAGE(OFFSET($H$3,0,0,'Données projet'!$E$16+1,1))</f>
        <v>603.52431522262032</v>
      </c>
      <c r="FK179" s="60">
        <f t="shared" si="156"/>
        <v>313.56299786481338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>
        <f>EXP(-LN(2)/35)*FQ178+(1-EXP(-LN(2)/35))/(LN(2)/35)*FM179*FN179*VLOOKUP('Données projet'!$B$16,Paramètres!$A$1:$I$89,3,0)*0.475*44/12</f>
        <v>0</v>
      </c>
      <c r="FR179" s="23">
        <f>EXP(-LN(2)/25)*FR178+(1-EXP(-LN(2)/25))/(LN(2)/25)*Calculateur!FM179*Calculateur!FO179*VLOOKUP('Données projet'!$B$16,Paramètres!$A$1:$I$89,3,0)*0.475*44/12</f>
        <v>0</v>
      </c>
      <c r="FS179" s="23">
        <f>EXP(-LN(2)/2)*FS178+(1-EXP(-LN(2)/2))/(LN(2)/2)*FM179*FP179*VLOOKUP('Données projet'!$B$16,Paramètres!$A$1:$I$89,3,0)*0.475*44/12</f>
        <v>0</v>
      </c>
      <c r="FT179" s="24">
        <f t="shared" si="184"/>
        <v>0</v>
      </c>
      <c r="FU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>
        <f>FZ179*VLOOKUP('Données projet'!$B$17,Paramètres!$A$1:$I$89,3,0)*VLOOKUP('Données projet'!$B$17,Paramètres!$A$1:$I$89,5,0)</f>
        <v>0</v>
      </c>
      <c r="GB179" s="14" t="e">
        <f t="shared" si="185"/>
        <v>#NUM!</v>
      </c>
      <c r="GC179" s="22" t="e">
        <f t="shared" si="186"/>
        <v>#NUM!</v>
      </c>
      <c r="GD179" s="60" t="e">
        <f t="shared" si="134"/>
        <v>#NUM!</v>
      </c>
      <c r="GE179" s="60">
        <f ca="1">AVERAGE(OFFSET($GD$3,0,0,'Données projet'!$E$17+1,1))-AVERAGE(OFFSET($H$3,0,0,'Données projet'!$E$17+1,1))</f>
        <v>396.0878652679051</v>
      </c>
      <c r="GF179" s="60">
        <f t="shared" si="158"/>
        <v>327.26339199235406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>
        <f>EXP(-LN(2)/35)*GL178+(1-EXP(-LN(2)/35))/(LN(2)/35)*GH179*GI179*VLOOKUP('Données projet'!$B$17,Paramètres!$A$1:$I$89,3,0)*0.475*44/12</f>
        <v>0</v>
      </c>
      <c r="GM179" s="23">
        <f>EXP(-LN(2)/25)*GM178+(1-EXP(-LN(2)/25))/(LN(2)/25)*Calculateur!GH179*Calculateur!GJ179*VLOOKUP('Données projet'!$B$17,Paramètres!$A$1:$I$89,3,0)*0.475*44/12</f>
        <v>0</v>
      </c>
      <c r="GN179" s="23">
        <f>EXP(-LN(2)/2)*GN178+(1-EXP(-LN(2)/2))/(LN(2)/2)*GH179*GK179*VLOOKUP('Données projet'!$B$17,Paramètres!$A$1:$I$89,3,0)*0.475*44/12</f>
        <v>0</v>
      </c>
      <c r="GO179" s="23">
        <f t="shared" si="187"/>
        <v>0</v>
      </c>
      <c r="GP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-1.1368683772161603E-13</v>
      </c>
      <c r="GV179" s="18">
        <f>GU179*VLOOKUP('Données projet'!$B$18,Paramètres!$A$1:$I$89,3,0)*VLOOKUP('Données projet'!$B$18,Paramètres!$A$1:$I$89,5,0)</f>
        <v>-9.2222762759774927E-14</v>
      </c>
      <c r="GW179" s="14" t="e">
        <f t="shared" si="188"/>
        <v>#NUM!</v>
      </c>
      <c r="GX179" s="22" t="e">
        <f t="shared" si="189"/>
        <v>#NUM!</v>
      </c>
      <c r="GY179" s="60" t="e">
        <f t="shared" si="137"/>
        <v>#NUM!</v>
      </c>
      <c r="GZ179" s="60">
        <f ca="1">AVERAGE(OFFSET($GY$3,0,0,'Données projet'!$E$18+1,1))-AVERAGE(OFFSET($H$3,0,0,'Données projet'!$E$18+1,1))</f>
        <v>272.69564942740931</v>
      </c>
      <c r="HA179" s="60">
        <f t="shared" si="160"/>
        <v>316.57989180609252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>
        <f>EXP(-LN(2)/35)*HG178+(1-EXP(-LN(2)/35))/(LN(2)/35)*HC179*HD179*VLOOKUP('Données projet'!$B$18,Paramètres!$A$1:$I$89,3,0)*0.475*44/12</f>
        <v>0</v>
      </c>
      <c r="HH179" s="23">
        <f>EXP(-LN(2)/25)*HH178+(1-EXP(-LN(2)/25))/(LN(2)/25)*Calculateur!HC179*Calculateur!HE179*VLOOKUP('Données projet'!$B$18,Paramètres!$A$1:$I$89,3,0)*0.475*44/12</f>
        <v>0</v>
      </c>
      <c r="HI179" s="23">
        <f>EXP(-LN(2)/2)*HI178+(1-EXP(-LN(2)/2))/(LN(2)/2)*HC179*HF179*VLOOKUP('Données projet'!$B$18,Paramètres!$A$1:$I$89,3,0)*0.475*44/12</f>
        <v>0</v>
      </c>
      <c r="HJ179" s="24">
        <f t="shared" si="190"/>
        <v>0</v>
      </c>
    </row>
    <row r="180" spans="1:218" x14ac:dyDescent="0.25">
      <c r="A180" s="11">
        <f t="shared" si="161"/>
        <v>177</v>
      </c>
      <c r="B180" s="75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8">
        <f t="shared" si="110"/>
        <v>183.33333333333334</v>
      </c>
      <c r="I180" s="7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-1.1368683772161603E-13</v>
      </c>
      <c r="O180" s="14">
        <f>N180*VLOOKUP('Données projet'!$B$9,Paramètres!$A$1:$I$89,3,0)*VLOOKUP('Données projet'!$B$9,Paramètres!$A$1:$I$89,5,0)</f>
        <v>-1.0286385077051818E-13</v>
      </c>
      <c r="P180" s="14" t="e">
        <f t="shared" si="141"/>
        <v>#NUM!</v>
      </c>
      <c r="Q180" s="22" t="e">
        <f t="shared" si="162"/>
        <v>#NUM!</v>
      </c>
      <c r="R180" s="60" t="e">
        <f t="shared" si="109"/>
        <v>#NUM!</v>
      </c>
      <c r="S180" s="60">
        <f ca="1">AVERAGE(OFFSET($R$3,0,0,'Données projet'!$E$9+1,1))-AVERAGE(OFFSET($H$3,0,0,'Données projet'!$E$9+1,1))</f>
        <v>570.08763950759544</v>
      </c>
      <c r="T180" s="60">
        <f t="shared" si="142"/>
        <v>297.32483725004136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-5.6843418860808015E-14</v>
      </c>
      <c r="AJ180" s="14">
        <f>AI180*VLOOKUP('Données projet'!$B$10,Paramètres!$A$1:$I$89,3,0)*VLOOKUP('Données projet'!$B$10,Paramètres!$A$1:$I$89,5,0)</f>
        <v>-4.5224624045658861E-14</v>
      </c>
      <c r="AK180" s="14" t="e">
        <f t="shared" si="164"/>
        <v>#NUM!</v>
      </c>
      <c r="AL180" s="22" t="e">
        <f t="shared" si="165"/>
        <v>#NUM!</v>
      </c>
      <c r="AM180" s="60" t="e">
        <f t="shared" si="113"/>
        <v>#NUM!</v>
      </c>
      <c r="AN180" s="60">
        <f ca="1">AVERAGE(OFFSET($AM$3,0,0,'Données projet'!$E$10+1,1))-AVERAGE(OFFSET($H$3,0,0,'Données projet'!$E$10+1,1))</f>
        <v>394.49874384716014</v>
      </c>
      <c r="AO180" s="60">
        <f t="shared" si="144"/>
        <v>423.72519584013378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3.4106051316484809E-13</v>
      </c>
      <c r="BE180" s="14">
        <f>BD180*VLOOKUP('Données projet'!$B$11,Paramètres!$A$1:$I$89,3,0)*VLOOKUP('Données projet'!$B$11,Paramètres!$A$1:$I$89,5,0)</f>
        <v>2.9795046430081134E-13</v>
      </c>
      <c r="BF180" s="14">
        <f t="shared" si="167"/>
        <v>3.9419014464513778E-12</v>
      </c>
      <c r="BG180" s="22">
        <f t="shared" si="168"/>
        <v>7.384408744560063E-12</v>
      </c>
      <c r="BH180" s="60">
        <f t="shared" si="116"/>
        <v>289.19348642290265</v>
      </c>
      <c r="BI180" s="60">
        <f ca="1">AVERAGE(OFFSET($BH$3,0,0,'Données projet'!$E$11+1,1))-AVERAGE(OFFSET($H$3,0,0,'Données projet'!$E$11+1,1))</f>
        <v>363.28611056308665</v>
      </c>
      <c r="BJ180" s="60">
        <f t="shared" si="146"/>
        <v>389.43647559455974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5.6843418860808015E-14</v>
      </c>
      <c r="BZ180" s="14">
        <f>BY180*VLOOKUP('Données projet'!$B$12,Paramètres!$A$1:$I$89,3,0)*VLOOKUP('Données projet'!$B$12,Paramètres!$A$1:$I$89,5,0)</f>
        <v>5.4092197387944907E-14</v>
      </c>
      <c r="CA180" s="14">
        <f t="shared" si="170"/>
        <v>8.7287050538073676E-13</v>
      </c>
      <c r="CB180" s="22">
        <f t="shared" si="171"/>
        <v>1.6144600406554537E-12</v>
      </c>
      <c r="CC180" s="60">
        <f t="shared" si="119"/>
        <v>289.19348642289685</v>
      </c>
      <c r="CD180" s="60">
        <f ca="1">AVERAGE(OFFSET($CC$3,0,0,'Données projet'!$E$12+1,1))-AVERAGE(OFFSET($H$3,0,0,'Données projet'!$E$12+1,1))</f>
        <v>441.15969139782891</v>
      </c>
      <c r="CE180" s="60">
        <f t="shared" si="148"/>
        <v>315.06466790224783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-5.6843418860808015E-14</v>
      </c>
      <c r="CU180" s="18">
        <f>CT180*VLOOKUP('Données projet'!$B$13,Paramètres!$A$1:$I$89,3,0)*VLOOKUP('Données projet'!$B$13,Paramètres!$A$1:$I$89,5,0)</f>
        <v>-4.1677594708744434E-14</v>
      </c>
      <c r="CV180" s="14" t="e">
        <f t="shared" si="173"/>
        <v>#NUM!</v>
      </c>
      <c r="CW180" s="22" t="e">
        <f t="shared" si="174"/>
        <v>#NUM!</v>
      </c>
      <c r="CX180" s="60" t="e">
        <f t="shared" si="122"/>
        <v>#NUM!</v>
      </c>
      <c r="CY180" s="60">
        <f ca="1">AVERAGE(OFFSET($CX$3,0,0,'Données projet'!$E$13+1,1))-AVERAGE(OFFSET($H$3,0,0,'Données projet'!$E$13+1,1))</f>
        <v>368.35775920359396</v>
      </c>
      <c r="CZ180" s="60">
        <f t="shared" si="150"/>
        <v>395.5218438652638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1.1368683772161603E-13</v>
      </c>
      <c r="DP180" s="18">
        <f>DO180*VLOOKUP('Données projet'!$B$14,Paramètres!$A$1:$I$89,3,0)*VLOOKUP('Données projet'!$B$14,Paramètres!$A$1:$I$89,5,0)</f>
        <v>8.8675733422860506E-14</v>
      </c>
      <c r="DQ180" s="14">
        <f t="shared" si="176"/>
        <v>1.3509285393066301E-12</v>
      </c>
      <c r="DR180" s="22">
        <f t="shared" si="177"/>
        <v>2.5073107750038623E-12</v>
      </c>
      <c r="DS180" s="60">
        <f t="shared" si="125"/>
        <v>289.19348642289776</v>
      </c>
      <c r="DT180" s="60">
        <f ca="1">AVERAGE(OFFSET($DS$3,0,0,'Données projet'!$E$14+1,1))-AVERAGE(OFFSET($H$3,0,0,'Données projet'!$E$14+1,1))</f>
        <v>312.59632808777332</v>
      </c>
      <c r="DU180" s="60">
        <f t="shared" si="152"/>
        <v>302.59481222418219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0</v>
      </c>
      <c r="EE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-1.1368683772161603E-13</v>
      </c>
      <c r="EK180" s="18">
        <f>EJ180*VLOOKUP('Données projet'!$B$15,Paramètres!$A$1:$I$89,3,0)*VLOOKUP('Données projet'!$B$15,Paramètres!$A$1:$I$89,5,0)</f>
        <v>-9.7543306765146564E-14</v>
      </c>
      <c r="EL180" s="14" t="e">
        <f t="shared" si="179"/>
        <v>#NUM!</v>
      </c>
      <c r="EM180" s="22" t="e">
        <f t="shared" si="180"/>
        <v>#NUM!</v>
      </c>
      <c r="EN180" s="60" t="e">
        <f t="shared" si="128"/>
        <v>#NUM!</v>
      </c>
      <c r="EO180" s="60">
        <f ca="1">AVERAGE(OFFSET($EN$3,0,0,'Données projet'!$E$15+1,1))-AVERAGE(OFFSET($H$3,0,0,'Données projet'!$E$15+1,1))</f>
        <v>478.11504516179713</v>
      </c>
      <c r="EP180" s="60">
        <f t="shared" si="154"/>
        <v>249.93713224442419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0</v>
      </c>
      <c r="EW180" s="23">
        <f>EXP(-LN(2)/25)*EW179+(1-EXP(-LN(2)/25))/(LN(2)/25)*Calculateur!ER180*Calculateur!ET180*VLOOKUP('Données projet'!$B$15,Paramètres!$A$1:$I$89,3,0)*0.475*44/12</f>
        <v>0</v>
      </c>
      <c r="EX180" s="23">
        <f>EXP(-LN(2)/2)*EX179+(1-EXP(-LN(2)/2))/(LN(2)/2)*ER180*EU180*VLOOKUP('Données projet'!$B$15,Paramètres!$A$1:$I$89,3,0)*0.475*44/12</f>
        <v>0</v>
      </c>
      <c r="EY180" s="24">
        <f t="shared" si="181"/>
        <v>0</v>
      </c>
      <c r="EZ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-1.1368683772161603E-13</v>
      </c>
      <c r="FF180" s="18">
        <f>FE180*VLOOKUP('Données projet'!$B$16,Paramètres!$A$1:$I$89,3,0)*VLOOKUP('Données projet'!$B$16,Paramètres!$A$1:$I$89,5,0)</f>
        <v>-1.0995790944434703E-13</v>
      </c>
      <c r="FG180" s="14" t="e">
        <f t="shared" si="182"/>
        <v>#NUM!</v>
      </c>
      <c r="FH180" s="22" t="e">
        <f t="shared" si="183"/>
        <v>#NUM!</v>
      </c>
      <c r="FI180" s="60" t="e">
        <f t="shared" si="131"/>
        <v>#NUM!</v>
      </c>
      <c r="FJ180" s="60">
        <f ca="1">AVERAGE(OFFSET($FI$3,0,0,'Données projet'!$E$16+1,1))-AVERAGE(OFFSET($H$3,0,0,'Données projet'!$E$16+1,1))</f>
        <v>603.52431522262032</v>
      </c>
      <c r="FK180" s="60">
        <f t="shared" si="156"/>
        <v>313.56299786481338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>
        <f>EXP(-LN(2)/35)*FQ179+(1-EXP(-LN(2)/35))/(LN(2)/35)*FM180*FN180*VLOOKUP('Données projet'!$B$16,Paramètres!$A$1:$I$89,3,0)*0.475*44/12</f>
        <v>0</v>
      </c>
      <c r="FR180" s="23">
        <f>EXP(-LN(2)/25)*FR179+(1-EXP(-LN(2)/25))/(LN(2)/25)*Calculateur!FM180*Calculateur!FO180*VLOOKUP('Données projet'!$B$16,Paramètres!$A$1:$I$89,3,0)*0.475*44/12</f>
        <v>0</v>
      </c>
      <c r="FS180" s="23">
        <f>EXP(-LN(2)/2)*FS179+(1-EXP(-LN(2)/2))/(LN(2)/2)*FM180*FP180*VLOOKUP('Données projet'!$B$16,Paramètres!$A$1:$I$89,3,0)*0.475*44/12</f>
        <v>0</v>
      </c>
      <c r="FT180" s="24">
        <f t="shared" si="184"/>
        <v>0</v>
      </c>
      <c r="FU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>
        <f>FZ180*VLOOKUP('Données projet'!$B$17,Paramètres!$A$1:$I$89,3,0)*VLOOKUP('Données projet'!$B$17,Paramètres!$A$1:$I$89,5,0)</f>
        <v>0</v>
      </c>
      <c r="GB180" s="14" t="e">
        <f t="shared" si="185"/>
        <v>#NUM!</v>
      </c>
      <c r="GC180" s="22" t="e">
        <f t="shared" si="186"/>
        <v>#NUM!</v>
      </c>
      <c r="GD180" s="60" t="e">
        <f t="shared" si="134"/>
        <v>#NUM!</v>
      </c>
      <c r="GE180" s="60">
        <f ca="1">AVERAGE(OFFSET($GD$3,0,0,'Données projet'!$E$17+1,1))-AVERAGE(OFFSET($H$3,0,0,'Données projet'!$E$17+1,1))</f>
        <v>396.0878652679051</v>
      </c>
      <c r="GF180" s="60">
        <f t="shared" si="158"/>
        <v>327.26339199235406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>
        <f>EXP(-LN(2)/35)*GL179+(1-EXP(-LN(2)/35))/(LN(2)/35)*GH180*GI180*VLOOKUP('Données projet'!$B$17,Paramètres!$A$1:$I$89,3,0)*0.475*44/12</f>
        <v>0</v>
      </c>
      <c r="GM180" s="23">
        <f>EXP(-LN(2)/25)*GM179+(1-EXP(-LN(2)/25))/(LN(2)/25)*Calculateur!GH180*Calculateur!GJ180*VLOOKUP('Données projet'!$B$17,Paramètres!$A$1:$I$89,3,0)*0.475*44/12</f>
        <v>0</v>
      </c>
      <c r="GN180" s="23">
        <f>EXP(-LN(2)/2)*GN179+(1-EXP(-LN(2)/2))/(LN(2)/2)*GH180*GK180*VLOOKUP('Données projet'!$B$17,Paramètres!$A$1:$I$89,3,0)*0.475*44/12</f>
        <v>0</v>
      </c>
      <c r="GO180" s="23">
        <f t="shared" si="187"/>
        <v>0</v>
      </c>
      <c r="GP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-1.1368683772161603E-13</v>
      </c>
      <c r="GV180" s="18">
        <f>GU180*VLOOKUP('Données projet'!$B$18,Paramètres!$A$1:$I$89,3,0)*VLOOKUP('Données projet'!$B$18,Paramètres!$A$1:$I$89,5,0)</f>
        <v>-9.2222762759774927E-14</v>
      </c>
      <c r="GW180" s="14" t="e">
        <f t="shared" si="188"/>
        <v>#NUM!</v>
      </c>
      <c r="GX180" s="22" t="e">
        <f t="shared" si="189"/>
        <v>#NUM!</v>
      </c>
      <c r="GY180" s="60" t="e">
        <f t="shared" si="137"/>
        <v>#NUM!</v>
      </c>
      <c r="GZ180" s="60">
        <f ca="1">AVERAGE(OFFSET($GY$3,0,0,'Données projet'!$E$18+1,1))-AVERAGE(OFFSET($H$3,0,0,'Données projet'!$E$18+1,1))</f>
        <v>272.69564942740931</v>
      </c>
      <c r="HA180" s="60">
        <f t="shared" si="160"/>
        <v>316.57989180609252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>
        <f>EXP(-LN(2)/35)*HG179+(1-EXP(-LN(2)/35))/(LN(2)/35)*HC180*HD180*VLOOKUP('Données projet'!$B$18,Paramètres!$A$1:$I$89,3,0)*0.475*44/12</f>
        <v>0</v>
      </c>
      <c r="HH180" s="23">
        <f>EXP(-LN(2)/25)*HH179+(1-EXP(-LN(2)/25))/(LN(2)/25)*Calculateur!HC180*Calculateur!HE180*VLOOKUP('Données projet'!$B$18,Paramètres!$A$1:$I$89,3,0)*0.475*44/12</f>
        <v>0</v>
      </c>
      <c r="HI180" s="23">
        <f>EXP(-LN(2)/2)*HI179+(1-EXP(-LN(2)/2))/(LN(2)/2)*HC180*HF180*VLOOKUP('Données projet'!$B$18,Paramètres!$A$1:$I$89,3,0)*0.475*44/12</f>
        <v>0</v>
      </c>
      <c r="HJ180" s="24">
        <f t="shared" si="190"/>
        <v>0</v>
      </c>
    </row>
    <row r="181" spans="1:218" x14ac:dyDescent="0.25">
      <c r="A181" s="11">
        <f t="shared" si="161"/>
        <v>178</v>
      </c>
      <c r="B181" s="75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8">
        <f t="shared" si="110"/>
        <v>183.33333333333334</v>
      </c>
      <c r="I181" s="7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-1.1368683772161603E-13</v>
      </c>
      <c r="O181" s="14">
        <f>N181*VLOOKUP('Données projet'!$B$9,Paramètres!$A$1:$I$89,3,0)*VLOOKUP('Données projet'!$B$9,Paramètres!$A$1:$I$89,5,0)</f>
        <v>-1.0286385077051818E-13</v>
      </c>
      <c r="P181" s="14" t="e">
        <f t="shared" si="141"/>
        <v>#NUM!</v>
      </c>
      <c r="Q181" s="22" t="e">
        <f t="shared" si="162"/>
        <v>#NUM!</v>
      </c>
      <c r="R181" s="60" t="e">
        <f t="shared" si="109"/>
        <v>#NUM!</v>
      </c>
      <c r="S181" s="60">
        <f ca="1">AVERAGE(OFFSET($R$3,0,0,'Données projet'!$E$9+1,1))-AVERAGE(OFFSET($H$3,0,0,'Données projet'!$E$9+1,1))</f>
        <v>570.08763950759544</v>
      </c>
      <c r="T181" s="60">
        <f t="shared" si="142"/>
        <v>297.32483725004136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-5.6843418860808015E-14</v>
      </c>
      <c r="AJ181" s="14">
        <f>AI181*VLOOKUP('Données projet'!$B$10,Paramètres!$A$1:$I$89,3,0)*VLOOKUP('Données projet'!$B$10,Paramètres!$A$1:$I$89,5,0)</f>
        <v>-4.5224624045658861E-14</v>
      </c>
      <c r="AK181" s="14" t="e">
        <f t="shared" si="164"/>
        <v>#NUM!</v>
      </c>
      <c r="AL181" s="22" t="e">
        <f t="shared" si="165"/>
        <v>#NUM!</v>
      </c>
      <c r="AM181" s="60" t="e">
        <f t="shared" si="113"/>
        <v>#NUM!</v>
      </c>
      <c r="AN181" s="60">
        <f ca="1">AVERAGE(OFFSET($AM$3,0,0,'Données projet'!$E$10+1,1))-AVERAGE(OFFSET($H$3,0,0,'Données projet'!$E$10+1,1))</f>
        <v>394.49874384716014</v>
      </c>
      <c r="AO181" s="60">
        <f t="shared" si="144"/>
        <v>423.72519584013378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3.4106051316484809E-13</v>
      </c>
      <c r="BE181" s="14">
        <f>BD181*VLOOKUP('Données projet'!$B$11,Paramètres!$A$1:$I$89,3,0)*VLOOKUP('Données projet'!$B$11,Paramètres!$A$1:$I$89,5,0)</f>
        <v>2.9795046430081134E-13</v>
      </c>
      <c r="BF181" s="14">
        <f t="shared" si="167"/>
        <v>3.9419014464513778E-12</v>
      </c>
      <c r="BG181" s="22">
        <f t="shared" si="168"/>
        <v>7.384408744560063E-12</v>
      </c>
      <c r="BH181" s="60">
        <f t="shared" si="116"/>
        <v>289.26530351148756</v>
      </c>
      <c r="BI181" s="60">
        <f ca="1">AVERAGE(OFFSET($BH$3,0,0,'Données projet'!$E$11+1,1))-AVERAGE(OFFSET($H$3,0,0,'Données projet'!$E$11+1,1))</f>
        <v>363.28611056308665</v>
      </c>
      <c r="BJ181" s="60">
        <f t="shared" si="146"/>
        <v>389.43647559455974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5.6843418860808015E-14</v>
      </c>
      <c r="BZ181" s="14">
        <f>BY181*VLOOKUP('Données projet'!$B$12,Paramètres!$A$1:$I$89,3,0)*VLOOKUP('Données projet'!$B$12,Paramètres!$A$1:$I$89,5,0)</f>
        <v>5.4092197387944907E-14</v>
      </c>
      <c r="CA181" s="14">
        <f t="shared" si="170"/>
        <v>8.7287050538073676E-13</v>
      </c>
      <c r="CB181" s="22">
        <f t="shared" si="171"/>
        <v>1.6144600406554537E-12</v>
      </c>
      <c r="CC181" s="60">
        <f t="shared" si="119"/>
        <v>289.26530351148176</v>
      </c>
      <c r="CD181" s="60">
        <f ca="1">AVERAGE(OFFSET($CC$3,0,0,'Données projet'!$E$12+1,1))-AVERAGE(OFFSET($H$3,0,0,'Données projet'!$E$12+1,1))</f>
        <v>441.15969139782891</v>
      </c>
      <c r="CE181" s="60">
        <f t="shared" si="148"/>
        <v>315.06466790224783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-5.6843418860808015E-14</v>
      </c>
      <c r="CU181" s="18">
        <f>CT181*VLOOKUP('Données projet'!$B$13,Paramètres!$A$1:$I$89,3,0)*VLOOKUP('Données projet'!$B$13,Paramètres!$A$1:$I$89,5,0)</f>
        <v>-4.1677594708744434E-14</v>
      </c>
      <c r="CV181" s="14" t="e">
        <f t="shared" si="173"/>
        <v>#NUM!</v>
      </c>
      <c r="CW181" s="22" t="e">
        <f t="shared" si="174"/>
        <v>#NUM!</v>
      </c>
      <c r="CX181" s="60" t="e">
        <f t="shared" si="122"/>
        <v>#NUM!</v>
      </c>
      <c r="CY181" s="60">
        <f ca="1">AVERAGE(OFFSET($CX$3,0,0,'Données projet'!$E$13+1,1))-AVERAGE(OFFSET($H$3,0,0,'Données projet'!$E$13+1,1))</f>
        <v>368.35775920359396</v>
      </c>
      <c r="CZ181" s="60">
        <f t="shared" si="150"/>
        <v>395.5218438652638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1.1368683772161603E-13</v>
      </c>
      <c r="DP181" s="18">
        <f>DO181*VLOOKUP('Données projet'!$B$14,Paramètres!$A$1:$I$89,3,0)*VLOOKUP('Données projet'!$B$14,Paramètres!$A$1:$I$89,5,0)</f>
        <v>8.8675733422860506E-14</v>
      </c>
      <c r="DQ181" s="14">
        <f t="shared" si="176"/>
        <v>1.3509285393066301E-12</v>
      </c>
      <c r="DR181" s="22">
        <f t="shared" si="177"/>
        <v>2.5073107750038623E-12</v>
      </c>
      <c r="DS181" s="60">
        <f t="shared" si="125"/>
        <v>289.26530351148267</v>
      </c>
      <c r="DT181" s="60">
        <f ca="1">AVERAGE(OFFSET($DS$3,0,0,'Données projet'!$E$14+1,1))-AVERAGE(OFFSET($H$3,0,0,'Données projet'!$E$14+1,1))</f>
        <v>312.59632808777332</v>
      </c>
      <c r="DU181" s="60">
        <f t="shared" si="152"/>
        <v>302.59481222418219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0</v>
      </c>
      <c r="EE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-1.1368683772161603E-13</v>
      </c>
      <c r="EK181" s="18">
        <f>EJ181*VLOOKUP('Données projet'!$B$15,Paramètres!$A$1:$I$89,3,0)*VLOOKUP('Données projet'!$B$15,Paramètres!$A$1:$I$89,5,0)</f>
        <v>-9.7543306765146564E-14</v>
      </c>
      <c r="EL181" s="14" t="e">
        <f t="shared" si="179"/>
        <v>#NUM!</v>
      </c>
      <c r="EM181" s="22" t="e">
        <f t="shared" si="180"/>
        <v>#NUM!</v>
      </c>
      <c r="EN181" s="60" t="e">
        <f t="shared" si="128"/>
        <v>#NUM!</v>
      </c>
      <c r="EO181" s="60">
        <f ca="1">AVERAGE(OFFSET($EN$3,0,0,'Données projet'!$E$15+1,1))-AVERAGE(OFFSET($H$3,0,0,'Données projet'!$E$15+1,1))</f>
        <v>478.11504516179713</v>
      </c>
      <c r="EP181" s="60">
        <f t="shared" si="154"/>
        <v>249.93713224442419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0</v>
      </c>
      <c r="EW181" s="23">
        <f>EXP(-LN(2)/25)*EW180+(1-EXP(-LN(2)/25))/(LN(2)/25)*Calculateur!ER181*Calculateur!ET181*VLOOKUP('Données projet'!$B$15,Paramètres!$A$1:$I$89,3,0)*0.475*44/12</f>
        <v>0</v>
      </c>
      <c r="EX181" s="23">
        <f>EXP(-LN(2)/2)*EX180+(1-EXP(-LN(2)/2))/(LN(2)/2)*ER181*EU181*VLOOKUP('Données projet'!$B$15,Paramètres!$A$1:$I$89,3,0)*0.475*44/12</f>
        <v>0</v>
      </c>
      <c r="EY181" s="24">
        <f t="shared" si="181"/>
        <v>0</v>
      </c>
      <c r="EZ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-1.1368683772161603E-13</v>
      </c>
      <c r="FF181" s="18">
        <f>FE181*VLOOKUP('Données projet'!$B$16,Paramètres!$A$1:$I$89,3,0)*VLOOKUP('Données projet'!$B$16,Paramètres!$A$1:$I$89,5,0)</f>
        <v>-1.0995790944434703E-13</v>
      </c>
      <c r="FG181" s="14" t="e">
        <f t="shared" si="182"/>
        <v>#NUM!</v>
      </c>
      <c r="FH181" s="22" t="e">
        <f t="shared" si="183"/>
        <v>#NUM!</v>
      </c>
      <c r="FI181" s="60" t="e">
        <f t="shared" si="131"/>
        <v>#NUM!</v>
      </c>
      <c r="FJ181" s="60">
        <f ca="1">AVERAGE(OFFSET($FI$3,0,0,'Données projet'!$E$16+1,1))-AVERAGE(OFFSET($H$3,0,0,'Données projet'!$E$16+1,1))</f>
        <v>603.52431522262032</v>
      </c>
      <c r="FK181" s="60">
        <f t="shared" si="156"/>
        <v>313.56299786481338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>
        <f>EXP(-LN(2)/35)*FQ180+(1-EXP(-LN(2)/35))/(LN(2)/35)*FM181*FN181*VLOOKUP('Données projet'!$B$16,Paramètres!$A$1:$I$89,3,0)*0.475*44/12</f>
        <v>0</v>
      </c>
      <c r="FR181" s="23">
        <f>EXP(-LN(2)/25)*FR180+(1-EXP(-LN(2)/25))/(LN(2)/25)*Calculateur!FM181*Calculateur!FO181*VLOOKUP('Données projet'!$B$16,Paramètres!$A$1:$I$89,3,0)*0.475*44/12</f>
        <v>0</v>
      </c>
      <c r="FS181" s="23">
        <f>EXP(-LN(2)/2)*FS180+(1-EXP(-LN(2)/2))/(LN(2)/2)*FM181*FP181*VLOOKUP('Données projet'!$B$16,Paramètres!$A$1:$I$89,3,0)*0.475*44/12</f>
        <v>0</v>
      </c>
      <c r="FT181" s="24">
        <f t="shared" si="184"/>
        <v>0</v>
      </c>
      <c r="FU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>
        <f>FZ181*VLOOKUP('Données projet'!$B$17,Paramètres!$A$1:$I$89,3,0)*VLOOKUP('Données projet'!$B$17,Paramètres!$A$1:$I$89,5,0)</f>
        <v>0</v>
      </c>
      <c r="GB181" s="14" t="e">
        <f t="shared" si="185"/>
        <v>#NUM!</v>
      </c>
      <c r="GC181" s="22" t="e">
        <f t="shared" si="186"/>
        <v>#NUM!</v>
      </c>
      <c r="GD181" s="60" t="e">
        <f t="shared" si="134"/>
        <v>#NUM!</v>
      </c>
      <c r="GE181" s="60">
        <f ca="1">AVERAGE(OFFSET($GD$3,0,0,'Données projet'!$E$17+1,1))-AVERAGE(OFFSET($H$3,0,0,'Données projet'!$E$17+1,1))</f>
        <v>396.0878652679051</v>
      </c>
      <c r="GF181" s="60">
        <f t="shared" si="158"/>
        <v>327.26339199235406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>
        <f>EXP(-LN(2)/35)*GL180+(1-EXP(-LN(2)/35))/(LN(2)/35)*GH181*GI181*VLOOKUP('Données projet'!$B$17,Paramètres!$A$1:$I$89,3,0)*0.475*44/12</f>
        <v>0</v>
      </c>
      <c r="GM181" s="23">
        <f>EXP(-LN(2)/25)*GM180+(1-EXP(-LN(2)/25))/(LN(2)/25)*Calculateur!GH181*Calculateur!GJ181*VLOOKUP('Données projet'!$B$17,Paramètres!$A$1:$I$89,3,0)*0.475*44/12</f>
        <v>0</v>
      </c>
      <c r="GN181" s="23">
        <f>EXP(-LN(2)/2)*GN180+(1-EXP(-LN(2)/2))/(LN(2)/2)*GH181*GK181*VLOOKUP('Données projet'!$B$17,Paramètres!$A$1:$I$89,3,0)*0.475*44/12</f>
        <v>0</v>
      </c>
      <c r="GO181" s="23">
        <f t="shared" si="187"/>
        <v>0</v>
      </c>
      <c r="GP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-1.1368683772161603E-13</v>
      </c>
      <c r="GV181" s="18">
        <f>GU181*VLOOKUP('Données projet'!$B$18,Paramètres!$A$1:$I$89,3,0)*VLOOKUP('Données projet'!$B$18,Paramètres!$A$1:$I$89,5,0)</f>
        <v>-9.2222762759774927E-14</v>
      </c>
      <c r="GW181" s="14" t="e">
        <f t="shared" si="188"/>
        <v>#NUM!</v>
      </c>
      <c r="GX181" s="22" t="e">
        <f t="shared" si="189"/>
        <v>#NUM!</v>
      </c>
      <c r="GY181" s="60" t="e">
        <f t="shared" si="137"/>
        <v>#NUM!</v>
      </c>
      <c r="GZ181" s="60">
        <f ca="1">AVERAGE(OFFSET($GY$3,0,0,'Données projet'!$E$18+1,1))-AVERAGE(OFFSET($H$3,0,0,'Données projet'!$E$18+1,1))</f>
        <v>272.69564942740931</v>
      </c>
      <c r="HA181" s="60">
        <f t="shared" si="160"/>
        <v>316.57989180609252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>
        <f>EXP(-LN(2)/35)*HG180+(1-EXP(-LN(2)/35))/(LN(2)/35)*HC181*HD181*VLOOKUP('Données projet'!$B$18,Paramètres!$A$1:$I$89,3,0)*0.475*44/12</f>
        <v>0</v>
      </c>
      <c r="HH181" s="23">
        <f>EXP(-LN(2)/25)*HH180+(1-EXP(-LN(2)/25))/(LN(2)/25)*Calculateur!HC181*Calculateur!HE181*VLOOKUP('Données projet'!$B$18,Paramètres!$A$1:$I$89,3,0)*0.475*44/12</f>
        <v>0</v>
      </c>
      <c r="HI181" s="23">
        <f>EXP(-LN(2)/2)*HI180+(1-EXP(-LN(2)/2))/(LN(2)/2)*HC181*HF181*VLOOKUP('Données projet'!$B$18,Paramètres!$A$1:$I$89,3,0)*0.475*44/12</f>
        <v>0</v>
      </c>
      <c r="HJ181" s="24">
        <f t="shared" si="190"/>
        <v>0</v>
      </c>
    </row>
    <row r="182" spans="1:218" x14ac:dyDescent="0.25">
      <c r="A182" s="11">
        <f t="shared" si="161"/>
        <v>179</v>
      </c>
      <c r="B182" s="75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8">
        <f t="shared" si="110"/>
        <v>183.33333333333334</v>
      </c>
      <c r="I182" s="7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-1.1368683772161603E-13</v>
      </c>
      <c r="O182" s="14">
        <f>N182*VLOOKUP('Données projet'!$B$9,Paramètres!$A$1:$I$89,3,0)*VLOOKUP('Données projet'!$B$9,Paramètres!$A$1:$I$89,5,0)</f>
        <v>-1.0286385077051818E-13</v>
      </c>
      <c r="P182" s="14" t="e">
        <f t="shared" si="141"/>
        <v>#NUM!</v>
      </c>
      <c r="Q182" s="22" t="e">
        <f t="shared" si="162"/>
        <v>#NUM!</v>
      </c>
      <c r="R182" s="60" t="e">
        <f t="shared" si="109"/>
        <v>#NUM!</v>
      </c>
      <c r="S182" s="60">
        <f ca="1">AVERAGE(OFFSET($R$3,0,0,'Données projet'!$E$9+1,1))-AVERAGE(OFFSET($H$3,0,0,'Données projet'!$E$9+1,1))</f>
        <v>570.08763950759544</v>
      </c>
      <c r="T182" s="60">
        <f t="shared" si="142"/>
        <v>297.32483725004136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-5.6843418860808015E-14</v>
      </c>
      <c r="AJ182" s="14">
        <f>AI182*VLOOKUP('Données projet'!$B$10,Paramètres!$A$1:$I$89,3,0)*VLOOKUP('Données projet'!$B$10,Paramètres!$A$1:$I$89,5,0)</f>
        <v>-4.5224624045658861E-14</v>
      </c>
      <c r="AK182" s="14" t="e">
        <f t="shared" si="164"/>
        <v>#NUM!</v>
      </c>
      <c r="AL182" s="22" t="e">
        <f t="shared" si="165"/>
        <v>#NUM!</v>
      </c>
      <c r="AM182" s="60" t="e">
        <f t="shared" si="113"/>
        <v>#NUM!</v>
      </c>
      <c r="AN182" s="60">
        <f ca="1">AVERAGE(OFFSET($AM$3,0,0,'Données projet'!$E$10+1,1))-AVERAGE(OFFSET($H$3,0,0,'Données projet'!$E$10+1,1))</f>
        <v>394.49874384716014</v>
      </c>
      <c r="AO182" s="60">
        <f t="shared" si="144"/>
        <v>423.72519584013378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3.4106051316484809E-13</v>
      </c>
      <c r="BE182" s="14">
        <f>BD182*VLOOKUP('Données projet'!$B$11,Paramètres!$A$1:$I$89,3,0)*VLOOKUP('Données projet'!$B$11,Paramètres!$A$1:$I$89,5,0)</f>
        <v>2.9795046430081134E-13</v>
      </c>
      <c r="BF182" s="14">
        <f t="shared" si="167"/>
        <v>3.9419014464513778E-12</v>
      </c>
      <c r="BG182" s="22">
        <f t="shared" si="168"/>
        <v>7.384408744560063E-12</v>
      </c>
      <c r="BH182" s="60">
        <f t="shared" si="116"/>
        <v>289.33587473414451</v>
      </c>
      <c r="BI182" s="60">
        <f ca="1">AVERAGE(OFFSET($BH$3,0,0,'Données projet'!$E$11+1,1))-AVERAGE(OFFSET($H$3,0,0,'Données projet'!$E$11+1,1))</f>
        <v>363.28611056308665</v>
      </c>
      <c r="BJ182" s="60">
        <f t="shared" si="146"/>
        <v>389.43647559455974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5.6843418860808015E-14</v>
      </c>
      <c r="BZ182" s="14">
        <f>BY182*VLOOKUP('Données projet'!$B$12,Paramètres!$A$1:$I$89,3,0)*VLOOKUP('Données projet'!$B$12,Paramètres!$A$1:$I$89,5,0)</f>
        <v>5.4092197387944907E-14</v>
      </c>
      <c r="CA182" s="14">
        <f t="shared" si="170"/>
        <v>8.7287050538073676E-13</v>
      </c>
      <c r="CB182" s="22">
        <f t="shared" si="171"/>
        <v>1.6144600406554537E-12</v>
      </c>
      <c r="CC182" s="60">
        <f t="shared" si="119"/>
        <v>289.33587473413871</v>
      </c>
      <c r="CD182" s="60">
        <f ca="1">AVERAGE(OFFSET($CC$3,0,0,'Données projet'!$E$12+1,1))-AVERAGE(OFFSET($H$3,0,0,'Données projet'!$E$12+1,1))</f>
        <v>441.15969139782891</v>
      </c>
      <c r="CE182" s="60">
        <f t="shared" si="148"/>
        <v>315.06466790224783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-5.6843418860808015E-14</v>
      </c>
      <c r="CU182" s="18">
        <f>CT182*VLOOKUP('Données projet'!$B$13,Paramètres!$A$1:$I$89,3,0)*VLOOKUP('Données projet'!$B$13,Paramètres!$A$1:$I$89,5,0)</f>
        <v>-4.1677594708744434E-14</v>
      </c>
      <c r="CV182" s="14" t="e">
        <f t="shared" si="173"/>
        <v>#NUM!</v>
      </c>
      <c r="CW182" s="22" t="e">
        <f t="shared" si="174"/>
        <v>#NUM!</v>
      </c>
      <c r="CX182" s="60" t="e">
        <f t="shared" si="122"/>
        <v>#NUM!</v>
      </c>
      <c r="CY182" s="60">
        <f ca="1">AVERAGE(OFFSET($CX$3,0,0,'Données projet'!$E$13+1,1))-AVERAGE(OFFSET($H$3,0,0,'Données projet'!$E$13+1,1))</f>
        <v>368.35775920359396</v>
      </c>
      <c r="CZ182" s="60">
        <f t="shared" si="150"/>
        <v>395.5218438652638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1.1368683772161603E-13</v>
      </c>
      <c r="DP182" s="18">
        <f>DO182*VLOOKUP('Données projet'!$B$14,Paramètres!$A$1:$I$89,3,0)*VLOOKUP('Données projet'!$B$14,Paramètres!$A$1:$I$89,5,0)</f>
        <v>8.8675733422860506E-14</v>
      </c>
      <c r="DQ182" s="14">
        <f t="shared" si="176"/>
        <v>1.3509285393066301E-12</v>
      </c>
      <c r="DR182" s="22">
        <f t="shared" si="177"/>
        <v>2.5073107750038623E-12</v>
      </c>
      <c r="DS182" s="60">
        <f t="shared" si="125"/>
        <v>289.33587473413962</v>
      </c>
      <c r="DT182" s="60">
        <f ca="1">AVERAGE(OFFSET($DS$3,0,0,'Données projet'!$E$14+1,1))-AVERAGE(OFFSET($H$3,0,0,'Données projet'!$E$14+1,1))</f>
        <v>312.59632808777332</v>
      </c>
      <c r="DU182" s="60">
        <f t="shared" si="152"/>
        <v>302.59481222418219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0</v>
      </c>
      <c r="EE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-1.1368683772161603E-13</v>
      </c>
      <c r="EK182" s="18">
        <f>EJ182*VLOOKUP('Données projet'!$B$15,Paramètres!$A$1:$I$89,3,0)*VLOOKUP('Données projet'!$B$15,Paramètres!$A$1:$I$89,5,0)</f>
        <v>-9.7543306765146564E-14</v>
      </c>
      <c r="EL182" s="14" t="e">
        <f t="shared" si="179"/>
        <v>#NUM!</v>
      </c>
      <c r="EM182" s="22" t="e">
        <f t="shared" si="180"/>
        <v>#NUM!</v>
      </c>
      <c r="EN182" s="60" t="e">
        <f t="shared" si="128"/>
        <v>#NUM!</v>
      </c>
      <c r="EO182" s="60">
        <f ca="1">AVERAGE(OFFSET($EN$3,0,0,'Données projet'!$E$15+1,1))-AVERAGE(OFFSET($H$3,0,0,'Données projet'!$E$15+1,1))</f>
        <v>478.11504516179713</v>
      </c>
      <c r="EP182" s="60">
        <f t="shared" si="154"/>
        <v>249.93713224442419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0</v>
      </c>
      <c r="EW182" s="23">
        <f>EXP(-LN(2)/25)*EW181+(1-EXP(-LN(2)/25))/(LN(2)/25)*Calculateur!ER182*Calculateur!ET182*VLOOKUP('Données projet'!$B$15,Paramètres!$A$1:$I$89,3,0)*0.475*44/12</f>
        <v>0</v>
      </c>
      <c r="EX182" s="23">
        <f>EXP(-LN(2)/2)*EX181+(1-EXP(-LN(2)/2))/(LN(2)/2)*ER182*EU182*VLOOKUP('Données projet'!$B$15,Paramètres!$A$1:$I$89,3,0)*0.475*44/12</f>
        <v>0</v>
      </c>
      <c r="EY182" s="24">
        <f t="shared" si="181"/>
        <v>0</v>
      </c>
      <c r="EZ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-1.1368683772161603E-13</v>
      </c>
      <c r="FF182" s="18">
        <f>FE182*VLOOKUP('Données projet'!$B$16,Paramètres!$A$1:$I$89,3,0)*VLOOKUP('Données projet'!$B$16,Paramètres!$A$1:$I$89,5,0)</f>
        <v>-1.0995790944434703E-13</v>
      </c>
      <c r="FG182" s="14" t="e">
        <f t="shared" si="182"/>
        <v>#NUM!</v>
      </c>
      <c r="FH182" s="22" t="e">
        <f t="shared" si="183"/>
        <v>#NUM!</v>
      </c>
      <c r="FI182" s="60" t="e">
        <f t="shared" si="131"/>
        <v>#NUM!</v>
      </c>
      <c r="FJ182" s="60">
        <f ca="1">AVERAGE(OFFSET($FI$3,0,0,'Données projet'!$E$16+1,1))-AVERAGE(OFFSET($H$3,0,0,'Données projet'!$E$16+1,1))</f>
        <v>603.52431522262032</v>
      </c>
      <c r="FK182" s="60">
        <f t="shared" si="156"/>
        <v>313.56299786481338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>
        <f>EXP(-LN(2)/35)*FQ181+(1-EXP(-LN(2)/35))/(LN(2)/35)*FM182*FN182*VLOOKUP('Données projet'!$B$16,Paramètres!$A$1:$I$89,3,0)*0.475*44/12</f>
        <v>0</v>
      </c>
      <c r="FR182" s="23">
        <f>EXP(-LN(2)/25)*FR181+(1-EXP(-LN(2)/25))/(LN(2)/25)*Calculateur!FM182*Calculateur!FO182*VLOOKUP('Données projet'!$B$16,Paramètres!$A$1:$I$89,3,0)*0.475*44/12</f>
        <v>0</v>
      </c>
      <c r="FS182" s="23">
        <f>EXP(-LN(2)/2)*FS181+(1-EXP(-LN(2)/2))/(LN(2)/2)*FM182*FP182*VLOOKUP('Données projet'!$B$16,Paramètres!$A$1:$I$89,3,0)*0.475*44/12</f>
        <v>0</v>
      </c>
      <c r="FT182" s="24">
        <f t="shared" si="184"/>
        <v>0</v>
      </c>
      <c r="FU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>
        <f>FZ182*VLOOKUP('Données projet'!$B$17,Paramètres!$A$1:$I$89,3,0)*VLOOKUP('Données projet'!$B$17,Paramètres!$A$1:$I$89,5,0)</f>
        <v>0</v>
      </c>
      <c r="GB182" s="14" t="e">
        <f t="shared" si="185"/>
        <v>#NUM!</v>
      </c>
      <c r="GC182" s="22" t="e">
        <f t="shared" si="186"/>
        <v>#NUM!</v>
      </c>
      <c r="GD182" s="60" t="e">
        <f t="shared" si="134"/>
        <v>#NUM!</v>
      </c>
      <c r="GE182" s="60">
        <f ca="1">AVERAGE(OFFSET($GD$3,0,0,'Données projet'!$E$17+1,1))-AVERAGE(OFFSET($H$3,0,0,'Données projet'!$E$17+1,1))</f>
        <v>396.0878652679051</v>
      </c>
      <c r="GF182" s="60">
        <f t="shared" si="158"/>
        <v>327.26339199235406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>
        <f>EXP(-LN(2)/35)*GL181+(1-EXP(-LN(2)/35))/(LN(2)/35)*GH182*GI182*VLOOKUP('Données projet'!$B$17,Paramètres!$A$1:$I$89,3,0)*0.475*44/12</f>
        <v>0</v>
      </c>
      <c r="GM182" s="23">
        <f>EXP(-LN(2)/25)*GM181+(1-EXP(-LN(2)/25))/(LN(2)/25)*Calculateur!GH182*Calculateur!GJ182*VLOOKUP('Données projet'!$B$17,Paramètres!$A$1:$I$89,3,0)*0.475*44/12</f>
        <v>0</v>
      </c>
      <c r="GN182" s="23">
        <f>EXP(-LN(2)/2)*GN181+(1-EXP(-LN(2)/2))/(LN(2)/2)*GH182*GK182*VLOOKUP('Données projet'!$B$17,Paramètres!$A$1:$I$89,3,0)*0.475*44/12</f>
        <v>0</v>
      </c>
      <c r="GO182" s="23">
        <f t="shared" si="187"/>
        <v>0</v>
      </c>
      <c r="GP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-1.1368683772161603E-13</v>
      </c>
      <c r="GV182" s="18">
        <f>GU182*VLOOKUP('Données projet'!$B$18,Paramètres!$A$1:$I$89,3,0)*VLOOKUP('Données projet'!$B$18,Paramètres!$A$1:$I$89,5,0)</f>
        <v>-9.2222762759774927E-14</v>
      </c>
      <c r="GW182" s="14" t="e">
        <f t="shared" si="188"/>
        <v>#NUM!</v>
      </c>
      <c r="GX182" s="22" t="e">
        <f t="shared" si="189"/>
        <v>#NUM!</v>
      </c>
      <c r="GY182" s="60" t="e">
        <f t="shared" si="137"/>
        <v>#NUM!</v>
      </c>
      <c r="GZ182" s="60">
        <f ca="1">AVERAGE(OFFSET($GY$3,0,0,'Données projet'!$E$18+1,1))-AVERAGE(OFFSET($H$3,0,0,'Données projet'!$E$18+1,1))</f>
        <v>272.69564942740931</v>
      </c>
      <c r="HA182" s="60">
        <f t="shared" si="160"/>
        <v>316.57989180609252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>
        <f>EXP(-LN(2)/35)*HG181+(1-EXP(-LN(2)/35))/(LN(2)/35)*HC182*HD182*VLOOKUP('Données projet'!$B$18,Paramètres!$A$1:$I$89,3,0)*0.475*44/12</f>
        <v>0</v>
      </c>
      <c r="HH182" s="23">
        <f>EXP(-LN(2)/25)*HH181+(1-EXP(-LN(2)/25))/(LN(2)/25)*Calculateur!HC182*Calculateur!HE182*VLOOKUP('Données projet'!$B$18,Paramètres!$A$1:$I$89,3,0)*0.475*44/12</f>
        <v>0</v>
      </c>
      <c r="HI182" s="23">
        <f>EXP(-LN(2)/2)*HI181+(1-EXP(-LN(2)/2))/(LN(2)/2)*HC182*HF182*VLOOKUP('Données projet'!$B$18,Paramètres!$A$1:$I$89,3,0)*0.475*44/12</f>
        <v>0</v>
      </c>
      <c r="HJ182" s="24">
        <f t="shared" si="190"/>
        <v>0</v>
      </c>
    </row>
    <row r="183" spans="1:218" x14ac:dyDescent="0.25">
      <c r="A183" s="11">
        <f t="shared" si="161"/>
        <v>180</v>
      </c>
      <c r="B183" s="75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8">
        <f t="shared" si="110"/>
        <v>183.33333333333334</v>
      </c>
      <c r="I183" s="7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-1.1368683772161603E-13</v>
      </c>
      <c r="O183" s="14">
        <f>N183*VLOOKUP('Données projet'!$B$9,Paramètres!$A$1:$I$89,3,0)*VLOOKUP('Données projet'!$B$9,Paramètres!$A$1:$I$89,5,0)</f>
        <v>-1.0286385077051818E-13</v>
      </c>
      <c r="P183" s="14" t="e">
        <f t="shared" si="141"/>
        <v>#NUM!</v>
      </c>
      <c r="Q183" s="22" t="e">
        <f t="shared" si="162"/>
        <v>#NUM!</v>
      </c>
      <c r="R183" s="60" t="e">
        <f t="shared" si="109"/>
        <v>#NUM!</v>
      </c>
      <c r="S183" s="60">
        <f ca="1">AVERAGE(OFFSET($R$3,0,0,'Données projet'!$E$9+1,1))-AVERAGE(OFFSET($H$3,0,0,'Données projet'!$E$9+1,1))</f>
        <v>570.08763950759544</v>
      </c>
      <c r="T183" s="60">
        <f t="shared" si="142"/>
        <v>297.32483725004136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-5.6843418860808015E-14</v>
      </c>
      <c r="AJ183" s="14">
        <f>AI183*VLOOKUP('Données projet'!$B$10,Paramètres!$A$1:$I$89,3,0)*VLOOKUP('Données projet'!$B$10,Paramètres!$A$1:$I$89,5,0)</f>
        <v>-4.5224624045658861E-14</v>
      </c>
      <c r="AK183" s="14" t="e">
        <f t="shared" si="164"/>
        <v>#NUM!</v>
      </c>
      <c r="AL183" s="22" t="e">
        <f t="shared" si="165"/>
        <v>#NUM!</v>
      </c>
      <c r="AM183" s="60" t="e">
        <f t="shared" si="113"/>
        <v>#NUM!</v>
      </c>
      <c r="AN183" s="60">
        <f ca="1">AVERAGE(OFFSET($AM$3,0,0,'Données projet'!$E$10+1,1))-AVERAGE(OFFSET($H$3,0,0,'Données projet'!$E$10+1,1))</f>
        <v>394.49874384716014</v>
      </c>
      <c r="AO183" s="60">
        <f t="shared" si="144"/>
        <v>423.72519584013378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3.4106051316484809E-13</v>
      </c>
      <c r="BE183" s="14">
        <f>BD183*VLOOKUP('Données projet'!$B$11,Paramètres!$A$1:$I$89,3,0)*VLOOKUP('Données projet'!$B$11,Paramètres!$A$1:$I$89,5,0)</f>
        <v>2.9795046430081134E-13</v>
      </c>
      <c r="BF183" s="14">
        <f t="shared" si="167"/>
        <v>3.9419014464513778E-12</v>
      </c>
      <c r="BG183" s="22">
        <f t="shared" si="168"/>
        <v>7.384408744560063E-12</v>
      </c>
      <c r="BH183" s="60">
        <f t="shared" si="116"/>
        <v>289.40522170386203</v>
      </c>
      <c r="BI183" s="60">
        <f ca="1">AVERAGE(OFFSET($BH$3,0,0,'Données projet'!$E$11+1,1))-AVERAGE(OFFSET($H$3,0,0,'Données projet'!$E$11+1,1))</f>
        <v>363.28611056308665</v>
      </c>
      <c r="BJ183" s="60">
        <f t="shared" si="146"/>
        <v>389.43647559455974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5.6843418860808015E-14</v>
      </c>
      <c r="BZ183" s="14">
        <f>BY183*VLOOKUP('Données projet'!$B$12,Paramètres!$A$1:$I$89,3,0)*VLOOKUP('Données projet'!$B$12,Paramètres!$A$1:$I$89,5,0)</f>
        <v>5.4092197387944907E-14</v>
      </c>
      <c r="CA183" s="14">
        <f t="shared" si="170"/>
        <v>8.7287050538073676E-13</v>
      </c>
      <c r="CB183" s="22">
        <f t="shared" si="171"/>
        <v>1.6144600406554537E-12</v>
      </c>
      <c r="CC183" s="60">
        <f t="shared" si="119"/>
        <v>289.40522170385623</v>
      </c>
      <c r="CD183" s="60">
        <f ca="1">AVERAGE(OFFSET($CC$3,0,0,'Données projet'!$E$12+1,1))-AVERAGE(OFFSET($H$3,0,0,'Données projet'!$E$12+1,1))</f>
        <v>441.15969139782891</v>
      </c>
      <c r="CE183" s="60">
        <f t="shared" si="148"/>
        <v>315.06466790224783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-5.6843418860808015E-14</v>
      </c>
      <c r="CU183" s="18">
        <f>CT183*VLOOKUP('Données projet'!$B$13,Paramètres!$A$1:$I$89,3,0)*VLOOKUP('Données projet'!$B$13,Paramètres!$A$1:$I$89,5,0)</f>
        <v>-4.1677594708744434E-14</v>
      </c>
      <c r="CV183" s="14" t="e">
        <f t="shared" si="173"/>
        <v>#NUM!</v>
      </c>
      <c r="CW183" s="22" t="e">
        <f t="shared" si="174"/>
        <v>#NUM!</v>
      </c>
      <c r="CX183" s="60" t="e">
        <f t="shared" si="122"/>
        <v>#NUM!</v>
      </c>
      <c r="CY183" s="60">
        <f ca="1">AVERAGE(OFFSET($CX$3,0,0,'Données projet'!$E$13+1,1))-AVERAGE(OFFSET($H$3,0,0,'Données projet'!$E$13+1,1))</f>
        <v>368.35775920359396</v>
      </c>
      <c r="CZ183" s="60">
        <f t="shared" si="150"/>
        <v>395.5218438652638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1.1368683772161603E-13</v>
      </c>
      <c r="DP183" s="18">
        <f>DO183*VLOOKUP('Données projet'!$B$14,Paramètres!$A$1:$I$89,3,0)*VLOOKUP('Données projet'!$B$14,Paramètres!$A$1:$I$89,5,0)</f>
        <v>8.8675733422860506E-14</v>
      </c>
      <c r="DQ183" s="14">
        <f t="shared" si="176"/>
        <v>1.3509285393066301E-12</v>
      </c>
      <c r="DR183" s="22">
        <f t="shared" si="177"/>
        <v>2.5073107750038623E-12</v>
      </c>
      <c r="DS183" s="60">
        <f t="shared" si="125"/>
        <v>289.40522170385714</v>
      </c>
      <c r="DT183" s="60">
        <f ca="1">AVERAGE(OFFSET($DS$3,0,0,'Données projet'!$E$14+1,1))-AVERAGE(OFFSET($H$3,0,0,'Données projet'!$E$14+1,1))</f>
        <v>312.59632808777332</v>
      </c>
      <c r="DU183" s="60">
        <f t="shared" si="152"/>
        <v>302.59481222418219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0</v>
      </c>
      <c r="EE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-1.1368683772161603E-13</v>
      </c>
      <c r="EK183" s="18">
        <f>EJ183*VLOOKUP('Données projet'!$B$15,Paramètres!$A$1:$I$89,3,0)*VLOOKUP('Données projet'!$B$15,Paramètres!$A$1:$I$89,5,0)</f>
        <v>-9.7543306765146564E-14</v>
      </c>
      <c r="EL183" s="14" t="e">
        <f t="shared" si="179"/>
        <v>#NUM!</v>
      </c>
      <c r="EM183" s="22" t="e">
        <f t="shared" si="180"/>
        <v>#NUM!</v>
      </c>
      <c r="EN183" s="60" t="e">
        <f t="shared" si="128"/>
        <v>#NUM!</v>
      </c>
      <c r="EO183" s="60">
        <f ca="1">AVERAGE(OFFSET($EN$3,0,0,'Données projet'!$E$15+1,1))-AVERAGE(OFFSET($H$3,0,0,'Données projet'!$E$15+1,1))</f>
        <v>478.11504516179713</v>
      </c>
      <c r="EP183" s="60">
        <f t="shared" si="154"/>
        <v>249.93713224442419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0</v>
      </c>
      <c r="EW183" s="23">
        <f>EXP(-LN(2)/25)*EW182+(1-EXP(-LN(2)/25))/(LN(2)/25)*Calculateur!ER183*Calculateur!ET183*VLOOKUP('Données projet'!$B$15,Paramètres!$A$1:$I$89,3,0)*0.475*44/12</f>
        <v>0</v>
      </c>
      <c r="EX183" s="23">
        <f>EXP(-LN(2)/2)*EX182+(1-EXP(-LN(2)/2))/(LN(2)/2)*ER183*EU183*VLOOKUP('Données projet'!$B$15,Paramètres!$A$1:$I$89,3,0)*0.475*44/12</f>
        <v>0</v>
      </c>
      <c r="EY183" s="24">
        <f t="shared" si="181"/>
        <v>0</v>
      </c>
      <c r="EZ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-1.1368683772161603E-13</v>
      </c>
      <c r="FF183" s="18">
        <f>FE183*VLOOKUP('Données projet'!$B$16,Paramètres!$A$1:$I$89,3,0)*VLOOKUP('Données projet'!$B$16,Paramètres!$A$1:$I$89,5,0)</f>
        <v>-1.0995790944434703E-13</v>
      </c>
      <c r="FG183" s="14" t="e">
        <f t="shared" si="182"/>
        <v>#NUM!</v>
      </c>
      <c r="FH183" s="22" t="e">
        <f t="shared" si="183"/>
        <v>#NUM!</v>
      </c>
      <c r="FI183" s="60" t="e">
        <f t="shared" si="131"/>
        <v>#NUM!</v>
      </c>
      <c r="FJ183" s="60">
        <f ca="1">AVERAGE(OFFSET($FI$3,0,0,'Données projet'!$E$16+1,1))-AVERAGE(OFFSET($H$3,0,0,'Données projet'!$E$16+1,1))</f>
        <v>603.52431522262032</v>
      </c>
      <c r="FK183" s="60">
        <f t="shared" si="156"/>
        <v>313.56299786481338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>
        <f>EXP(-LN(2)/35)*FQ182+(1-EXP(-LN(2)/35))/(LN(2)/35)*FM183*FN183*VLOOKUP('Données projet'!$B$16,Paramètres!$A$1:$I$89,3,0)*0.475*44/12</f>
        <v>0</v>
      </c>
      <c r="FR183" s="23">
        <f>EXP(-LN(2)/25)*FR182+(1-EXP(-LN(2)/25))/(LN(2)/25)*Calculateur!FM183*Calculateur!FO183*VLOOKUP('Données projet'!$B$16,Paramètres!$A$1:$I$89,3,0)*0.475*44/12</f>
        <v>0</v>
      </c>
      <c r="FS183" s="23">
        <f>EXP(-LN(2)/2)*FS182+(1-EXP(-LN(2)/2))/(LN(2)/2)*FM183*FP183*VLOOKUP('Données projet'!$B$16,Paramètres!$A$1:$I$89,3,0)*0.475*44/12</f>
        <v>0</v>
      </c>
      <c r="FT183" s="24">
        <f t="shared" si="184"/>
        <v>0</v>
      </c>
      <c r="FU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>
        <f>FZ183*VLOOKUP('Données projet'!$B$17,Paramètres!$A$1:$I$89,3,0)*VLOOKUP('Données projet'!$B$17,Paramètres!$A$1:$I$89,5,0)</f>
        <v>0</v>
      </c>
      <c r="GB183" s="14" t="e">
        <f t="shared" si="185"/>
        <v>#NUM!</v>
      </c>
      <c r="GC183" s="22" t="e">
        <f t="shared" si="186"/>
        <v>#NUM!</v>
      </c>
      <c r="GD183" s="60" t="e">
        <f t="shared" si="134"/>
        <v>#NUM!</v>
      </c>
      <c r="GE183" s="60">
        <f ca="1">AVERAGE(OFFSET($GD$3,0,0,'Données projet'!$E$17+1,1))-AVERAGE(OFFSET($H$3,0,0,'Données projet'!$E$17+1,1))</f>
        <v>396.0878652679051</v>
      </c>
      <c r="GF183" s="60">
        <f t="shared" si="158"/>
        <v>327.26339199235406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>
        <f>EXP(-LN(2)/35)*GL182+(1-EXP(-LN(2)/35))/(LN(2)/35)*GH183*GI183*VLOOKUP('Données projet'!$B$17,Paramètres!$A$1:$I$89,3,0)*0.475*44/12</f>
        <v>0</v>
      </c>
      <c r="GM183" s="23">
        <f>EXP(-LN(2)/25)*GM182+(1-EXP(-LN(2)/25))/(LN(2)/25)*Calculateur!GH183*Calculateur!GJ183*VLOOKUP('Données projet'!$B$17,Paramètres!$A$1:$I$89,3,0)*0.475*44/12</f>
        <v>0</v>
      </c>
      <c r="GN183" s="23">
        <f>EXP(-LN(2)/2)*GN182+(1-EXP(-LN(2)/2))/(LN(2)/2)*GH183*GK183*VLOOKUP('Données projet'!$B$17,Paramètres!$A$1:$I$89,3,0)*0.475*44/12</f>
        <v>0</v>
      </c>
      <c r="GO183" s="23">
        <f t="shared" si="187"/>
        <v>0</v>
      </c>
      <c r="GP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-1.1368683772161603E-13</v>
      </c>
      <c r="GV183" s="18">
        <f>GU183*VLOOKUP('Données projet'!$B$18,Paramètres!$A$1:$I$89,3,0)*VLOOKUP('Données projet'!$B$18,Paramètres!$A$1:$I$89,5,0)</f>
        <v>-9.2222762759774927E-14</v>
      </c>
      <c r="GW183" s="14" t="e">
        <f t="shared" si="188"/>
        <v>#NUM!</v>
      </c>
      <c r="GX183" s="22" t="e">
        <f t="shared" si="189"/>
        <v>#NUM!</v>
      </c>
      <c r="GY183" s="60" t="e">
        <f t="shared" si="137"/>
        <v>#NUM!</v>
      </c>
      <c r="GZ183" s="60">
        <f ca="1">AVERAGE(OFFSET($GY$3,0,0,'Données projet'!$E$18+1,1))-AVERAGE(OFFSET($H$3,0,0,'Données projet'!$E$18+1,1))</f>
        <v>272.69564942740931</v>
      </c>
      <c r="HA183" s="60">
        <f t="shared" si="160"/>
        <v>316.57989180609252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>
        <f>EXP(-LN(2)/35)*HG182+(1-EXP(-LN(2)/35))/(LN(2)/35)*HC183*HD183*VLOOKUP('Données projet'!$B$18,Paramètres!$A$1:$I$89,3,0)*0.475*44/12</f>
        <v>0</v>
      </c>
      <c r="HH183" s="23">
        <f>EXP(-LN(2)/25)*HH182+(1-EXP(-LN(2)/25))/(LN(2)/25)*Calculateur!HC183*Calculateur!HE183*VLOOKUP('Données projet'!$B$18,Paramètres!$A$1:$I$89,3,0)*0.475*44/12</f>
        <v>0</v>
      </c>
      <c r="HI183" s="23">
        <f>EXP(-LN(2)/2)*HI182+(1-EXP(-LN(2)/2))/(LN(2)/2)*HC183*HF183*VLOOKUP('Données projet'!$B$18,Paramètres!$A$1:$I$89,3,0)*0.475*44/12</f>
        <v>0</v>
      </c>
      <c r="HJ183" s="24">
        <f t="shared" si="190"/>
        <v>0</v>
      </c>
    </row>
    <row r="184" spans="1:218" x14ac:dyDescent="0.25">
      <c r="A184" s="11">
        <f t="shared" si="161"/>
        <v>181</v>
      </c>
      <c r="B184" s="75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8">
        <f t="shared" si="110"/>
        <v>183.33333333333334</v>
      </c>
      <c r="I184" s="7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-1.1368683772161603E-13</v>
      </c>
      <c r="O184" s="14">
        <f>N184*VLOOKUP('Données projet'!$B$9,Paramètres!$A$1:$I$89,3,0)*VLOOKUP('Données projet'!$B$9,Paramètres!$A$1:$I$89,5,0)</f>
        <v>-1.0286385077051818E-13</v>
      </c>
      <c r="P184" s="14" t="e">
        <f t="shared" si="141"/>
        <v>#NUM!</v>
      </c>
      <c r="Q184" s="22" t="e">
        <f t="shared" si="162"/>
        <v>#NUM!</v>
      </c>
      <c r="R184" s="60" t="e">
        <f t="shared" si="109"/>
        <v>#NUM!</v>
      </c>
      <c r="S184" s="60">
        <f ca="1">AVERAGE(OFFSET($R$3,0,0,'Données projet'!$E$9+1,1))-AVERAGE(OFFSET($H$3,0,0,'Données projet'!$E$9+1,1))</f>
        <v>570.08763950759544</v>
      </c>
      <c r="T184" s="60">
        <f t="shared" si="142"/>
        <v>297.32483725004136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-5.6843418860808015E-14</v>
      </c>
      <c r="AJ184" s="14">
        <f>AI184*VLOOKUP('Données projet'!$B$10,Paramètres!$A$1:$I$89,3,0)*VLOOKUP('Données projet'!$B$10,Paramètres!$A$1:$I$89,5,0)</f>
        <v>-4.5224624045658861E-14</v>
      </c>
      <c r="AK184" s="14" t="e">
        <f t="shared" si="164"/>
        <v>#NUM!</v>
      </c>
      <c r="AL184" s="22" t="e">
        <f t="shared" si="165"/>
        <v>#NUM!</v>
      </c>
      <c r="AM184" s="60" t="e">
        <f t="shared" si="113"/>
        <v>#NUM!</v>
      </c>
      <c r="AN184" s="60">
        <f ca="1">AVERAGE(OFFSET($AM$3,0,0,'Données projet'!$E$10+1,1))-AVERAGE(OFFSET($H$3,0,0,'Données projet'!$E$10+1,1))</f>
        <v>394.49874384716014</v>
      </c>
      <c r="AO184" s="60">
        <f t="shared" si="144"/>
        <v>423.72519584013378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3.4106051316484809E-13</v>
      </c>
      <c r="BE184" s="14">
        <f>BD184*VLOOKUP('Données projet'!$B$11,Paramètres!$A$1:$I$89,3,0)*VLOOKUP('Données projet'!$B$11,Paramètres!$A$1:$I$89,5,0)</f>
        <v>2.9795046430081134E-13</v>
      </c>
      <c r="BF184" s="14">
        <f t="shared" si="167"/>
        <v>3.9419014464513778E-12</v>
      </c>
      <c r="BG184" s="22">
        <f t="shared" si="168"/>
        <v>7.384408744560063E-12</v>
      </c>
      <c r="BH184" s="60">
        <f t="shared" si="116"/>
        <v>289.47336565869148</v>
      </c>
      <c r="BI184" s="60">
        <f ca="1">AVERAGE(OFFSET($BH$3,0,0,'Données projet'!$E$11+1,1))-AVERAGE(OFFSET($H$3,0,0,'Données projet'!$E$11+1,1))</f>
        <v>363.28611056308665</v>
      </c>
      <c r="BJ184" s="60">
        <f t="shared" si="146"/>
        <v>389.43647559455974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5.6843418860808015E-14</v>
      </c>
      <c r="BZ184" s="14">
        <f>BY184*VLOOKUP('Données projet'!$B$12,Paramètres!$A$1:$I$89,3,0)*VLOOKUP('Données projet'!$B$12,Paramètres!$A$1:$I$89,5,0)</f>
        <v>5.4092197387944907E-14</v>
      </c>
      <c r="CA184" s="14">
        <f t="shared" si="170"/>
        <v>8.7287050538073676E-13</v>
      </c>
      <c r="CB184" s="22">
        <f t="shared" si="171"/>
        <v>1.6144600406554537E-12</v>
      </c>
      <c r="CC184" s="60">
        <f t="shared" si="119"/>
        <v>289.47336565868568</v>
      </c>
      <c r="CD184" s="60">
        <f ca="1">AVERAGE(OFFSET($CC$3,0,0,'Données projet'!$E$12+1,1))-AVERAGE(OFFSET($H$3,0,0,'Données projet'!$E$12+1,1))</f>
        <v>441.15969139782891</v>
      </c>
      <c r="CE184" s="60">
        <f t="shared" si="148"/>
        <v>315.06466790224783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-5.6843418860808015E-14</v>
      </c>
      <c r="CU184" s="18">
        <f>CT184*VLOOKUP('Données projet'!$B$13,Paramètres!$A$1:$I$89,3,0)*VLOOKUP('Données projet'!$B$13,Paramètres!$A$1:$I$89,5,0)</f>
        <v>-4.1677594708744434E-14</v>
      </c>
      <c r="CV184" s="14" t="e">
        <f t="shared" si="173"/>
        <v>#NUM!</v>
      </c>
      <c r="CW184" s="22" t="e">
        <f t="shared" si="174"/>
        <v>#NUM!</v>
      </c>
      <c r="CX184" s="60" t="e">
        <f t="shared" si="122"/>
        <v>#NUM!</v>
      </c>
      <c r="CY184" s="60">
        <f ca="1">AVERAGE(OFFSET($CX$3,0,0,'Données projet'!$E$13+1,1))-AVERAGE(OFFSET($H$3,0,0,'Données projet'!$E$13+1,1))</f>
        <v>368.35775920359396</v>
      </c>
      <c r="CZ184" s="60">
        <f t="shared" si="150"/>
        <v>395.5218438652638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1.1368683772161603E-13</v>
      </c>
      <c r="DP184" s="18">
        <f>DO184*VLOOKUP('Données projet'!$B$14,Paramètres!$A$1:$I$89,3,0)*VLOOKUP('Données projet'!$B$14,Paramètres!$A$1:$I$89,5,0)</f>
        <v>8.8675733422860506E-14</v>
      </c>
      <c r="DQ184" s="14">
        <f t="shared" si="176"/>
        <v>1.3509285393066301E-12</v>
      </c>
      <c r="DR184" s="22">
        <f t="shared" si="177"/>
        <v>2.5073107750038623E-12</v>
      </c>
      <c r="DS184" s="60">
        <f t="shared" si="125"/>
        <v>289.47336565868659</v>
      </c>
      <c r="DT184" s="60">
        <f ca="1">AVERAGE(OFFSET($DS$3,0,0,'Données projet'!$E$14+1,1))-AVERAGE(OFFSET($H$3,0,0,'Données projet'!$E$14+1,1))</f>
        <v>312.59632808777332</v>
      </c>
      <c r="DU184" s="60">
        <f t="shared" si="152"/>
        <v>302.59481222418219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0</v>
      </c>
      <c r="EE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-1.1368683772161603E-13</v>
      </c>
      <c r="EK184" s="18">
        <f>EJ184*VLOOKUP('Données projet'!$B$15,Paramètres!$A$1:$I$89,3,0)*VLOOKUP('Données projet'!$B$15,Paramètres!$A$1:$I$89,5,0)</f>
        <v>-9.7543306765146564E-14</v>
      </c>
      <c r="EL184" s="14" t="e">
        <f t="shared" si="179"/>
        <v>#NUM!</v>
      </c>
      <c r="EM184" s="22" t="e">
        <f t="shared" si="180"/>
        <v>#NUM!</v>
      </c>
      <c r="EN184" s="60" t="e">
        <f t="shared" si="128"/>
        <v>#NUM!</v>
      </c>
      <c r="EO184" s="60">
        <f ca="1">AVERAGE(OFFSET($EN$3,0,0,'Données projet'!$E$15+1,1))-AVERAGE(OFFSET($H$3,0,0,'Données projet'!$E$15+1,1))</f>
        <v>478.11504516179713</v>
      </c>
      <c r="EP184" s="60">
        <f t="shared" si="154"/>
        <v>249.93713224442419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0</v>
      </c>
      <c r="EW184" s="23">
        <f>EXP(-LN(2)/25)*EW183+(1-EXP(-LN(2)/25))/(LN(2)/25)*Calculateur!ER184*Calculateur!ET184*VLOOKUP('Données projet'!$B$15,Paramètres!$A$1:$I$89,3,0)*0.475*44/12</f>
        <v>0</v>
      </c>
      <c r="EX184" s="23">
        <f>EXP(-LN(2)/2)*EX183+(1-EXP(-LN(2)/2))/(LN(2)/2)*ER184*EU184*VLOOKUP('Données projet'!$B$15,Paramètres!$A$1:$I$89,3,0)*0.475*44/12</f>
        <v>0</v>
      </c>
      <c r="EY184" s="24">
        <f t="shared" si="181"/>
        <v>0</v>
      </c>
      <c r="EZ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-1.1368683772161603E-13</v>
      </c>
      <c r="FF184" s="18">
        <f>FE184*VLOOKUP('Données projet'!$B$16,Paramètres!$A$1:$I$89,3,0)*VLOOKUP('Données projet'!$B$16,Paramètres!$A$1:$I$89,5,0)</f>
        <v>-1.0995790944434703E-13</v>
      </c>
      <c r="FG184" s="14" t="e">
        <f t="shared" si="182"/>
        <v>#NUM!</v>
      </c>
      <c r="FH184" s="22" t="e">
        <f t="shared" si="183"/>
        <v>#NUM!</v>
      </c>
      <c r="FI184" s="60" t="e">
        <f t="shared" si="131"/>
        <v>#NUM!</v>
      </c>
      <c r="FJ184" s="60">
        <f ca="1">AVERAGE(OFFSET($FI$3,0,0,'Données projet'!$E$16+1,1))-AVERAGE(OFFSET($H$3,0,0,'Données projet'!$E$16+1,1))</f>
        <v>603.52431522262032</v>
      </c>
      <c r="FK184" s="60">
        <f t="shared" si="156"/>
        <v>313.56299786481338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>
        <f>EXP(-LN(2)/35)*FQ183+(1-EXP(-LN(2)/35))/(LN(2)/35)*FM184*FN184*VLOOKUP('Données projet'!$B$16,Paramètres!$A$1:$I$89,3,0)*0.475*44/12</f>
        <v>0</v>
      </c>
      <c r="FR184" s="23">
        <f>EXP(-LN(2)/25)*FR183+(1-EXP(-LN(2)/25))/(LN(2)/25)*Calculateur!FM184*Calculateur!FO184*VLOOKUP('Données projet'!$B$16,Paramètres!$A$1:$I$89,3,0)*0.475*44/12</f>
        <v>0</v>
      </c>
      <c r="FS184" s="23">
        <f>EXP(-LN(2)/2)*FS183+(1-EXP(-LN(2)/2))/(LN(2)/2)*FM184*FP184*VLOOKUP('Données projet'!$B$16,Paramètres!$A$1:$I$89,3,0)*0.475*44/12</f>
        <v>0</v>
      </c>
      <c r="FT184" s="24">
        <f t="shared" si="184"/>
        <v>0</v>
      </c>
      <c r="FU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>
        <f>FZ184*VLOOKUP('Données projet'!$B$17,Paramètres!$A$1:$I$89,3,0)*VLOOKUP('Données projet'!$B$17,Paramètres!$A$1:$I$89,5,0)</f>
        <v>0</v>
      </c>
      <c r="GB184" s="14" t="e">
        <f t="shared" si="185"/>
        <v>#NUM!</v>
      </c>
      <c r="GC184" s="22" t="e">
        <f t="shared" si="186"/>
        <v>#NUM!</v>
      </c>
      <c r="GD184" s="60" t="e">
        <f t="shared" si="134"/>
        <v>#NUM!</v>
      </c>
      <c r="GE184" s="60">
        <f ca="1">AVERAGE(OFFSET($GD$3,0,0,'Données projet'!$E$17+1,1))-AVERAGE(OFFSET($H$3,0,0,'Données projet'!$E$17+1,1))</f>
        <v>396.0878652679051</v>
      </c>
      <c r="GF184" s="60">
        <f t="shared" si="158"/>
        <v>327.26339199235406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>
        <f>EXP(-LN(2)/35)*GL183+(1-EXP(-LN(2)/35))/(LN(2)/35)*GH184*GI184*VLOOKUP('Données projet'!$B$17,Paramètres!$A$1:$I$89,3,0)*0.475*44/12</f>
        <v>0</v>
      </c>
      <c r="GM184" s="23">
        <f>EXP(-LN(2)/25)*GM183+(1-EXP(-LN(2)/25))/(LN(2)/25)*Calculateur!GH184*Calculateur!GJ184*VLOOKUP('Données projet'!$B$17,Paramètres!$A$1:$I$89,3,0)*0.475*44/12</f>
        <v>0</v>
      </c>
      <c r="GN184" s="23">
        <f>EXP(-LN(2)/2)*GN183+(1-EXP(-LN(2)/2))/(LN(2)/2)*GH184*GK184*VLOOKUP('Données projet'!$B$17,Paramètres!$A$1:$I$89,3,0)*0.475*44/12</f>
        <v>0</v>
      </c>
      <c r="GO184" s="23">
        <f t="shared" si="187"/>
        <v>0</v>
      </c>
      <c r="GP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-1.1368683772161603E-13</v>
      </c>
      <c r="GV184" s="18">
        <f>GU184*VLOOKUP('Données projet'!$B$18,Paramètres!$A$1:$I$89,3,0)*VLOOKUP('Données projet'!$B$18,Paramètres!$A$1:$I$89,5,0)</f>
        <v>-9.2222762759774927E-14</v>
      </c>
      <c r="GW184" s="14" t="e">
        <f t="shared" si="188"/>
        <v>#NUM!</v>
      </c>
      <c r="GX184" s="22" t="e">
        <f t="shared" si="189"/>
        <v>#NUM!</v>
      </c>
      <c r="GY184" s="60" t="e">
        <f t="shared" si="137"/>
        <v>#NUM!</v>
      </c>
      <c r="GZ184" s="60">
        <f ca="1">AVERAGE(OFFSET($GY$3,0,0,'Données projet'!$E$18+1,1))-AVERAGE(OFFSET($H$3,0,0,'Données projet'!$E$18+1,1))</f>
        <v>272.69564942740931</v>
      </c>
      <c r="HA184" s="60">
        <f t="shared" si="160"/>
        <v>316.57989180609252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>
        <f>EXP(-LN(2)/35)*HG183+(1-EXP(-LN(2)/35))/(LN(2)/35)*HC184*HD184*VLOOKUP('Données projet'!$B$18,Paramètres!$A$1:$I$89,3,0)*0.475*44/12</f>
        <v>0</v>
      </c>
      <c r="HH184" s="23">
        <f>EXP(-LN(2)/25)*HH183+(1-EXP(-LN(2)/25))/(LN(2)/25)*Calculateur!HC184*Calculateur!HE184*VLOOKUP('Données projet'!$B$18,Paramètres!$A$1:$I$89,3,0)*0.475*44/12</f>
        <v>0</v>
      </c>
      <c r="HI184" s="23">
        <f>EXP(-LN(2)/2)*HI183+(1-EXP(-LN(2)/2))/(LN(2)/2)*HC184*HF184*VLOOKUP('Données projet'!$B$18,Paramètres!$A$1:$I$89,3,0)*0.475*44/12</f>
        <v>0</v>
      </c>
      <c r="HJ184" s="24">
        <f t="shared" si="190"/>
        <v>0</v>
      </c>
    </row>
    <row r="185" spans="1:218" x14ac:dyDescent="0.25">
      <c r="A185" s="11">
        <f t="shared" si="161"/>
        <v>182</v>
      </c>
      <c r="B185" s="75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8">
        <f t="shared" si="110"/>
        <v>183.33333333333334</v>
      </c>
      <c r="I185" s="7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-1.1368683772161603E-13</v>
      </c>
      <c r="O185" s="14">
        <f>N185*VLOOKUP('Données projet'!$B$9,Paramètres!$A$1:$I$89,3,0)*VLOOKUP('Données projet'!$B$9,Paramètres!$A$1:$I$89,5,0)</f>
        <v>-1.0286385077051818E-13</v>
      </c>
      <c r="P185" s="14" t="e">
        <f t="shared" si="141"/>
        <v>#NUM!</v>
      </c>
      <c r="Q185" s="22" t="e">
        <f t="shared" si="162"/>
        <v>#NUM!</v>
      </c>
      <c r="R185" s="60" t="e">
        <f t="shared" si="109"/>
        <v>#NUM!</v>
      </c>
      <c r="S185" s="60">
        <f ca="1">AVERAGE(OFFSET($R$3,0,0,'Données projet'!$E$9+1,1))-AVERAGE(OFFSET($H$3,0,0,'Données projet'!$E$9+1,1))</f>
        <v>570.08763950759544</v>
      </c>
      <c r="T185" s="60">
        <f t="shared" si="142"/>
        <v>297.32483725004136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-5.6843418860808015E-14</v>
      </c>
      <c r="AJ185" s="14">
        <f>AI185*VLOOKUP('Données projet'!$B$10,Paramètres!$A$1:$I$89,3,0)*VLOOKUP('Données projet'!$B$10,Paramètres!$A$1:$I$89,5,0)</f>
        <v>-4.5224624045658861E-14</v>
      </c>
      <c r="AK185" s="14" t="e">
        <f t="shared" si="164"/>
        <v>#NUM!</v>
      </c>
      <c r="AL185" s="22" t="e">
        <f t="shared" si="165"/>
        <v>#NUM!</v>
      </c>
      <c r="AM185" s="60" t="e">
        <f t="shared" si="113"/>
        <v>#NUM!</v>
      </c>
      <c r="AN185" s="60">
        <f ca="1">AVERAGE(OFFSET($AM$3,0,0,'Données projet'!$E$10+1,1))-AVERAGE(OFFSET($H$3,0,0,'Données projet'!$E$10+1,1))</f>
        <v>394.49874384716014</v>
      </c>
      <c r="AO185" s="60">
        <f t="shared" si="144"/>
        <v>423.72519584013378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3.4106051316484809E-13</v>
      </c>
      <c r="BE185" s="14">
        <f>BD185*VLOOKUP('Données projet'!$B$11,Paramètres!$A$1:$I$89,3,0)*VLOOKUP('Données projet'!$B$11,Paramètres!$A$1:$I$89,5,0)</f>
        <v>2.9795046430081134E-13</v>
      </c>
      <c r="BF185" s="14">
        <f t="shared" si="167"/>
        <v>3.9419014464513778E-12</v>
      </c>
      <c r="BG185" s="22">
        <f t="shared" si="168"/>
        <v>7.384408744560063E-12</v>
      </c>
      <c r="BH185" s="60">
        <f t="shared" si="116"/>
        <v>289.5403274682518</v>
      </c>
      <c r="BI185" s="60">
        <f ca="1">AVERAGE(OFFSET($BH$3,0,0,'Données projet'!$E$11+1,1))-AVERAGE(OFFSET($H$3,0,0,'Données projet'!$E$11+1,1))</f>
        <v>363.28611056308665</v>
      </c>
      <c r="BJ185" s="60">
        <f t="shared" si="146"/>
        <v>389.43647559455974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5.6843418860808015E-14</v>
      </c>
      <c r="BZ185" s="14">
        <f>BY185*VLOOKUP('Données projet'!$B$12,Paramètres!$A$1:$I$89,3,0)*VLOOKUP('Données projet'!$B$12,Paramètres!$A$1:$I$89,5,0)</f>
        <v>5.4092197387944907E-14</v>
      </c>
      <c r="CA185" s="14">
        <f t="shared" si="170"/>
        <v>8.7287050538073676E-13</v>
      </c>
      <c r="CB185" s="22">
        <f t="shared" si="171"/>
        <v>1.6144600406554537E-12</v>
      </c>
      <c r="CC185" s="60">
        <f t="shared" si="119"/>
        <v>289.54032746824601</v>
      </c>
      <c r="CD185" s="60">
        <f ca="1">AVERAGE(OFFSET($CC$3,0,0,'Données projet'!$E$12+1,1))-AVERAGE(OFFSET($H$3,0,0,'Données projet'!$E$12+1,1))</f>
        <v>441.15969139782891</v>
      </c>
      <c r="CE185" s="60">
        <f t="shared" si="148"/>
        <v>315.06466790224783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-5.6843418860808015E-14</v>
      </c>
      <c r="CU185" s="18">
        <f>CT185*VLOOKUP('Données projet'!$B$13,Paramètres!$A$1:$I$89,3,0)*VLOOKUP('Données projet'!$B$13,Paramètres!$A$1:$I$89,5,0)</f>
        <v>-4.1677594708744434E-14</v>
      </c>
      <c r="CV185" s="14" t="e">
        <f t="shared" si="173"/>
        <v>#NUM!</v>
      </c>
      <c r="CW185" s="22" t="e">
        <f t="shared" si="174"/>
        <v>#NUM!</v>
      </c>
      <c r="CX185" s="60" t="e">
        <f t="shared" si="122"/>
        <v>#NUM!</v>
      </c>
      <c r="CY185" s="60">
        <f ca="1">AVERAGE(OFFSET($CX$3,0,0,'Données projet'!$E$13+1,1))-AVERAGE(OFFSET($H$3,0,0,'Données projet'!$E$13+1,1))</f>
        <v>368.35775920359396</v>
      </c>
      <c r="CZ185" s="60">
        <f t="shared" si="150"/>
        <v>395.5218438652638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1.1368683772161603E-13</v>
      </c>
      <c r="DP185" s="18">
        <f>DO185*VLOOKUP('Données projet'!$B$14,Paramètres!$A$1:$I$89,3,0)*VLOOKUP('Données projet'!$B$14,Paramètres!$A$1:$I$89,5,0)</f>
        <v>8.8675733422860506E-14</v>
      </c>
      <c r="DQ185" s="14">
        <f t="shared" si="176"/>
        <v>1.3509285393066301E-12</v>
      </c>
      <c r="DR185" s="22">
        <f t="shared" si="177"/>
        <v>2.5073107750038623E-12</v>
      </c>
      <c r="DS185" s="60">
        <f t="shared" si="125"/>
        <v>289.54032746824691</v>
      </c>
      <c r="DT185" s="60">
        <f ca="1">AVERAGE(OFFSET($DS$3,0,0,'Données projet'!$E$14+1,1))-AVERAGE(OFFSET($H$3,0,0,'Données projet'!$E$14+1,1))</f>
        <v>312.59632808777332</v>
      </c>
      <c r="DU185" s="60">
        <f t="shared" si="152"/>
        <v>302.59481222418219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0</v>
      </c>
      <c r="EE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-1.1368683772161603E-13</v>
      </c>
      <c r="EK185" s="18">
        <f>EJ185*VLOOKUP('Données projet'!$B$15,Paramètres!$A$1:$I$89,3,0)*VLOOKUP('Données projet'!$B$15,Paramètres!$A$1:$I$89,5,0)</f>
        <v>-9.7543306765146564E-14</v>
      </c>
      <c r="EL185" s="14" t="e">
        <f t="shared" si="179"/>
        <v>#NUM!</v>
      </c>
      <c r="EM185" s="22" t="e">
        <f t="shared" si="180"/>
        <v>#NUM!</v>
      </c>
      <c r="EN185" s="60" t="e">
        <f t="shared" si="128"/>
        <v>#NUM!</v>
      </c>
      <c r="EO185" s="60">
        <f ca="1">AVERAGE(OFFSET($EN$3,0,0,'Données projet'!$E$15+1,1))-AVERAGE(OFFSET($H$3,0,0,'Données projet'!$E$15+1,1))</f>
        <v>478.11504516179713</v>
      </c>
      <c r="EP185" s="60">
        <f t="shared" si="154"/>
        <v>249.93713224442419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0</v>
      </c>
      <c r="EW185" s="23">
        <f>EXP(-LN(2)/25)*EW184+(1-EXP(-LN(2)/25))/(LN(2)/25)*Calculateur!ER185*Calculateur!ET185*VLOOKUP('Données projet'!$B$15,Paramètres!$A$1:$I$89,3,0)*0.475*44/12</f>
        <v>0</v>
      </c>
      <c r="EX185" s="23">
        <f>EXP(-LN(2)/2)*EX184+(1-EXP(-LN(2)/2))/(LN(2)/2)*ER185*EU185*VLOOKUP('Données projet'!$B$15,Paramètres!$A$1:$I$89,3,0)*0.475*44/12</f>
        <v>0</v>
      </c>
      <c r="EY185" s="24">
        <f t="shared" si="181"/>
        <v>0</v>
      </c>
      <c r="EZ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-1.1368683772161603E-13</v>
      </c>
      <c r="FF185" s="18">
        <f>FE185*VLOOKUP('Données projet'!$B$16,Paramètres!$A$1:$I$89,3,0)*VLOOKUP('Données projet'!$B$16,Paramètres!$A$1:$I$89,5,0)</f>
        <v>-1.0995790944434703E-13</v>
      </c>
      <c r="FG185" s="14" t="e">
        <f t="shared" si="182"/>
        <v>#NUM!</v>
      </c>
      <c r="FH185" s="22" t="e">
        <f t="shared" si="183"/>
        <v>#NUM!</v>
      </c>
      <c r="FI185" s="60" t="e">
        <f t="shared" si="131"/>
        <v>#NUM!</v>
      </c>
      <c r="FJ185" s="60">
        <f ca="1">AVERAGE(OFFSET($FI$3,0,0,'Données projet'!$E$16+1,1))-AVERAGE(OFFSET($H$3,0,0,'Données projet'!$E$16+1,1))</f>
        <v>603.52431522262032</v>
      </c>
      <c r="FK185" s="60">
        <f t="shared" si="156"/>
        <v>313.56299786481338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>
        <f>EXP(-LN(2)/35)*FQ184+(1-EXP(-LN(2)/35))/(LN(2)/35)*FM185*FN185*VLOOKUP('Données projet'!$B$16,Paramètres!$A$1:$I$89,3,0)*0.475*44/12</f>
        <v>0</v>
      </c>
      <c r="FR185" s="23">
        <f>EXP(-LN(2)/25)*FR184+(1-EXP(-LN(2)/25))/(LN(2)/25)*Calculateur!FM185*Calculateur!FO185*VLOOKUP('Données projet'!$B$16,Paramètres!$A$1:$I$89,3,0)*0.475*44/12</f>
        <v>0</v>
      </c>
      <c r="FS185" s="23">
        <f>EXP(-LN(2)/2)*FS184+(1-EXP(-LN(2)/2))/(LN(2)/2)*FM185*FP185*VLOOKUP('Données projet'!$B$16,Paramètres!$A$1:$I$89,3,0)*0.475*44/12</f>
        <v>0</v>
      </c>
      <c r="FT185" s="24">
        <f t="shared" si="184"/>
        <v>0</v>
      </c>
      <c r="FU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>
        <f>FZ185*VLOOKUP('Données projet'!$B$17,Paramètres!$A$1:$I$89,3,0)*VLOOKUP('Données projet'!$B$17,Paramètres!$A$1:$I$89,5,0)</f>
        <v>0</v>
      </c>
      <c r="GB185" s="14" t="e">
        <f t="shared" si="185"/>
        <v>#NUM!</v>
      </c>
      <c r="GC185" s="22" t="e">
        <f t="shared" si="186"/>
        <v>#NUM!</v>
      </c>
      <c r="GD185" s="60" t="e">
        <f t="shared" si="134"/>
        <v>#NUM!</v>
      </c>
      <c r="GE185" s="60">
        <f ca="1">AVERAGE(OFFSET($GD$3,0,0,'Données projet'!$E$17+1,1))-AVERAGE(OFFSET($H$3,0,0,'Données projet'!$E$17+1,1))</f>
        <v>396.0878652679051</v>
      </c>
      <c r="GF185" s="60">
        <f t="shared" si="158"/>
        <v>327.26339199235406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>
        <f>EXP(-LN(2)/35)*GL184+(1-EXP(-LN(2)/35))/(LN(2)/35)*GH185*GI185*VLOOKUP('Données projet'!$B$17,Paramètres!$A$1:$I$89,3,0)*0.475*44/12</f>
        <v>0</v>
      </c>
      <c r="GM185" s="23">
        <f>EXP(-LN(2)/25)*GM184+(1-EXP(-LN(2)/25))/(LN(2)/25)*Calculateur!GH185*Calculateur!GJ185*VLOOKUP('Données projet'!$B$17,Paramètres!$A$1:$I$89,3,0)*0.475*44/12</f>
        <v>0</v>
      </c>
      <c r="GN185" s="23">
        <f>EXP(-LN(2)/2)*GN184+(1-EXP(-LN(2)/2))/(LN(2)/2)*GH185*GK185*VLOOKUP('Données projet'!$B$17,Paramètres!$A$1:$I$89,3,0)*0.475*44/12</f>
        <v>0</v>
      </c>
      <c r="GO185" s="23">
        <f t="shared" si="187"/>
        <v>0</v>
      </c>
      <c r="GP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-1.1368683772161603E-13</v>
      </c>
      <c r="GV185" s="18">
        <f>GU185*VLOOKUP('Données projet'!$B$18,Paramètres!$A$1:$I$89,3,0)*VLOOKUP('Données projet'!$B$18,Paramètres!$A$1:$I$89,5,0)</f>
        <v>-9.2222762759774927E-14</v>
      </c>
      <c r="GW185" s="14" t="e">
        <f t="shared" si="188"/>
        <v>#NUM!</v>
      </c>
      <c r="GX185" s="22" t="e">
        <f t="shared" si="189"/>
        <v>#NUM!</v>
      </c>
      <c r="GY185" s="60" t="e">
        <f t="shared" si="137"/>
        <v>#NUM!</v>
      </c>
      <c r="GZ185" s="60">
        <f ca="1">AVERAGE(OFFSET($GY$3,0,0,'Données projet'!$E$18+1,1))-AVERAGE(OFFSET($H$3,0,0,'Données projet'!$E$18+1,1))</f>
        <v>272.69564942740931</v>
      </c>
      <c r="HA185" s="60">
        <f t="shared" si="160"/>
        <v>316.57989180609252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>
        <f>EXP(-LN(2)/35)*HG184+(1-EXP(-LN(2)/35))/(LN(2)/35)*HC185*HD185*VLOOKUP('Données projet'!$B$18,Paramètres!$A$1:$I$89,3,0)*0.475*44/12</f>
        <v>0</v>
      </c>
      <c r="HH185" s="23">
        <f>EXP(-LN(2)/25)*HH184+(1-EXP(-LN(2)/25))/(LN(2)/25)*Calculateur!HC185*Calculateur!HE185*VLOOKUP('Données projet'!$B$18,Paramètres!$A$1:$I$89,3,0)*0.475*44/12</f>
        <v>0</v>
      </c>
      <c r="HI185" s="23">
        <f>EXP(-LN(2)/2)*HI184+(1-EXP(-LN(2)/2))/(LN(2)/2)*HC185*HF185*VLOOKUP('Données projet'!$B$18,Paramètres!$A$1:$I$89,3,0)*0.475*44/12</f>
        <v>0</v>
      </c>
      <c r="HJ185" s="24">
        <f t="shared" si="190"/>
        <v>0</v>
      </c>
    </row>
    <row r="186" spans="1:218" x14ac:dyDescent="0.25">
      <c r="A186" s="11">
        <f t="shared" si="161"/>
        <v>183</v>
      </c>
      <c r="B186" s="75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8">
        <f t="shared" si="110"/>
        <v>183.33333333333334</v>
      </c>
      <c r="I186" s="7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-1.1368683772161603E-13</v>
      </c>
      <c r="O186" s="14">
        <f>N186*VLOOKUP('Données projet'!$B$9,Paramètres!$A$1:$I$89,3,0)*VLOOKUP('Données projet'!$B$9,Paramètres!$A$1:$I$89,5,0)</f>
        <v>-1.0286385077051818E-13</v>
      </c>
      <c r="P186" s="14" t="e">
        <f t="shared" si="141"/>
        <v>#NUM!</v>
      </c>
      <c r="Q186" s="22" t="e">
        <f t="shared" si="162"/>
        <v>#NUM!</v>
      </c>
      <c r="R186" s="60" t="e">
        <f t="shared" si="109"/>
        <v>#NUM!</v>
      </c>
      <c r="S186" s="60">
        <f ca="1">AVERAGE(OFFSET($R$3,0,0,'Données projet'!$E$9+1,1))-AVERAGE(OFFSET($H$3,0,0,'Données projet'!$E$9+1,1))</f>
        <v>570.08763950759544</v>
      </c>
      <c r="T186" s="60">
        <f t="shared" si="142"/>
        <v>297.32483725004136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-5.6843418860808015E-14</v>
      </c>
      <c r="AJ186" s="14">
        <f>AI186*VLOOKUP('Données projet'!$B$10,Paramètres!$A$1:$I$89,3,0)*VLOOKUP('Données projet'!$B$10,Paramètres!$A$1:$I$89,5,0)</f>
        <v>-4.5224624045658861E-14</v>
      </c>
      <c r="AK186" s="14" t="e">
        <f t="shared" si="164"/>
        <v>#NUM!</v>
      </c>
      <c r="AL186" s="22" t="e">
        <f t="shared" si="165"/>
        <v>#NUM!</v>
      </c>
      <c r="AM186" s="60" t="e">
        <f t="shared" si="113"/>
        <v>#NUM!</v>
      </c>
      <c r="AN186" s="60">
        <f ca="1">AVERAGE(OFFSET($AM$3,0,0,'Données projet'!$E$10+1,1))-AVERAGE(OFFSET($H$3,0,0,'Données projet'!$E$10+1,1))</f>
        <v>394.49874384716014</v>
      </c>
      <c r="AO186" s="60">
        <f t="shared" si="144"/>
        <v>423.72519584013378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3.4106051316484809E-13</v>
      </c>
      <c r="BE186" s="14">
        <f>BD186*VLOOKUP('Données projet'!$B$11,Paramètres!$A$1:$I$89,3,0)*VLOOKUP('Données projet'!$B$11,Paramètres!$A$1:$I$89,5,0)</f>
        <v>2.9795046430081134E-13</v>
      </c>
      <c r="BF186" s="14">
        <f t="shared" si="167"/>
        <v>3.9419014464513778E-12</v>
      </c>
      <c r="BG186" s="22">
        <f t="shared" si="168"/>
        <v>7.384408744560063E-12</v>
      </c>
      <c r="BH186" s="60">
        <f t="shared" si="116"/>
        <v>289.60612764012035</v>
      </c>
      <c r="BI186" s="60">
        <f ca="1">AVERAGE(OFFSET($BH$3,0,0,'Données projet'!$E$11+1,1))-AVERAGE(OFFSET($H$3,0,0,'Données projet'!$E$11+1,1))</f>
        <v>363.28611056308665</v>
      </c>
      <c r="BJ186" s="60">
        <f t="shared" si="146"/>
        <v>389.43647559455974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5.6843418860808015E-14</v>
      </c>
      <c r="BZ186" s="14">
        <f>BY186*VLOOKUP('Données projet'!$B$12,Paramètres!$A$1:$I$89,3,0)*VLOOKUP('Données projet'!$B$12,Paramètres!$A$1:$I$89,5,0)</f>
        <v>5.4092197387944907E-14</v>
      </c>
      <c r="CA186" s="14">
        <f t="shared" si="170"/>
        <v>8.7287050538073676E-13</v>
      </c>
      <c r="CB186" s="22">
        <f t="shared" si="171"/>
        <v>1.6144600406554537E-12</v>
      </c>
      <c r="CC186" s="60">
        <f t="shared" si="119"/>
        <v>289.60612764011455</v>
      </c>
      <c r="CD186" s="60">
        <f ca="1">AVERAGE(OFFSET($CC$3,0,0,'Données projet'!$E$12+1,1))-AVERAGE(OFFSET($H$3,0,0,'Données projet'!$E$12+1,1))</f>
        <v>441.15969139782891</v>
      </c>
      <c r="CE186" s="60">
        <f t="shared" si="148"/>
        <v>315.06466790224783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-5.6843418860808015E-14</v>
      </c>
      <c r="CU186" s="18">
        <f>CT186*VLOOKUP('Données projet'!$B$13,Paramètres!$A$1:$I$89,3,0)*VLOOKUP('Données projet'!$B$13,Paramètres!$A$1:$I$89,5,0)</f>
        <v>-4.1677594708744434E-14</v>
      </c>
      <c r="CV186" s="14" t="e">
        <f t="shared" si="173"/>
        <v>#NUM!</v>
      </c>
      <c r="CW186" s="22" t="e">
        <f t="shared" si="174"/>
        <v>#NUM!</v>
      </c>
      <c r="CX186" s="60" t="e">
        <f t="shared" si="122"/>
        <v>#NUM!</v>
      </c>
      <c r="CY186" s="60">
        <f ca="1">AVERAGE(OFFSET($CX$3,0,0,'Données projet'!$E$13+1,1))-AVERAGE(OFFSET($H$3,0,0,'Données projet'!$E$13+1,1))</f>
        <v>368.35775920359396</v>
      </c>
      <c r="CZ186" s="60">
        <f t="shared" si="150"/>
        <v>395.5218438652638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1.1368683772161603E-13</v>
      </c>
      <c r="DP186" s="18">
        <f>DO186*VLOOKUP('Données projet'!$B$14,Paramètres!$A$1:$I$89,3,0)*VLOOKUP('Données projet'!$B$14,Paramètres!$A$1:$I$89,5,0)</f>
        <v>8.8675733422860506E-14</v>
      </c>
      <c r="DQ186" s="14">
        <f t="shared" si="176"/>
        <v>1.3509285393066301E-12</v>
      </c>
      <c r="DR186" s="22">
        <f t="shared" si="177"/>
        <v>2.5073107750038623E-12</v>
      </c>
      <c r="DS186" s="60">
        <f t="shared" si="125"/>
        <v>289.60612764011546</v>
      </c>
      <c r="DT186" s="60">
        <f ca="1">AVERAGE(OFFSET($DS$3,0,0,'Données projet'!$E$14+1,1))-AVERAGE(OFFSET($H$3,0,0,'Données projet'!$E$14+1,1))</f>
        <v>312.59632808777332</v>
      </c>
      <c r="DU186" s="60">
        <f t="shared" si="152"/>
        <v>302.59481222418219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0</v>
      </c>
      <c r="EE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-1.1368683772161603E-13</v>
      </c>
      <c r="EK186" s="18">
        <f>EJ186*VLOOKUP('Données projet'!$B$15,Paramètres!$A$1:$I$89,3,0)*VLOOKUP('Données projet'!$B$15,Paramètres!$A$1:$I$89,5,0)</f>
        <v>-9.7543306765146564E-14</v>
      </c>
      <c r="EL186" s="14" t="e">
        <f t="shared" si="179"/>
        <v>#NUM!</v>
      </c>
      <c r="EM186" s="22" t="e">
        <f t="shared" si="180"/>
        <v>#NUM!</v>
      </c>
      <c r="EN186" s="60" t="e">
        <f t="shared" si="128"/>
        <v>#NUM!</v>
      </c>
      <c r="EO186" s="60">
        <f ca="1">AVERAGE(OFFSET($EN$3,0,0,'Données projet'!$E$15+1,1))-AVERAGE(OFFSET($H$3,0,0,'Données projet'!$E$15+1,1))</f>
        <v>478.11504516179713</v>
      </c>
      <c r="EP186" s="60">
        <f t="shared" si="154"/>
        <v>249.93713224442419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0</v>
      </c>
      <c r="EW186" s="23">
        <f>EXP(-LN(2)/25)*EW185+(1-EXP(-LN(2)/25))/(LN(2)/25)*Calculateur!ER186*Calculateur!ET186*VLOOKUP('Données projet'!$B$15,Paramètres!$A$1:$I$89,3,0)*0.475*44/12</f>
        <v>0</v>
      </c>
      <c r="EX186" s="23">
        <f>EXP(-LN(2)/2)*EX185+(1-EXP(-LN(2)/2))/(LN(2)/2)*ER186*EU186*VLOOKUP('Données projet'!$B$15,Paramètres!$A$1:$I$89,3,0)*0.475*44/12</f>
        <v>0</v>
      </c>
      <c r="EY186" s="24">
        <f t="shared" si="181"/>
        <v>0</v>
      </c>
      <c r="EZ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-1.1368683772161603E-13</v>
      </c>
      <c r="FF186" s="18">
        <f>FE186*VLOOKUP('Données projet'!$B$16,Paramètres!$A$1:$I$89,3,0)*VLOOKUP('Données projet'!$B$16,Paramètres!$A$1:$I$89,5,0)</f>
        <v>-1.0995790944434703E-13</v>
      </c>
      <c r="FG186" s="14" t="e">
        <f t="shared" si="182"/>
        <v>#NUM!</v>
      </c>
      <c r="FH186" s="22" t="e">
        <f t="shared" si="183"/>
        <v>#NUM!</v>
      </c>
      <c r="FI186" s="60" t="e">
        <f t="shared" si="131"/>
        <v>#NUM!</v>
      </c>
      <c r="FJ186" s="60">
        <f ca="1">AVERAGE(OFFSET($FI$3,0,0,'Données projet'!$E$16+1,1))-AVERAGE(OFFSET($H$3,0,0,'Données projet'!$E$16+1,1))</f>
        <v>603.52431522262032</v>
      </c>
      <c r="FK186" s="60">
        <f t="shared" si="156"/>
        <v>313.56299786481338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>
        <f>EXP(-LN(2)/35)*FQ185+(1-EXP(-LN(2)/35))/(LN(2)/35)*FM186*FN186*VLOOKUP('Données projet'!$B$16,Paramètres!$A$1:$I$89,3,0)*0.475*44/12</f>
        <v>0</v>
      </c>
      <c r="FR186" s="23">
        <f>EXP(-LN(2)/25)*FR185+(1-EXP(-LN(2)/25))/(LN(2)/25)*Calculateur!FM186*Calculateur!FO186*VLOOKUP('Données projet'!$B$16,Paramètres!$A$1:$I$89,3,0)*0.475*44/12</f>
        <v>0</v>
      </c>
      <c r="FS186" s="23">
        <f>EXP(-LN(2)/2)*FS185+(1-EXP(-LN(2)/2))/(LN(2)/2)*FM186*FP186*VLOOKUP('Données projet'!$B$16,Paramètres!$A$1:$I$89,3,0)*0.475*44/12</f>
        <v>0</v>
      </c>
      <c r="FT186" s="24">
        <f t="shared" si="184"/>
        <v>0</v>
      </c>
      <c r="FU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>
        <f>FZ186*VLOOKUP('Données projet'!$B$17,Paramètres!$A$1:$I$89,3,0)*VLOOKUP('Données projet'!$B$17,Paramètres!$A$1:$I$89,5,0)</f>
        <v>0</v>
      </c>
      <c r="GB186" s="14" t="e">
        <f t="shared" si="185"/>
        <v>#NUM!</v>
      </c>
      <c r="GC186" s="22" t="e">
        <f t="shared" si="186"/>
        <v>#NUM!</v>
      </c>
      <c r="GD186" s="60" t="e">
        <f t="shared" si="134"/>
        <v>#NUM!</v>
      </c>
      <c r="GE186" s="60">
        <f ca="1">AVERAGE(OFFSET($GD$3,0,0,'Données projet'!$E$17+1,1))-AVERAGE(OFFSET($H$3,0,0,'Données projet'!$E$17+1,1))</f>
        <v>396.0878652679051</v>
      </c>
      <c r="GF186" s="60">
        <f t="shared" si="158"/>
        <v>327.26339199235406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>
        <f>EXP(-LN(2)/35)*GL185+(1-EXP(-LN(2)/35))/(LN(2)/35)*GH186*GI186*VLOOKUP('Données projet'!$B$17,Paramètres!$A$1:$I$89,3,0)*0.475*44/12</f>
        <v>0</v>
      </c>
      <c r="GM186" s="23">
        <f>EXP(-LN(2)/25)*GM185+(1-EXP(-LN(2)/25))/(LN(2)/25)*Calculateur!GH186*Calculateur!GJ186*VLOOKUP('Données projet'!$B$17,Paramètres!$A$1:$I$89,3,0)*0.475*44/12</f>
        <v>0</v>
      </c>
      <c r="GN186" s="23">
        <f>EXP(-LN(2)/2)*GN185+(1-EXP(-LN(2)/2))/(LN(2)/2)*GH186*GK186*VLOOKUP('Données projet'!$B$17,Paramètres!$A$1:$I$89,3,0)*0.475*44/12</f>
        <v>0</v>
      </c>
      <c r="GO186" s="23">
        <f t="shared" si="187"/>
        <v>0</v>
      </c>
      <c r="GP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-1.1368683772161603E-13</v>
      </c>
      <c r="GV186" s="18">
        <f>GU186*VLOOKUP('Données projet'!$B$18,Paramètres!$A$1:$I$89,3,0)*VLOOKUP('Données projet'!$B$18,Paramètres!$A$1:$I$89,5,0)</f>
        <v>-9.2222762759774927E-14</v>
      </c>
      <c r="GW186" s="14" t="e">
        <f t="shared" si="188"/>
        <v>#NUM!</v>
      </c>
      <c r="GX186" s="22" t="e">
        <f t="shared" si="189"/>
        <v>#NUM!</v>
      </c>
      <c r="GY186" s="60" t="e">
        <f t="shared" si="137"/>
        <v>#NUM!</v>
      </c>
      <c r="GZ186" s="60">
        <f ca="1">AVERAGE(OFFSET($GY$3,0,0,'Données projet'!$E$18+1,1))-AVERAGE(OFFSET($H$3,0,0,'Données projet'!$E$18+1,1))</f>
        <v>272.69564942740931</v>
      </c>
      <c r="HA186" s="60">
        <f t="shared" si="160"/>
        <v>316.57989180609252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>
        <f>EXP(-LN(2)/35)*HG185+(1-EXP(-LN(2)/35))/(LN(2)/35)*HC186*HD186*VLOOKUP('Données projet'!$B$18,Paramètres!$A$1:$I$89,3,0)*0.475*44/12</f>
        <v>0</v>
      </c>
      <c r="HH186" s="23">
        <f>EXP(-LN(2)/25)*HH185+(1-EXP(-LN(2)/25))/(LN(2)/25)*Calculateur!HC186*Calculateur!HE186*VLOOKUP('Données projet'!$B$18,Paramètres!$A$1:$I$89,3,0)*0.475*44/12</f>
        <v>0</v>
      </c>
      <c r="HI186" s="23">
        <f>EXP(-LN(2)/2)*HI185+(1-EXP(-LN(2)/2))/(LN(2)/2)*HC186*HF186*VLOOKUP('Données projet'!$B$18,Paramètres!$A$1:$I$89,3,0)*0.475*44/12</f>
        <v>0</v>
      </c>
      <c r="HJ186" s="24">
        <f t="shared" si="190"/>
        <v>0</v>
      </c>
    </row>
    <row r="187" spans="1:218" x14ac:dyDescent="0.25">
      <c r="A187" s="11">
        <f t="shared" si="161"/>
        <v>184</v>
      </c>
      <c r="B187" s="75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8">
        <f t="shared" si="110"/>
        <v>183.33333333333334</v>
      </c>
      <c r="I187" s="7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-1.1368683772161603E-13</v>
      </c>
      <c r="O187" s="14">
        <f>N187*VLOOKUP('Données projet'!$B$9,Paramètres!$A$1:$I$89,3,0)*VLOOKUP('Données projet'!$B$9,Paramètres!$A$1:$I$89,5,0)</f>
        <v>-1.0286385077051818E-13</v>
      </c>
      <c r="P187" s="14" t="e">
        <f t="shared" si="141"/>
        <v>#NUM!</v>
      </c>
      <c r="Q187" s="22" t="e">
        <f t="shared" si="162"/>
        <v>#NUM!</v>
      </c>
      <c r="R187" s="60" t="e">
        <f t="shared" si="109"/>
        <v>#NUM!</v>
      </c>
      <c r="S187" s="60">
        <f ca="1">AVERAGE(OFFSET($R$3,0,0,'Données projet'!$E$9+1,1))-AVERAGE(OFFSET($H$3,0,0,'Données projet'!$E$9+1,1))</f>
        <v>570.08763950759544</v>
      </c>
      <c r="T187" s="60">
        <f t="shared" si="142"/>
        <v>297.32483725004136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-5.6843418860808015E-14</v>
      </c>
      <c r="AJ187" s="14">
        <f>AI187*VLOOKUP('Données projet'!$B$10,Paramètres!$A$1:$I$89,3,0)*VLOOKUP('Données projet'!$B$10,Paramètres!$A$1:$I$89,5,0)</f>
        <v>-4.5224624045658861E-14</v>
      </c>
      <c r="AK187" s="14" t="e">
        <f t="shared" si="164"/>
        <v>#NUM!</v>
      </c>
      <c r="AL187" s="22" t="e">
        <f t="shared" si="165"/>
        <v>#NUM!</v>
      </c>
      <c r="AM187" s="60" t="e">
        <f t="shared" si="113"/>
        <v>#NUM!</v>
      </c>
      <c r="AN187" s="60">
        <f ca="1">AVERAGE(OFFSET($AM$3,0,0,'Données projet'!$E$10+1,1))-AVERAGE(OFFSET($H$3,0,0,'Données projet'!$E$10+1,1))</f>
        <v>394.49874384716014</v>
      </c>
      <c r="AO187" s="60">
        <f t="shared" si="144"/>
        <v>423.72519584013378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3.4106051316484809E-13</v>
      </c>
      <c r="BE187" s="14">
        <f>BD187*VLOOKUP('Données projet'!$B$11,Paramètres!$A$1:$I$89,3,0)*VLOOKUP('Données projet'!$B$11,Paramètres!$A$1:$I$89,5,0)</f>
        <v>2.9795046430081134E-13</v>
      </c>
      <c r="BF187" s="14">
        <f t="shared" si="167"/>
        <v>3.9419014464513778E-12</v>
      </c>
      <c r="BG187" s="22">
        <f t="shared" si="168"/>
        <v>7.384408744560063E-12</v>
      </c>
      <c r="BH187" s="60">
        <f t="shared" si="116"/>
        <v>289.67078632611413</v>
      </c>
      <c r="BI187" s="60">
        <f ca="1">AVERAGE(OFFSET($BH$3,0,0,'Données projet'!$E$11+1,1))-AVERAGE(OFFSET($H$3,0,0,'Données projet'!$E$11+1,1))</f>
        <v>363.28611056308665</v>
      </c>
      <c r="BJ187" s="60">
        <f t="shared" si="146"/>
        <v>389.43647559455974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5.6843418860808015E-14</v>
      </c>
      <c r="BZ187" s="14">
        <f>BY187*VLOOKUP('Données projet'!$B$12,Paramètres!$A$1:$I$89,3,0)*VLOOKUP('Données projet'!$B$12,Paramètres!$A$1:$I$89,5,0)</f>
        <v>5.4092197387944907E-14</v>
      </c>
      <c r="CA187" s="14">
        <f t="shared" si="170"/>
        <v>8.7287050538073676E-13</v>
      </c>
      <c r="CB187" s="22">
        <f t="shared" si="171"/>
        <v>1.6144600406554537E-12</v>
      </c>
      <c r="CC187" s="60">
        <f t="shared" si="119"/>
        <v>289.67078632610833</v>
      </c>
      <c r="CD187" s="60">
        <f ca="1">AVERAGE(OFFSET($CC$3,0,0,'Données projet'!$E$12+1,1))-AVERAGE(OFFSET($H$3,0,0,'Données projet'!$E$12+1,1))</f>
        <v>441.15969139782891</v>
      </c>
      <c r="CE187" s="60">
        <f t="shared" si="148"/>
        <v>315.06466790224783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-5.6843418860808015E-14</v>
      </c>
      <c r="CU187" s="18">
        <f>CT187*VLOOKUP('Données projet'!$B$13,Paramètres!$A$1:$I$89,3,0)*VLOOKUP('Données projet'!$B$13,Paramètres!$A$1:$I$89,5,0)</f>
        <v>-4.1677594708744434E-14</v>
      </c>
      <c r="CV187" s="14" t="e">
        <f t="shared" si="173"/>
        <v>#NUM!</v>
      </c>
      <c r="CW187" s="22" t="e">
        <f t="shared" si="174"/>
        <v>#NUM!</v>
      </c>
      <c r="CX187" s="60" t="e">
        <f t="shared" si="122"/>
        <v>#NUM!</v>
      </c>
      <c r="CY187" s="60">
        <f ca="1">AVERAGE(OFFSET($CX$3,0,0,'Données projet'!$E$13+1,1))-AVERAGE(OFFSET($H$3,0,0,'Données projet'!$E$13+1,1))</f>
        <v>368.35775920359396</v>
      </c>
      <c r="CZ187" s="60">
        <f t="shared" si="150"/>
        <v>395.5218438652638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1.1368683772161603E-13</v>
      </c>
      <c r="DP187" s="18">
        <f>DO187*VLOOKUP('Données projet'!$B$14,Paramètres!$A$1:$I$89,3,0)*VLOOKUP('Données projet'!$B$14,Paramètres!$A$1:$I$89,5,0)</f>
        <v>8.8675733422860506E-14</v>
      </c>
      <c r="DQ187" s="14">
        <f t="shared" si="176"/>
        <v>1.3509285393066301E-12</v>
      </c>
      <c r="DR187" s="22">
        <f t="shared" si="177"/>
        <v>2.5073107750038623E-12</v>
      </c>
      <c r="DS187" s="60">
        <f t="shared" si="125"/>
        <v>289.67078632610924</v>
      </c>
      <c r="DT187" s="60">
        <f ca="1">AVERAGE(OFFSET($DS$3,0,0,'Données projet'!$E$14+1,1))-AVERAGE(OFFSET($H$3,0,0,'Données projet'!$E$14+1,1))</f>
        <v>312.59632808777332</v>
      </c>
      <c r="DU187" s="60">
        <f t="shared" si="152"/>
        <v>302.59481222418219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0</v>
      </c>
      <c r="EE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-1.1368683772161603E-13</v>
      </c>
      <c r="EK187" s="18">
        <f>EJ187*VLOOKUP('Données projet'!$B$15,Paramètres!$A$1:$I$89,3,0)*VLOOKUP('Données projet'!$B$15,Paramètres!$A$1:$I$89,5,0)</f>
        <v>-9.7543306765146564E-14</v>
      </c>
      <c r="EL187" s="14" t="e">
        <f t="shared" si="179"/>
        <v>#NUM!</v>
      </c>
      <c r="EM187" s="22" t="e">
        <f t="shared" si="180"/>
        <v>#NUM!</v>
      </c>
      <c r="EN187" s="60" t="e">
        <f t="shared" si="128"/>
        <v>#NUM!</v>
      </c>
      <c r="EO187" s="60">
        <f ca="1">AVERAGE(OFFSET($EN$3,0,0,'Données projet'!$E$15+1,1))-AVERAGE(OFFSET($H$3,0,0,'Données projet'!$E$15+1,1))</f>
        <v>478.11504516179713</v>
      </c>
      <c r="EP187" s="60">
        <f t="shared" si="154"/>
        <v>249.93713224442419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0</v>
      </c>
      <c r="EW187" s="23">
        <f>EXP(-LN(2)/25)*EW186+(1-EXP(-LN(2)/25))/(LN(2)/25)*Calculateur!ER187*Calculateur!ET187*VLOOKUP('Données projet'!$B$15,Paramètres!$A$1:$I$89,3,0)*0.475*44/12</f>
        <v>0</v>
      </c>
      <c r="EX187" s="23">
        <f>EXP(-LN(2)/2)*EX186+(1-EXP(-LN(2)/2))/(LN(2)/2)*ER187*EU187*VLOOKUP('Données projet'!$B$15,Paramètres!$A$1:$I$89,3,0)*0.475*44/12</f>
        <v>0</v>
      </c>
      <c r="EY187" s="24">
        <f t="shared" si="181"/>
        <v>0</v>
      </c>
      <c r="EZ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-1.1368683772161603E-13</v>
      </c>
      <c r="FF187" s="18">
        <f>FE187*VLOOKUP('Données projet'!$B$16,Paramètres!$A$1:$I$89,3,0)*VLOOKUP('Données projet'!$B$16,Paramètres!$A$1:$I$89,5,0)</f>
        <v>-1.0995790944434703E-13</v>
      </c>
      <c r="FG187" s="14" t="e">
        <f t="shared" si="182"/>
        <v>#NUM!</v>
      </c>
      <c r="FH187" s="22" t="e">
        <f t="shared" si="183"/>
        <v>#NUM!</v>
      </c>
      <c r="FI187" s="60" t="e">
        <f t="shared" si="131"/>
        <v>#NUM!</v>
      </c>
      <c r="FJ187" s="60">
        <f ca="1">AVERAGE(OFFSET($FI$3,0,0,'Données projet'!$E$16+1,1))-AVERAGE(OFFSET($H$3,0,0,'Données projet'!$E$16+1,1))</f>
        <v>603.52431522262032</v>
      </c>
      <c r="FK187" s="60">
        <f t="shared" si="156"/>
        <v>313.56299786481338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>
        <f>EXP(-LN(2)/35)*FQ186+(1-EXP(-LN(2)/35))/(LN(2)/35)*FM187*FN187*VLOOKUP('Données projet'!$B$16,Paramètres!$A$1:$I$89,3,0)*0.475*44/12</f>
        <v>0</v>
      </c>
      <c r="FR187" s="23">
        <f>EXP(-LN(2)/25)*FR186+(1-EXP(-LN(2)/25))/(LN(2)/25)*Calculateur!FM187*Calculateur!FO187*VLOOKUP('Données projet'!$B$16,Paramètres!$A$1:$I$89,3,0)*0.475*44/12</f>
        <v>0</v>
      </c>
      <c r="FS187" s="23">
        <f>EXP(-LN(2)/2)*FS186+(1-EXP(-LN(2)/2))/(LN(2)/2)*FM187*FP187*VLOOKUP('Données projet'!$B$16,Paramètres!$A$1:$I$89,3,0)*0.475*44/12</f>
        <v>0</v>
      </c>
      <c r="FT187" s="24">
        <f t="shared" si="184"/>
        <v>0</v>
      </c>
      <c r="FU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>
        <f>FZ187*VLOOKUP('Données projet'!$B$17,Paramètres!$A$1:$I$89,3,0)*VLOOKUP('Données projet'!$B$17,Paramètres!$A$1:$I$89,5,0)</f>
        <v>0</v>
      </c>
      <c r="GB187" s="14" t="e">
        <f t="shared" si="185"/>
        <v>#NUM!</v>
      </c>
      <c r="GC187" s="22" t="e">
        <f t="shared" si="186"/>
        <v>#NUM!</v>
      </c>
      <c r="GD187" s="60" t="e">
        <f t="shared" si="134"/>
        <v>#NUM!</v>
      </c>
      <c r="GE187" s="60">
        <f ca="1">AVERAGE(OFFSET($GD$3,0,0,'Données projet'!$E$17+1,1))-AVERAGE(OFFSET($H$3,0,0,'Données projet'!$E$17+1,1))</f>
        <v>396.0878652679051</v>
      </c>
      <c r="GF187" s="60">
        <f t="shared" si="158"/>
        <v>327.26339199235406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>
        <f>EXP(-LN(2)/35)*GL186+(1-EXP(-LN(2)/35))/(LN(2)/35)*GH187*GI187*VLOOKUP('Données projet'!$B$17,Paramètres!$A$1:$I$89,3,0)*0.475*44/12</f>
        <v>0</v>
      </c>
      <c r="GM187" s="23">
        <f>EXP(-LN(2)/25)*GM186+(1-EXP(-LN(2)/25))/(LN(2)/25)*Calculateur!GH187*Calculateur!GJ187*VLOOKUP('Données projet'!$B$17,Paramètres!$A$1:$I$89,3,0)*0.475*44/12</f>
        <v>0</v>
      </c>
      <c r="GN187" s="23">
        <f>EXP(-LN(2)/2)*GN186+(1-EXP(-LN(2)/2))/(LN(2)/2)*GH187*GK187*VLOOKUP('Données projet'!$B$17,Paramètres!$A$1:$I$89,3,0)*0.475*44/12</f>
        <v>0</v>
      </c>
      <c r="GO187" s="23">
        <f t="shared" si="187"/>
        <v>0</v>
      </c>
      <c r="GP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-1.1368683772161603E-13</v>
      </c>
      <c r="GV187" s="18">
        <f>GU187*VLOOKUP('Données projet'!$B$18,Paramètres!$A$1:$I$89,3,0)*VLOOKUP('Données projet'!$B$18,Paramètres!$A$1:$I$89,5,0)</f>
        <v>-9.2222762759774927E-14</v>
      </c>
      <c r="GW187" s="14" t="e">
        <f t="shared" si="188"/>
        <v>#NUM!</v>
      </c>
      <c r="GX187" s="22" t="e">
        <f t="shared" si="189"/>
        <v>#NUM!</v>
      </c>
      <c r="GY187" s="60" t="e">
        <f t="shared" si="137"/>
        <v>#NUM!</v>
      </c>
      <c r="GZ187" s="60">
        <f ca="1">AVERAGE(OFFSET($GY$3,0,0,'Données projet'!$E$18+1,1))-AVERAGE(OFFSET($H$3,0,0,'Données projet'!$E$18+1,1))</f>
        <v>272.69564942740931</v>
      </c>
      <c r="HA187" s="60">
        <f t="shared" si="160"/>
        <v>316.57989180609252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>
        <f>EXP(-LN(2)/35)*HG186+(1-EXP(-LN(2)/35))/(LN(2)/35)*HC187*HD187*VLOOKUP('Données projet'!$B$18,Paramètres!$A$1:$I$89,3,0)*0.475*44/12</f>
        <v>0</v>
      </c>
      <c r="HH187" s="23">
        <f>EXP(-LN(2)/25)*HH186+(1-EXP(-LN(2)/25))/(LN(2)/25)*Calculateur!HC187*Calculateur!HE187*VLOOKUP('Données projet'!$B$18,Paramètres!$A$1:$I$89,3,0)*0.475*44/12</f>
        <v>0</v>
      </c>
      <c r="HI187" s="23">
        <f>EXP(-LN(2)/2)*HI186+(1-EXP(-LN(2)/2))/(LN(2)/2)*HC187*HF187*VLOOKUP('Données projet'!$B$18,Paramètres!$A$1:$I$89,3,0)*0.475*44/12</f>
        <v>0</v>
      </c>
      <c r="HJ187" s="24">
        <f t="shared" si="190"/>
        <v>0</v>
      </c>
    </row>
    <row r="188" spans="1:218" x14ac:dyDescent="0.25">
      <c r="A188" s="11">
        <f t="shared" si="161"/>
        <v>185</v>
      </c>
      <c r="B188" s="75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8">
        <f t="shared" si="110"/>
        <v>183.33333333333334</v>
      </c>
      <c r="I188" s="7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-1.1368683772161603E-13</v>
      </c>
      <c r="O188" s="14">
        <f>N188*VLOOKUP('Données projet'!$B$9,Paramètres!$A$1:$I$89,3,0)*VLOOKUP('Données projet'!$B$9,Paramètres!$A$1:$I$89,5,0)</f>
        <v>-1.0286385077051818E-13</v>
      </c>
      <c r="P188" s="14" t="e">
        <f t="shared" si="141"/>
        <v>#NUM!</v>
      </c>
      <c r="Q188" s="22" t="e">
        <f t="shared" si="162"/>
        <v>#NUM!</v>
      </c>
      <c r="R188" s="60" t="e">
        <f t="shared" si="109"/>
        <v>#NUM!</v>
      </c>
      <c r="S188" s="60">
        <f ca="1">AVERAGE(OFFSET($R$3,0,0,'Données projet'!$E$9+1,1))-AVERAGE(OFFSET($H$3,0,0,'Données projet'!$E$9+1,1))</f>
        <v>570.08763950759544</v>
      </c>
      <c r="T188" s="60">
        <f t="shared" si="142"/>
        <v>297.32483725004136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-5.6843418860808015E-14</v>
      </c>
      <c r="AJ188" s="14">
        <f>AI188*VLOOKUP('Données projet'!$B$10,Paramètres!$A$1:$I$89,3,0)*VLOOKUP('Données projet'!$B$10,Paramètres!$A$1:$I$89,5,0)</f>
        <v>-4.5224624045658861E-14</v>
      </c>
      <c r="AK188" s="14" t="e">
        <f t="shared" si="164"/>
        <v>#NUM!</v>
      </c>
      <c r="AL188" s="22" t="e">
        <f t="shared" si="165"/>
        <v>#NUM!</v>
      </c>
      <c r="AM188" s="60" t="e">
        <f t="shared" si="113"/>
        <v>#NUM!</v>
      </c>
      <c r="AN188" s="60">
        <f ca="1">AVERAGE(OFFSET($AM$3,0,0,'Données projet'!$E$10+1,1))-AVERAGE(OFFSET($H$3,0,0,'Données projet'!$E$10+1,1))</f>
        <v>394.49874384716014</v>
      </c>
      <c r="AO188" s="60">
        <f t="shared" si="144"/>
        <v>423.72519584013378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3.4106051316484809E-13</v>
      </c>
      <c r="BE188" s="14">
        <f>BD188*VLOOKUP('Données projet'!$B$11,Paramètres!$A$1:$I$89,3,0)*VLOOKUP('Données projet'!$B$11,Paramètres!$A$1:$I$89,5,0)</f>
        <v>2.9795046430081134E-13</v>
      </c>
      <c r="BF188" s="14">
        <f t="shared" si="167"/>
        <v>3.9419014464513778E-12</v>
      </c>
      <c r="BG188" s="22">
        <f t="shared" si="168"/>
        <v>7.384408744560063E-12</v>
      </c>
      <c r="BH188" s="60">
        <f t="shared" si="116"/>
        <v>289.73432332846113</v>
      </c>
      <c r="BI188" s="60">
        <f ca="1">AVERAGE(OFFSET($BH$3,0,0,'Données projet'!$E$11+1,1))-AVERAGE(OFFSET($H$3,0,0,'Données projet'!$E$11+1,1))</f>
        <v>363.28611056308665</v>
      </c>
      <c r="BJ188" s="60">
        <f t="shared" si="146"/>
        <v>389.43647559455974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5.6843418860808015E-14</v>
      </c>
      <c r="BZ188" s="14">
        <f>BY188*VLOOKUP('Données projet'!$B$12,Paramètres!$A$1:$I$89,3,0)*VLOOKUP('Données projet'!$B$12,Paramètres!$A$1:$I$89,5,0)</f>
        <v>5.4092197387944907E-14</v>
      </c>
      <c r="CA188" s="14">
        <f t="shared" si="170"/>
        <v>8.7287050538073676E-13</v>
      </c>
      <c r="CB188" s="22">
        <f t="shared" si="171"/>
        <v>1.6144600406554537E-12</v>
      </c>
      <c r="CC188" s="60">
        <f t="shared" si="119"/>
        <v>289.73432332845533</v>
      </c>
      <c r="CD188" s="60">
        <f ca="1">AVERAGE(OFFSET($CC$3,0,0,'Données projet'!$E$12+1,1))-AVERAGE(OFFSET($H$3,0,0,'Données projet'!$E$12+1,1))</f>
        <v>441.15969139782891</v>
      </c>
      <c r="CE188" s="60">
        <f t="shared" si="148"/>
        <v>315.06466790224783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-5.6843418860808015E-14</v>
      </c>
      <c r="CU188" s="18">
        <f>CT188*VLOOKUP('Données projet'!$B$13,Paramètres!$A$1:$I$89,3,0)*VLOOKUP('Données projet'!$B$13,Paramètres!$A$1:$I$89,5,0)</f>
        <v>-4.1677594708744434E-14</v>
      </c>
      <c r="CV188" s="14" t="e">
        <f t="shared" si="173"/>
        <v>#NUM!</v>
      </c>
      <c r="CW188" s="22" t="e">
        <f t="shared" si="174"/>
        <v>#NUM!</v>
      </c>
      <c r="CX188" s="60" t="e">
        <f t="shared" si="122"/>
        <v>#NUM!</v>
      </c>
      <c r="CY188" s="60">
        <f ca="1">AVERAGE(OFFSET($CX$3,0,0,'Données projet'!$E$13+1,1))-AVERAGE(OFFSET($H$3,0,0,'Données projet'!$E$13+1,1))</f>
        <v>368.35775920359396</v>
      </c>
      <c r="CZ188" s="60">
        <f t="shared" si="150"/>
        <v>395.5218438652638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1.1368683772161603E-13</v>
      </c>
      <c r="DP188" s="18">
        <f>DO188*VLOOKUP('Données projet'!$B$14,Paramètres!$A$1:$I$89,3,0)*VLOOKUP('Données projet'!$B$14,Paramètres!$A$1:$I$89,5,0)</f>
        <v>8.8675733422860506E-14</v>
      </c>
      <c r="DQ188" s="14">
        <f t="shared" si="176"/>
        <v>1.3509285393066301E-12</v>
      </c>
      <c r="DR188" s="22">
        <f t="shared" si="177"/>
        <v>2.5073107750038623E-12</v>
      </c>
      <c r="DS188" s="60">
        <f t="shared" si="125"/>
        <v>289.73432332845624</v>
      </c>
      <c r="DT188" s="60">
        <f ca="1">AVERAGE(OFFSET($DS$3,0,0,'Données projet'!$E$14+1,1))-AVERAGE(OFFSET($H$3,0,0,'Données projet'!$E$14+1,1))</f>
        <v>312.59632808777332</v>
      </c>
      <c r="DU188" s="60">
        <f t="shared" si="152"/>
        <v>302.59481222418219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0</v>
      </c>
      <c r="EE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-1.1368683772161603E-13</v>
      </c>
      <c r="EK188" s="18">
        <f>EJ188*VLOOKUP('Données projet'!$B$15,Paramètres!$A$1:$I$89,3,0)*VLOOKUP('Données projet'!$B$15,Paramètres!$A$1:$I$89,5,0)</f>
        <v>-9.7543306765146564E-14</v>
      </c>
      <c r="EL188" s="14" t="e">
        <f t="shared" si="179"/>
        <v>#NUM!</v>
      </c>
      <c r="EM188" s="22" t="e">
        <f t="shared" si="180"/>
        <v>#NUM!</v>
      </c>
      <c r="EN188" s="60" t="e">
        <f t="shared" si="128"/>
        <v>#NUM!</v>
      </c>
      <c r="EO188" s="60">
        <f ca="1">AVERAGE(OFFSET($EN$3,0,0,'Données projet'!$E$15+1,1))-AVERAGE(OFFSET($H$3,0,0,'Données projet'!$E$15+1,1))</f>
        <v>478.11504516179713</v>
      </c>
      <c r="EP188" s="60">
        <f t="shared" si="154"/>
        <v>249.93713224442419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0</v>
      </c>
      <c r="EW188" s="23">
        <f>EXP(-LN(2)/25)*EW187+(1-EXP(-LN(2)/25))/(LN(2)/25)*Calculateur!ER188*Calculateur!ET188*VLOOKUP('Données projet'!$B$15,Paramètres!$A$1:$I$89,3,0)*0.475*44/12</f>
        <v>0</v>
      </c>
      <c r="EX188" s="23">
        <f>EXP(-LN(2)/2)*EX187+(1-EXP(-LN(2)/2))/(LN(2)/2)*ER188*EU188*VLOOKUP('Données projet'!$B$15,Paramètres!$A$1:$I$89,3,0)*0.475*44/12</f>
        <v>0</v>
      </c>
      <c r="EY188" s="24">
        <f t="shared" si="181"/>
        <v>0</v>
      </c>
      <c r="EZ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-1.1368683772161603E-13</v>
      </c>
      <c r="FF188" s="18">
        <f>FE188*VLOOKUP('Données projet'!$B$16,Paramètres!$A$1:$I$89,3,0)*VLOOKUP('Données projet'!$B$16,Paramètres!$A$1:$I$89,5,0)</f>
        <v>-1.0995790944434703E-13</v>
      </c>
      <c r="FG188" s="14" t="e">
        <f t="shared" si="182"/>
        <v>#NUM!</v>
      </c>
      <c r="FH188" s="22" t="e">
        <f t="shared" si="183"/>
        <v>#NUM!</v>
      </c>
      <c r="FI188" s="60" t="e">
        <f t="shared" si="131"/>
        <v>#NUM!</v>
      </c>
      <c r="FJ188" s="60">
        <f ca="1">AVERAGE(OFFSET($FI$3,0,0,'Données projet'!$E$16+1,1))-AVERAGE(OFFSET($H$3,0,0,'Données projet'!$E$16+1,1))</f>
        <v>603.52431522262032</v>
      </c>
      <c r="FK188" s="60">
        <f t="shared" si="156"/>
        <v>313.56299786481338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>
        <f>EXP(-LN(2)/35)*FQ187+(1-EXP(-LN(2)/35))/(LN(2)/35)*FM188*FN188*VLOOKUP('Données projet'!$B$16,Paramètres!$A$1:$I$89,3,0)*0.475*44/12</f>
        <v>0</v>
      </c>
      <c r="FR188" s="23">
        <f>EXP(-LN(2)/25)*FR187+(1-EXP(-LN(2)/25))/(LN(2)/25)*Calculateur!FM188*Calculateur!FO188*VLOOKUP('Données projet'!$B$16,Paramètres!$A$1:$I$89,3,0)*0.475*44/12</f>
        <v>0</v>
      </c>
      <c r="FS188" s="23">
        <f>EXP(-LN(2)/2)*FS187+(1-EXP(-LN(2)/2))/(LN(2)/2)*FM188*FP188*VLOOKUP('Données projet'!$B$16,Paramètres!$A$1:$I$89,3,0)*0.475*44/12</f>
        <v>0</v>
      </c>
      <c r="FT188" s="24">
        <f t="shared" si="184"/>
        <v>0</v>
      </c>
      <c r="FU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>
        <f>FZ188*VLOOKUP('Données projet'!$B$17,Paramètres!$A$1:$I$89,3,0)*VLOOKUP('Données projet'!$B$17,Paramètres!$A$1:$I$89,5,0)</f>
        <v>0</v>
      </c>
      <c r="GB188" s="14" t="e">
        <f t="shared" si="185"/>
        <v>#NUM!</v>
      </c>
      <c r="GC188" s="22" t="e">
        <f t="shared" si="186"/>
        <v>#NUM!</v>
      </c>
      <c r="GD188" s="60" t="e">
        <f t="shared" si="134"/>
        <v>#NUM!</v>
      </c>
      <c r="GE188" s="60">
        <f ca="1">AVERAGE(OFFSET($GD$3,0,0,'Données projet'!$E$17+1,1))-AVERAGE(OFFSET($H$3,0,0,'Données projet'!$E$17+1,1))</f>
        <v>396.0878652679051</v>
      </c>
      <c r="GF188" s="60">
        <f t="shared" si="158"/>
        <v>327.26339199235406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>
        <f>EXP(-LN(2)/35)*GL187+(1-EXP(-LN(2)/35))/(LN(2)/35)*GH188*GI188*VLOOKUP('Données projet'!$B$17,Paramètres!$A$1:$I$89,3,0)*0.475*44/12</f>
        <v>0</v>
      </c>
      <c r="GM188" s="23">
        <f>EXP(-LN(2)/25)*GM187+(1-EXP(-LN(2)/25))/(LN(2)/25)*Calculateur!GH188*Calculateur!GJ188*VLOOKUP('Données projet'!$B$17,Paramètres!$A$1:$I$89,3,0)*0.475*44/12</f>
        <v>0</v>
      </c>
      <c r="GN188" s="23">
        <f>EXP(-LN(2)/2)*GN187+(1-EXP(-LN(2)/2))/(LN(2)/2)*GH188*GK188*VLOOKUP('Données projet'!$B$17,Paramètres!$A$1:$I$89,3,0)*0.475*44/12</f>
        <v>0</v>
      </c>
      <c r="GO188" s="23">
        <f t="shared" si="187"/>
        <v>0</v>
      </c>
      <c r="GP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-1.1368683772161603E-13</v>
      </c>
      <c r="GV188" s="18">
        <f>GU188*VLOOKUP('Données projet'!$B$18,Paramètres!$A$1:$I$89,3,0)*VLOOKUP('Données projet'!$B$18,Paramètres!$A$1:$I$89,5,0)</f>
        <v>-9.2222762759774927E-14</v>
      </c>
      <c r="GW188" s="14" t="e">
        <f t="shared" si="188"/>
        <v>#NUM!</v>
      </c>
      <c r="GX188" s="22" t="e">
        <f t="shared" si="189"/>
        <v>#NUM!</v>
      </c>
      <c r="GY188" s="60" t="e">
        <f t="shared" si="137"/>
        <v>#NUM!</v>
      </c>
      <c r="GZ188" s="60">
        <f ca="1">AVERAGE(OFFSET($GY$3,0,0,'Données projet'!$E$18+1,1))-AVERAGE(OFFSET($H$3,0,0,'Données projet'!$E$18+1,1))</f>
        <v>272.69564942740931</v>
      </c>
      <c r="HA188" s="60">
        <f t="shared" si="160"/>
        <v>316.57989180609252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>
        <f>EXP(-LN(2)/35)*HG187+(1-EXP(-LN(2)/35))/(LN(2)/35)*HC188*HD188*VLOOKUP('Données projet'!$B$18,Paramètres!$A$1:$I$89,3,0)*0.475*44/12</f>
        <v>0</v>
      </c>
      <c r="HH188" s="23">
        <f>EXP(-LN(2)/25)*HH187+(1-EXP(-LN(2)/25))/(LN(2)/25)*Calculateur!HC188*Calculateur!HE188*VLOOKUP('Données projet'!$B$18,Paramètres!$A$1:$I$89,3,0)*0.475*44/12</f>
        <v>0</v>
      </c>
      <c r="HI188" s="23">
        <f>EXP(-LN(2)/2)*HI187+(1-EXP(-LN(2)/2))/(LN(2)/2)*HC188*HF188*VLOOKUP('Données projet'!$B$18,Paramètres!$A$1:$I$89,3,0)*0.475*44/12</f>
        <v>0</v>
      </c>
      <c r="HJ188" s="24">
        <f t="shared" si="190"/>
        <v>0</v>
      </c>
    </row>
    <row r="189" spans="1:218" x14ac:dyDescent="0.25">
      <c r="A189" s="11">
        <f t="shared" si="161"/>
        <v>186</v>
      </c>
      <c r="B189" s="75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8">
        <f t="shared" si="110"/>
        <v>183.33333333333334</v>
      </c>
      <c r="I189" s="7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-1.1368683772161603E-13</v>
      </c>
      <c r="O189" s="14">
        <f>N189*VLOOKUP('Données projet'!$B$9,Paramètres!$A$1:$I$89,3,0)*VLOOKUP('Données projet'!$B$9,Paramètres!$A$1:$I$89,5,0)</f>
        <v>-1.0286385077051818E-13</v>
      </c>
      <c r="P189" s="14" t="e">
        <f t="shared" si="141"/>
        <v>#NUM!</v>
      </c>
      <c r="Q189" s="22" t="e">
        <f t="shared" si="162"/>
        <v>#NUM!</v>
      </c>
      <c r="R189" s="60" t="e">
        <f t="shared" si="109"/>
        <v>#NUM!</v>
      </c>
      <c r="S189" s="60">
        <f ca="1">AVERAGE(OFFSET($R$3,0,0,'Données projet'!$E$9+1,1))-AVERAGE(OFFSET($H$3,0,0,'Données projet'!$E$9+1,1))</f>
        <v>570.08763950759544</v>
      </c>
      <c r="T189" s="60">
        <f t="shared" si="142"/>
        <v>297.32483725004136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-5.6843418860808015E-14</v>
      </c>
      <c r="AJ189" s="14">
        <f>AI189*VLOOKUP('Données projet'!$B$10,Paramètres!$A$1:$I$89,3,0)*VLOOKUP('Données projet'!$B$10,Paramètres!$A$1:$I$89,5,0)</f>
        <v>-4.5224624045658861E-14</v>
      </c>
      <c r="AK189" s="14" t="e">
        <f t="shared" si="164"/>
        <v>#NUM!</v>
      </c>
      <c r="AL189" s="22" t="e">
        <f t="shared" si="165"/>
        <v>#NUM!</v>
      </c>
      <c r="AM189" s="60" t="e">
        <f t="shared" si="113"/>
        <v>#NUM!</v>
      </c>
      <c r="AN189" s="60">
        <f ca="1">AVERAGE(OFFSET($AM$3,0,0,'Données projet'!$E$10+1,1))-AVERAGE(OFFSET($H$3,0,0,'Données projet'!$E$10+1,1))</f>
        <v>394.49874384716014</v>
      </c>
      <c r="AO189" s="60">
        <f t="shared" si="144"/>
        <v>423.72519584013378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3.4106051316484809E-13</v>
      </c>
      <c r="BE189" s="14">
        <f>BD189*VLOOKUP('Données projet'!$B$11,Paramètres!$A$1:$I$89,3,0)*VLOOKUP('Données projet'!$B$11,Paramètres!$A$1:$I$89,5,0)</f>
        <v>2.9795046430081134E-13</v>
      </c>
      <c r="BF189" s="14">
        <f t="shared" si="167"/>
        <v>3.9419014464513778E-12</v>
      </c>
      <c r="BG189" s="22">
        <f t="shared" si="168"/>
        <v>7.384408744560063E-12</v>
      </c>
      <c r="BH189" s="60">
        <f t="shared" si="116"/>
        <v>289.7967581058648</v>
      </c>
      <c r="BI189" s="60">
        <f ca="1">AVERAGE(OFFSET($BH$3,0,0,'Données projet'!$E$11+1,1))-AVERAGE(OFFSET($H$3,0,0,'Données projet'!$E$11+1,1))</f>
        <v>363.28611056308665</v>
      </c>
      <c r="BJ189" s="60">
        <f t="shared" si="146"/>
        <v>389.43647559455974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5.6843418860808015E-14</v>
      </c>
      <c r="BZ189" s="14">
        <f>BY189*VLOOKUP('Données projet'!$B$12,Paramètres!$A$1:$I$89,3,0)*VLOOKUP('Données projet'!$B$12,Paramètres!$A$1:$I$89,5,0)</f>
        <v>5.4092197387944907E-14</v>
      </c>
      <c r="CA189" s="14">
        <f t="shared" si="170"/>
        <v>8.7287050538073676E-13</v>
      </c>
      <c r="CB189" s="22">
        <f t="shared" si="171"/>
        <v>1.6144600406554537E-12</v>
      </c>
      <c r="CC189" s="60">
        <f t="shared" si="119"/>
        <v>289.796758105859</v>
      </c>
      <c r="CD189" s="60">
        <f ca="1">AVERAGE(OFFSET($CC$3,0,0,'Données projet'!$E$12+1,1))-AVERAGE(OFFSET($H$3,0,0,'Données projet'!$E$12+1,1))</f>
        <v>441.15969139782891</v>
      </c>
      <c r="CE189" s="60">
        <f t="shared" si="148"/>
        <v>315.06466790224783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-5.6843418860808015E-14</v>
      </c>
      <c r="CU189" s="18">
        <f>CT189*VLOOKUP('Données projet'!$B$13,Paramètres!$A$1:$I$89,3,0)*VLOOKUP('Données projet'!$B$13,Paramètres!$A$1:$I$89,5,0)</f>
        <v>-4.1677594708744434E-14</v>
      </c>
      <c r="CV189" s="14" t="e">
        <f t="shared" si="173"/>
        <v>#NUM!</v>
      </c>
      <c r="CW189" s="22" t="e">
        <f t="shared" si="174"/>
        <v>#NUM!</v>
      </c>
      <c r="CX189" s="60" t="e">
        <f t="shared" si="122"/>
        <v>#NUM!</v>
      </c>
      <c r="CY189" s="60">
        <f ca="1">AVERAGE(OFFSET($CX$3,0,0,'Données projet'!$E$13+1,1))-AVERAGE(OFFSET($H$3,0,0,'Données projet'!$E$13+1,1))</f>
        <v>368.35775920359396</v>
      </c>
      <c r="CZ189" s="60">
        <f t="shared" si="150"/>
        <v>395.5218438652638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1.1368683772161603E-13</v>
      </c>
      <c r="DP189" s="18">
        <f>DO189*VLOOKUP('Données projet'!$B$14,Paramètres!$A$1:$I$89,3,0)*VLOOKUP('Données projet'!$B$14,Paramètres!$A$1:$I$89,5,0)</f>
        <v>8.8675733422860506E-14</v>
      </c>
      <c r="DQ189" s="14">
        <f t="shared" si="176"/>
        <v>1.3509285393066301E-12</v>
      </c>
      <c r="DR189" s="22">
        <f t="shared" si="177"/>
        <v>2.5073107750038623E-12</v>
      </c>
      <c r="DS189" s="60">
        <f t="shared" si="125"/>
        <v>289.79675810585991</v>
      </c>
      <c r="DT189" s="60">
        <f ca="1">AVERAGE(OFFSET($DS$3,0,0,'Données projet'!$E$14+1,1))-AVERAGE(OFFSET($H$3,0,0,'Données projet'!$E$14+1,1))</f>
        <v>312.59632808777332</v>
      </c>
      <c r="DU189" s="60">
        <f t="shared" si="152"/>
        <v>302.59481222418219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0</v>
      </c>
      <c r="EE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-1.1368683772161603E-13</v>
      </c>
      <c r="EK189" s="18">
        <f>EJ189*VLOOKUP('Données projet'!$B$15,Paramètres!$A$1:$I$89,3,0)*VLOOKUP('Données projet'!$B$15,Paramètres!$A$1:$I$89,5,0)</f>
        <v>-9.7543306765146564E-14</v>
      </c>
      <c r="EL189" s="14" t="e">
        <f t="shared" si="179"/>
        <v>#NUM!</v>
      </c>
      <c r="EM189" s="22" t="e">
        <f t="shared" si="180"/>
        <v>#NUM!</v>
      </c>
      <c r="EN189" s="60" t="e">
        <f t="shared" si="128"/>
        <v>#NUM!</v>
      </c>
      <c r="EO189" s="60">
        <f ca="1">AVERAGE(OFFSET($EN$3,0,0,'Données projet'!$E$15+1,1))-AVERAGE(OFFSET($H$3,0,0,'Données projet'!$E$15+1,1))</f>
        <v>478.11504516179713</v>
      </c>
      <c r="EP189" s="60">
        <f t="shared" si="154"/>
        <v>249.93713224442419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0</v>
      </c>
      <c r="EW189" s="23">
        <f>EXP(-LN(2)/25)*EW188+(1-EXP(-LN(2)/25))/(LN(2)/25)*Calculateur!ER189*Calculateur!ET189*VLOOKUP('Données projet'!$B$15,Paramètres!$A$1:$I$89,3,0)*0.475*44/12</f>
        <v>0</v>
      </c>
      <c r="EX189" s="23">
        <f>EXP(-LN(2)/2)*EX188+(1-EXP(-LN(2)/2))/(LN(2)/2)*ER189*EU189*VLOOKUP('Données projet'!$B$15,Paramètres!$A$1:$I$89,3,0)*0.475*44/12</f>
        <v>0</v>
      </c>
      <c r="EY189" s="24">
        <f t="shared" si="181"/>
        <v>0</v>
      </c>
      <c r="EZ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-1.1368683772161603E-13</v>
      </c>
      <c r="FF189" s="18">
        <f>FE189*VLOOKUP('Données projet'!$B$16,Paramètres!$A$1:$I$89,3,0)*VLOOKUP('Données projet'!$B$16,Paramètres!$A$1:$I$89,5,0)</f>
        <v>-1.0995790944434703E-13</v>
      </c>
      <c r="FG189" s="14" t="e">
        <f t="shared" si="182"/>
        <v>#NUM!</v>
      </c>
      <c r="FH189" s="22" t="e">
        <f t="shared" si="183"/>
        <v>#NUM!</v>
      </c>
      <c r="FI189" s="60" t="e">
        <f t="shared" si="131"/>
        <v>#NUM!</v>
      </c>
      <c r="FJ189" s="60">
        <f ca="1">AVERAGE(OFFSET($FI$3,0,0,'Données projet'!$E$16+1,1))-AVERAGE(OFFSET($H$3,0,0,'Données projet'!$E$16+1,1))</f>
        <v>603.52431522262032</v>
      </c>
      <c r="FK189" s="60">
        <f t="shared" si="156"/>
        <v>313.56299786481338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>
        <f>EXP(-LN(2)/35)*FQ188+(1-EXP(-LN(2)/35))/(LN(2)/35)*FM189*FN189*VLOOKUP('Données projet'!$B$16,Paramètres!$A$1:$I$89,3,0)*0.475*44/12</f>
        <v>0</v>
      </c>
      <c r="FR189" s="23">
        <f>EXP(-LN(2)/25)*FR188+(1-EXP(-LN(2)/25))/(LN(2)/25)*Calculateur!FM189*Calculateur!FO189*VLOOKUP('Données projet'!$B$16,Paramètres!$A$1:$I$89,3,0)*0.475*44/12</f>
        <v>0</v>
      </c>
      <c r="FS189" s="23">
        <f>EXP(-LN(2)/2)*FS188+(1-EXP(-LN(2)/2))/(LN(2)/2)*FM189*FP189*VLOOKUP('Données projet'!$B$16,Paramètres!$A$1:$I$89,3,0)*0.475*44/12</f>
        <v>0</v>
      </c>
      <c r="FT189" s="24">
        <f t="shared" si="184"/>
        <v>0</v>
      </c>
      <c r="FU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>
        <f>FZ189*VLOOKUP('Données projet'!$B$17,Paramètres!$A$1:$I$89,3,0)*VLOOKUP('Données projet'!$B$17,Paramètres!$A$1:$I$89,5,0)</f>
        <v>0</v>
      </c>
      <c r="GB189" s="14" t="e">
        <f t="shared" si="185"/>
        <v>#NUM!</v>
      </c>
      <c r="GC189" s="22" t="e">
        <f t="shared" si="186"/>
        <v>#NUM!</v>
      </c>
      <c r="GD189" s="60" t="e">
        <f t="shared" si="134"/>
        <v>#NUM!</v>
      </c>
      <c r="GE189" s="60">
        <f ca="1">AVERAGE(OFFSET($GD$3,0,0,'Données projet'!$E$17+1,1))-AVERAGE(OFFSET($H$3,0,0,'Données projet'!$E$17+1,1))</f>
        <v>396.0878652679051</v>
      </c>
      <c r="GF189" s="60">
        <f t="shared" si="158"/>
        <v>327.26339199235406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>
        <f>EXP(-LN(2)/35)*GL188+(1-EXP(-LN(2)/35))/(LN(2)/35)*GH189*GI189*VLOOKUP('Données projet'!$B$17,Paramètres!$A$1:$I$89,3,0)*0.475*44/12</f>
        <v>0</v>
      </c>
      <c r="GM189" s="23">
        <f>EXP(-LN(2)/25)*GM188+(1-EXP(-LN(2)/25))/(LN(2)/25)*Calculateur!GH189*Calculateur!GJ189*VLOOKUP('Données projet'!$B$17,Paramètres!$A$1:$I$89,3,0)*0.475*44/12</f>
        <v>0</v>
      </c>
      <c r="GN189" s="23">
        <f>EXP(-LN(2)/2)*GN188+(1-EXP(-LN(2)/2))/(LN(2)/2)*GH189*GK189*VLOOKUP('Données projet'!$B$17,Paramètres!$A$1:$I$89,3,0)*0.475*44/12</f>
        <v>0</v>
      </c>
      <c r="GO189" s="23">
        <f t="shared" si="187"/>
        <v>0</v>
      </c>
      <c r="GP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-1.1368683772161603E-13</v>
      </c>
      <c r="GV189" s="18">
        <f>GU189*VLOOKUP('Données projet'!$B$18,Paramètres!$A$1:$I$89,3,0)*VLOOKUP('Données projet'!$B$18,Paramètres!$A$1:$I$89,5,0)</f>
        <v>-9.2222762759774927E-14</v>
      </c>
      <c r="GW189" s="14" t="e">
        <f t="shared" si="188"/>
        <v>#NUM!</v>
      </c>
      <c r="GX189" s="22" t="e">
        <f t="shared" si="189"/>
        <v>#NUM!</v>
      </c>
      <c r="GY189" s="60" t="e">
        <f t="shared" si="137"/>
        <v>#NUM!</v>
      </c>
      <c r="GZ189" s="60">
        <f ca="1">AVERAGE(OFFSET($GY$3,0,0,'Données projet'!$E$18+1,1))-AVERAGE(OFFSET($H$3,0,0,'Données projet'!$E$18+1,1))</f>
        <v>272.69564942740931</v>
      </c>
      <c r="HA189" s="60">
        <f t="shared" si="160"/>
        <v>316.57989180609252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>
        <f>EXP(-LN(2)/35)*HG188+(1-EXP(-LN(2)/35))/(LN(2)/35)*HC189*HD189*VLOOKUP('Données projet'!$B$18,Paramètres!$A$1:$I$89,3,0)*0.475*44/12</f>
        <v>0</v>
      </c>
      <c r="HH189" s="23">
        <f>EXP(-LN(2)/25)*HH188+(1-EXP(-LN(2)/25))/(LN(2)/25)*Calculateur!HC189*Calculateur!HE189*VLOOKUP('Données projet'!$B$18,Paramètres!$A$1:$I$89,3,0)*0.475*44/12</f>
        <v>0</v>
      </c>
      <c r="HI189" s="23">
        <f>EXP(-LN(2)/2)*HI188+(1-EXP(-LN(2)/2))/(LN(2)/2)*HC189*HF189*VLOOKUP('Données projet'!$B$18,Paramètres!$A$1:$I$89,3,0)*0.475*44/12</f>
        <v>0</v>
      </c>
      <c r="HJ189" s="24">
        <f t="shared" si="190"/>
        <v>0</v>
      </c>
    </row>
    <row r="190" spans="1:218" x14ac:dyDescent="0.25">
      <c r="A190" s="11">
        <f t="shared" si="161"/>
        <v>187</v>
      </c>
      <c r="B190" s="75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8">
        <f t="shared" si="110"/>
        <v>183.33333333333334</v>
      </c>
      <c r="I190" s="7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-1.1368683772161603E-13</v>
      </c>
      <c r="O190" s="14">
        <f>N190*VLOOKUP('Données projet'!$B$9,Paramètres!$A$1:$I$89,3,0)*VLOOKUP('Données projet'!$B$9,Paramètres!$A$1:$I$89,5,0)</f>
        <v>-1.0286385077051818E-13</v>
      </c>
      <c r="P190" s="14" t="e">
        <f t="shared" si="141"/>
        <v>#NUM!</v>
      </c>
      <c r="Q190" s="22" t="e">
        <f t="shared" si="162"/>
        <v>#NUM!</v>
      </c>
      <c r="R190" s="60" t="e">
        <f t="shared" si="109"/>
        <v>#NUM!</v>
      </c>
      <c r="S190" s="60">
        <f ca="1">AVERAGE(OFFSET($R$3,0,0,'Données projet'!$E$9+1,1))-AVERAGE(OFFSET($H$3,0,0,'Données projet'!$E$9+1,1))</f>
        <v>570.08763950759544</v>
      </c>
      <c r="T190" s="60">
        <f t="shared" si="142"/>
        <v>297.32483725004136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-5.6843418860808015E-14</v>
      </c>
      <c r="AJ190" s="14">
        <f>AI190*VLOOKUP('Données projet'!$B$10,Paramètres!$A$1:$I$89,3,0)*VLOOKUP('Données projet'!$B$10,Paramètres!$A$1:$I$89,5,0)</f>
        <v>-4.5224624045658861E-14</v>
      </c>
      <c r="AK190" s="14" t="e">
        <f t="shared" si="164"/>
        <v>#NUM!</v>
      </c>
      <c r="AL190" s="22" t="e">
        <f t="shared" si="165"/>
        <v>#NUM!</v>
      </c>
      <c r="AM190" s="60" t="e">
        <f t="shared" si="113"/>
        <v>#NUM!</v>
      </c>
      <c r="AN190" s="60">
        <f ca="1">AVERAGE(OFFSET($AM$3,0,0,'Données projet'!$E$10+1,1))-AVERAGE(OFFSET($H$3,0,0,'Données projet'!$E$10+1,1))</f>
        <v>394.49874384716014</v>
      </c>
      <c r="AO190" s="60">
        <f t="shared" si="144"/>
        <v>423.72519584013378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3.4106051316484809E-13</v>
      </c>
      <c r="BE190" s="14">
        <f>BD190*VLOOKUP('Données projet'!$B$11,Paramètres!$A$1:$I$89,3,0)*VLOOKUP('Données projet'!$B$11,Paramètres!$A$1:$I$89,5,0)</f>
        <v>2.9795046430081134E-13</v>
      </c>
      <c r="BF190" s="14">
        <f t="shared" si="167"/>
        <v>3.9419014464513778E-12</v>
      </c>
      <c r="BG190" s="22">
        <f t="shared" si="168"/>
        <v>7.384408744560063E-12</v>
      </c>
      <c r="BH190" s="60">
        <f t="shared" si="116"/>
        <v>289.8581097794638</v>
      </c>
      <c r="BI190" s="60">
        <f ca="1">AVERAGE(OFFSET($BH$3,0,0,'Données projet'!$E$11+1,1))-AVERAGE(OFFSET($H$3,0,0,'Données projet'!$E$11+1,1))</f>
        <v>363.28611056308665</v>
      </c>
      <c r="BJ190" s="60">
        <f t="shared" si="146"/>
        <v>389.43647559455974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5.6843418860808015E-14</v>
      </c>
      <c r="BZ190" s="14">
        <f>BY190*VLOOKUP('Données projet'!$B$12,Paramètres!$A$1:$I$89,3,0)*VLOOKUP('Données projet'!$B$12,Paramètres!$A$1:$I$89,5,0)</f>
        <v>5.4092197387944907E-14</v>
      </c>
      <c r="CA190" s="14">
        <f t="shared" si="170"/>
        <v>8.7287050538073676E-13</v>
      </c>
      <c r="CB190" s="22">
        <f t="shared" si="171"/>
        <v>1.6144600406554537E-12</v>
      </c>
      <c r="CC190" s="60">
        <f t="shared" si="119"/>
        <v>289.858109779458</v>
      </c>
      <c r="CD190" s="60">
        <f ca="1">AVERAGE(OFFSET($CC$3,0,0,'Données projet'!$E$12+1,1))-AVERAGE(OFFSET($H$3,0,0,'Données projet'!$E$12+1,1))</f>
        <v>441.15969139782891</v>
      </c>
      <c r="CE190" s="60">
        <f t="shared" si="148"/>
        <v>315.06466790224783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-5.6843418860808015E-14</v>
      </c>
      <c r="CU190" s="18">
        <f>CT190*VLOOKUP('Données projet'!$B$13,Paramètres!$A$1:$I$89,3,0)*VLOOKUP('Données projet'!$B$13,Paramètres!$A$1:$I$89,5,0)</f>
        <v>-4.1677594708744434E-14</v>
      </c>
      <c r="CV190" s="14" t="e">
        <f t="shared" si="173"/>
        <v>#NUM!</v>
      </c>
      <c r="CW190" s="22" t="e">
        <f t="shared" si="174"/>
        <v>#NUM!</v>
      </c>
      <c r="CX190" s="60" t="e">
        <f t="shared" si="122"/>
        <v>#NUM!</v>
      </c>
      <c r="CY190" s="60">
        <f ca="1">AVERAGE(OFFSET($CX$3,0,0,'Données projet'!$E$13+1,1))-AVERAGE(OFFSET($H$3,0,0,'Données projet'!$E$13+1,1))</f>
        <v>368.35775920359396</v>
      </c>
      <c r="CZ190" s="60">
        <f t="shared" si="150"/>
        <v>395.5218438652638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1.1368683772161603E-13</v>
      </c>
      <c r="DP190" s="18">
        <f>DO190*VLOOKUP('Données projet'!$B$14,Paramètres!$A$1:$I$89,3,0)*VLOOKUP('Données projet'!$B$14,Paramètres!$A$1:$I$89,5,0)</f>
        <v>8.8675733422860506E-14</v>
      </c>
      <c r="DQ190" s="14">
        <f t="shared" si="176"/>
        <v>1.3509285393066301E-12</v>
      </c>
      <c r="DR190" s="22">
        <f t="shared" si="177"/>
        <v>2.5073107750038623E-12</v>
      </c>
      <c r="DS190" s="60">
        <f t="shared" si="125"/>
        <v>289.85810977945891</v>
      </c>
      <c r="DT190" s="60">
        <f ca="1">AVERAGE(OFFSET($DS$3,0,0,'Données projet'!$E$14+1,1))-AVERAGE(OFFSET($H$3,0,0,'Données projet'!$E$14+1,1))</f>
        <v>312.59632808777332</v>
      </c>
      <c r="DU190" s="60">
        <f t="shared" si="152"/>
        <v>302.59481222418219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0</v>
      </c>
      <c r="EE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-1.1368683772161603E-13</v>
      </c>
      <c r="EK190" s="18">
        <f>EJ190*VLOOKUP('Données projet'!$B$15,Paramètres!$A$1:$I$89,3,0)*VLOOKUP('Données projet'!$B$15,Paramètres!$A$1:$I$89,5,0)</f>
        <v>-9.7543306765146564E-14</v>
      </c>
      <c r="EL190" s="14" t="e">
        <f t="shared" si="179"/>
        <v>#NUM!</v>
      </c>
      <c r="EM190" s="22" t="e">
        <f t="shared" si="180"/>
        <v>#NUM!</v>
      </c>
      <c r="EN190" s="60" t="e">
        <f t="shared" si="128"/>
        <v>#NUM!</v>
      </c>
      <c r="EO190" s="60">
        <f ca="1">AVERAGE(OFFSET($EN$3,0,0,'Données projet'!$E$15+1,1))-AVERAGE(OFFSET($H$3,0,0,'Données projet'!$E$15+1,1))</f>
        <v>478.11504516179713</v>
      </c>
      <c r="EP190" s="60">
        <f t="shared" si="154"/>
        <v>249.93713224442419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0</v>
      </c>
      <c r="EW190" s="23">
        <f>EXP(-LN(2)/25)*EW189+(1-EXP(-LN(2)/25))/(LN(2)/25)*Calculateur!ER190*Calculateur!ET190*VLOOKUP('Données projet'!$B$15,Paramètres!$A$1:$I$89,3,0)*0.475*44/12</f>
        <v>0</v>
      </c>
      <c r="EX190" s="23">
        <f>EXP(-LN(2)/2)*EX189+(1-EXP(-LN(2)/2))/(LN(2)/2)*ER190*EU190*VLOOKUP('Données projet'!$B$15,Paramètres!$A$1:$I$89,3,0)*0.475*44/12</f>
        <v>0</v>
      </c>
      <c r="EY190" s="24">
        <f t="shared" si="181"/>
        <v>0</v>
      </c>
      <c r="EZ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-1.1368683772161603E-13</v>
      </c>
      <c r="FF190" s="18">
        <f>FE190*VLOOKUP('Données projet'!$B$16,Paramètres!$A$1:$I$89,3,0)*VLOOKUP('Données projet'!$B$16,Paramètres!$A$1:$I$89,5,0)</f>
        <v>-1.0995790944434703E-13</v>
      </c>
      <c r="FG190" s="14" t="e">
        <f t="shared" si="182"/>
        <v>#NUM!</v>
      </c>
      <c r="FH190" s="22" t="e">
        <f t="shared" si="183"/>
        <v>#NUM!</v>
      </c>
      <c r="FI190" s="60" t="e">
        <f t="shared" si="131"/>
        <v>#NUM!</v>
      </c>
      <c r="FJ190" s="60">
        <f ca="1">AVERAGE(OFFSET($FI$3,0,0,'Données projet'!$E$16+1,1))-AVERAGE(OFFSET($H$3,0,0,'Données projet'!$E$16+1,1))</f>
        <v>603.52431522262032</v>
      </c>
      <c r="FK190" s="60">
        <f t="shared" si="156"/>
        <v>313.56299786481338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>
        <f>EXP(-LN(2)/35)*FQ189+(1-EXP(-LN(2)/35))/(LN(2)/35)*FM190*FN190*VLOOKUP('Données projet'!$B$16,Paramètres!$A$1:$I$89,3,0)*0.475*44/12</f>
        <v>0</v>
      </c>
      <c r="FR190" s="23">
        <f>EXP(-LN(2)/25)*FR189+(1-EXP(-LN(2)/25))/(LN(2)/25)*Calculateur!FM190*Calculateur!FO190*VLOOKUP('Données projet'!$B$16,Paramètres!$A$1:$I$89,3,0)*0.475*44/12</f>
        <v>0</v>
      </c>
      <c r="FS190" s="23">
        <f>EXP(-LN(2)/2)*FS189+(1-EXP(-LN(2)/2))/(LN(2)/2)*FM190*FP190*VLOOKUP('Données projet'!$B$16,Paramètres!$A$1:$I$89,3,0)*0.475*44/12</f>
        <v>0</v>
      </c>
      <c r="FT190" s="24">
        <f t="shared" si="184"/>
        <v>0</v>
      </c>
      <c r="FU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>
        <f>FZ190*VLOOKUP('Données projet'!$B$17,Paramètres!$A$1:$I$89,3,0)*VLOOKUP('Données projet'!$B$17,Paramètres!$A$1:$I$89,5,0)</f>
        <v>0</v>
      </c>
      <c r="GB190" s="14" t="e">
        <f t="shared" si="185"/>
        <v>#NUM!</v>
      </c>
      <c r="GC190" s="22" t="e">
        <f t="shared" si="186"/>
        <v>#NUM!</v>
      </c>
      <c r="GD190" s="60" t="e">
        <f t="shared" si="134"/>
        <v>#NUM!</v>
      </c>
      <c r="GE190" s="60">
        <f ca="1">AVERAGE(OFFSET($GD$3,0,0,'Données projet'!$E$17+1,1))-AVERAGE(OFFSET($H$3,0,0,'Données projet'!$E$17+1,1))</f>
        <v>396.0878652679051</v>
      </c>
      <c r="GF190" s="60">
        <f t="shared" si="158"/>
        <v>327.26339199235406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>
        <f>EXP(-LN(2)/35)*GL189+(1-EXP(-LN(2)/35))/(LN(2)/35)*GH190*GI190*VLOOKUP('Données projet'!$B$17,Paramètres!$A$1:$I$89,3,0)*0.475*44/12</f>
        <v>0</v>
      </c>
      <c r="GM190" s="23">
        <f>EXP(-LN(2)/25)*GM189+(1-EXP(-LN(2)/25))/(LN(2)/25)*Calculateur!GH190*Calculateur!GJ190*VLOOKUP('Données projet'!$B$17,Paramètres!$A$1:$I$89,3,0)*0.475*44/12</f>
        <v>0</v>
      </c>
      <c r="GN190" s="23">
        <f>EXP(-LN(2)/2)*GN189+(1-EXP(-LN(2)/2))/(LN(2)/2)*GH190*GK190*VLOOKUP('Données projet'!$B$17,Paramètres!$A$1:$I$89,3,0)*0.475*44/12</f>
        <v>0</v>
      </c>
      <c r="GO190" s="23">
        <f t="shared" si="187"/>
        <v>0</v>
      </c>
      <c r="GP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-1.1368683772161603E-13</v>
      </c>
      <c r="GV190" s="18">
        <f>GU190*VLOOKUP('Données projet'!$B$18,Paramètres!$A$1:$I$89,3,0)*VLOOKUP('Données projet'!$B$18,Paramètres!$A$1:$I$89,5,0)</f>
        <v>-9.2222762759774927E-14</v>
      </c>
      <c r="GW190" s="14" t="e">
        <f t="shared" si="188"/>
        <v>#NUM!</v>
      </c>
      <c r="GX190" s="22" t="e">
        <f t="shared" si="189"/>
        <v>#NUM!</v>
      </c>
      <c r="GY190" s="60" t="e">
        <f t="shared" si="137"/>
        <v>#NUM!</v>
      </c>
      <c r="GZ190" s="60">
        <f ca="1">AVERAGE(OFFSET($GY$3,0,0,'Données projet'!$E$18+1,1))-AVERAGE(OFFSET($H$3,0,0,'Données projet'!$E$18+1,1))</f>
        <v>272.69564942740931</v>
      </c>
      <c r="HA190" s="60">
        <f t="shared" si="160"/>
        <v>316.57989180609252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>
        <f>EXP(-LN(2)/35)*HG189+(1-EXP(-LN(2)/35))/(LN(2)/35)*HC190*HD190*VLOOKUP('Données projet'!$B$18,Paramètres!$A$1:$I$89,3,0)*0.475*44/12</f>
        <v>0</v>
      </c>
      <c r="HH190" s="23">
        <f>EXP(-LN(2)/25)*HH189+(1-EXP(-LN(2)/25))/(LN(2)/25)*Calculateur!HC190*Calculateur!HE190*VLOOKUP('Données projet'!$B$18,Paramètres!$A$1:$I$89,3,0)*0.475*44/12</f>
        <v>0</v>
      </c>
      <c r="HI190" s="23">
        <f>EXP(-LN(2)/2)*HI189+(1-EXP(-LN(2)/2))/(LN(2)/2)*HC190*HF190*VLOOKUP('Données projet'!$B$18,Paramètres!$A$1:$I$89,3,0)*0.475*44/12</f>
        <v>0</v>
      </c>
      <c r="HJ190" s="24">
        <f t="shared" si="190"/>
        <v>0</v>
      </c>
    </row>
    <row r="191" spans="1:218" x14ac:dyDescent="0.25">
      <c r="A191" s="11">
        <f t="shared" si="161"/>
        <v>188</v>
      </c>
      <c r="B191" s="75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8">
        <f t="shared" si="110"/>
        <v>183.33333333333334</v>
      </c>
      <c r="I191" s="7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-1.1368683772161603E-13</v>
      </c>
      <c r="O191" s="14">
        <f>N191*VLOOKUP('Données projet'!$B$9,Paramètres!$A$1:$I$89,3,0)*VLOOKUP('Données projet'!$B$9,Paramètres!$A$1:$I$89,5,0)</f>
        <v>-1.0286385077051818E-13</v>
      </c>
      <c r="P191" s="14" t="e">
        <f t="shared" si="141"/>
        <v>#NUM!</v>
      </c>
      <c r="Q191" s="22" t="e">
        <f t="shared" si="162"/>
        <v>#NUM!</v>
      </c>
      <c r="R191" s="60" t="e">
        <f t="shared" si="109"/>
        <v>#NUM!</v>
      </c>
      <c r="S191" s="60">
        <f ca="1">AVERAGE(OFFSET($R$3,0,0,'Données projet'!$E$9+1,1))-AVERAGE(OFFSET($H$3,0,0,'Données projet'!$E$9+1,1))</f>
        <v>570.08763950759544</v>
      </c>
      <c r="T191" s="60">
        <f t="shared" si="142"/>
        <v>297.32483725004136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-5.6843418860808015E-14</v>
      </c>
      <c r="AJ191" s="14">
        <f>AI191*VLOOKUP('Données projet'!$B$10,Paramètres!$A$1:$I$89,3,0)*VLOOKUP('Données projet'!$B$10,Paramètres!$A$1:$I$89,5,0)</f>
        <v>-4.5224624045658861E-14</v>
      </c>
      <c r="AK191" s="14" t="e">
        <f t="shared" si="164"/>
        <v>#NUM!</v>
      </c>
      <c r="AL191" s="22" t="e">
        <f t="shared" si="165"/>
        <v>#NUM!</v>
      </c>
      <c r="AM191" s="60" t="e">
        <f t="shared" si="113"/>
        <v>#NUM!</v>
      </c>
      <c r="AN191" s="60">
        <f ca="1">AVERAGE(OFFSET($AM$3,0,0,'Données projet'!$E$10+1,1))-AVERAGE(OFFSET($H$3,0,0,'Données projet'!$E$10+1,1))</f>
        <v>394.49874384716014</v>
      </c>
      <c r="AO191" s="60">
        <f t="shared" si="144"/>
        <v>423.72519584013378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3.4106051316484809E-13</v>
      </c>
      <c r="BE191" s="14">
        <f>BD191*VLOOKUP('Données projet'!$B$11,Paramètres!$A$1:$I$89,3,0)*VLOOKUP('Données projet'!$B$11,Paramètres!$A$1:$I$89,5,0)</f>
        <v>2.9795046430081134E-13</v>
      </c>
      <c r="BF191" s="14">
        <f t="shared" si="167"/>
        <v>3.9419014464513778E-12</v>
      </c>
      <c r="BG191" s="22">
        <f t="shared" si="168"/>
        <v>7.384408744560063E-12</v>
      </c>
      <c r="BH191" s="60">
        <f t="shared" si="116"/>
        <v>289.91839713868762</v>
      </c>
      <c r="BI191" s="60">
        <f ca="1">AVERAGE(OFFSET($BH$3,0,0,'Données projet'!$E$11+1,1))-AVERAGE(OFFSET($H$3,0,0,'Données projet'!$E$11+1,1))</f>
        <v>363.28611056308665</v>
      </c>
      <c r="BJ191" s="60">
        <f t="shared" si="146"/>
        <v>389.43647559455974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5.6843418860808015E-14</v>
      </c>
      <c r="BZ191" s="14">
        <f>BY191*VLOOKUP('Données projet'!$B$12,Paramètres!$A$1:$I$89,3,0)*VLOOKUP('Données projet'!$B$12,Paramètres!$A$1:$I$89,5,0)</f>
        <v>5.4092197387944907E-14</v>
      </c>
      <c r="CA191" s="14">
        <f t="shared" si="170"/>
        <v>8.7287050538073676E-13</v>
      </c>
      <c r="CB191" s="22">
        <f t="shared" si="171"/>
        <v>1.6144600406554537E-12</v>
      </c>
      <c r="CC191" s="60">
        <f t="shared" si="119"/>
        <v>289.91839713868183</v>
      </c>
      <c r="CD191" s="60">
        <f ca="1">AVERAGE(OFFSET($CC$3,0,0,'Données projet'!$E$12+1,1))-AVERAGE(OFFSET($H$3,0,0,'Données projet'!$E$12+1,1))</f>
        <v>441.15969139782891</v>
      </c>
      <c r="CE191" s="60">
        <f t="shared" si="148"/>
        <v>315.06466790224783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-5.6843418860808015E-14</v>
      </c>
      <c r="CU191" s="18">
        <f>CT191*VLOOKUP('Données projet'!$B$13,Paramètres!$A$1:$I$89,3,0)*VLOOKUP('Données projet'!$B$13,Paramètres!$A$1:$I$89,5,0)</f>
        <v>-4.1677594708744434E-14</v>
      </c>
      <c r="CV191" s="14" t="e">
        <f t="shared" si="173"/>
        <v>#NUM!</v>
      </c>
      <c r="CW191" s="22" t="e">
        <f t="shared" si="174"/>
        <v>#NUM!</v>
      </c>
      <c r="CX191" s="60" t="e">
        <f t="shared" si="122"/>
        <v>#NUM!</v>
      </c>
      <c r="CY191" s="60">
        <f ca="1">AVERAGE(OFFSET($CX$3,0,0,'Données projet'!$E$13+1,1))-AVERAGE(OFFSET($H$3,0,0,'Données projet'!$E$13+1,1))</f>
        <v>368.35775920359396</v>
      </c>
      <c r="CZ191" s="60">
        <f t="shared" si="150"/>
        <v>395.5218438652638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1.1368683772161603E-13</v>
      </c>
      <c r="DP191" s="18">
        <f>DO191*VLOOKUP('Données projet'!$B$14,Paramètres!$A$1:$I$89,3,0)*VLOOKUP('Données projet'!$B$14,Paramètres!$A$1:$I$89,5,0)</f>
        <v>8.8675733422860506E-14</v>
      </c>
      <c r="DQ191" s="14">
        <f t="shared" si="176"/>
        <v>1.3509285393066301E-12</v>
      </c>
      <c r="DR191" s="22">
        <f t="shared" si="177"/>
        <v>2.5073107750038623E-12</v>
      </c>
      <c r="DS191" s="60">
        <f t="shared" si="125"/>
        <v>289.91839713868274</v>
      </c>
      <c r="DT191" s="60">
        <f ca="1">AVERAGE(OFFSET($DS$3,0,0,'Données projet'!$E$14+1,1))-AVERAGE(OFFSET($H$3,0,0,'Données projet'!$E$14+1,1))</f>
        <v>312.59632808777332</v>
      </c>
      <c r="DU191" s="60">
        <f t="shared" si="152"/>
        <v>302.59481222418219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0</v>
      </c>
      <c r="EE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-1.1368683772161603E-13</v>
      </c>
      <c r="EK191" s="18">
        <f>EJ191*VLOOKUP('Données projet'!$B$15,Paramètres!$A$1:$I$89,3,0)*VLOOKUP('Données projet'!$B$15,Paramètres!$A$1:$I$89,5,0)</f>
        <v>-9.7543306765146564E-14</v>
      </c>
      <c r="EL191" s="14" t="e">
        <f t="shared" si="179"/>
        <v>#NUM!</v>
      </c>
      <c r="EM191" s="22" t="e">
        <f t="shared" si="180"/>
        <v>#NUM!</v>
      </c>
      <c r="EN191" s="60" t="e">
        <f t="shared" si="128"/>
        <v>#NUM!</v>
      </c>
      <c r="EO191" s="60">
        <f ca="1">AVERAGE(OFFSET($EN$3,0,0,'Données projet'!$E$15+1,1))-AVERAGE(OFFSET($H$3,0,0,'Données projet'!$E$15+1,1))</f>
        <v>478.11504516179713</v>
      </c>
      <c r="EP191" s="60">
        <f t="shared" si="154"/>
        <v>249.93713224442419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0</v>
      </c>
      <c r="EW191" s="23">
        <f>EXP(-LN(2)/25)*EW190+(1-EXP(-LN(2)/25))/(LN(2)/25)*Calculateur!ER191*Calculateur!ET191*VLOOKUP('Données projet'!$B$15,Paramètres!$A$1:$I$89,3,0)*0.475*44/12</f>
        <v>0</v>
      </c>
      <c r="EX191" s="23">
        <f>EXP(-LN(2)/2)*EX190+(1-EXP(-LN(2)/2))/(LN(2)/2)*ER191*EU191*VLOOKUP('Données projet'!$B$15,Paramètres!$A$1:$I$89,3,0)*0.475*44/12</f>
        <v>0</v>
      </c>
      <c r="EY191" s="24">
        <f t="shared" si="181"/>
        <v>0</v>
      </c>
      <c r="EZ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-1.1368683772161603E-13</v>
      </c>
      <c r="FF191" s="18">
        <f>FE191*VLOOKUP('Données projet'!$B$16,Paramètres!$A$1:$I$89,3,0)*VLOOKUP('Données projet'!$B$16,Paramètres!$A$1:$I$89,5,0)</f>
        <v>-1.0995790944434703E-13</v>
      </c>
      <c r="FG191" s="14" t="e">
        <f t="shared" si="182"/>
        <v>#NUM!</v>
      </c>
      <c r="FH191" s="22" t="e">
        <f t="shared" si="183"/>
        <v>#NUM!</v>
      </c>
      <c r="FI191" s="60" t="e">
        <f t="shared" si="131"/>
        <v>#NUM!</v>
      </c>
      <c r="FJ191" s="60">
        <f ca="1">AVERAGE(OFFSET($FI$3,0,0,'Données projet'!$E$16+1,1))-AVERAGE(OFFSET($H$3,0,0,'Données projet'!$E$16+1,1))</f>
        <v>603.52431522262032</v>
      </c>
      <c r="FK191" s="60">
        <f t="shared" si="156"/>
        <v>313.56299786481338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>
        <f>EXP(-LN(2)/35)*FQ190+(1-EXP(-LN(2)/35))/(LN(2)/35)*FM191*FN191*VLOOKUP('Données projet'!$B$16,Paramètres!$A$1:$I$89,3,0)*0.475*44/12</f>
        <v>0</v>
      </c>
      <c r="FR191" s="23">
        <f>EXP(-LN(2)/25)*FR190+(1-EXP(-LN(2)/25))/(LN(2)/25)*Calculateur!FM191*Calculateur!FO191*VLOOKUP('Données projet'!$B$16,Paramètres!$A$1:$I$89,3,0)*0.475*44/12</f>
        <v>0</v>
      </c>
      <c r="FS191" s="23">
        <f>EXP(-LN(2)/2)*FS190+(1-EXP(-LN(2)/2))/(LN(2)/2)*FM191*FP191*VLOOKUP('Données projet'!$B$16,Paramètres!$A$1:$I$89,3,0)*0.475*44/12</f>
        <v>0</v>
      </c>
      <c r="FT191" s="24">
        <f t="shared" si="184"/>
        <v>0</v>
      </c>
      <c r="FU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>
        <f>FZ191*VLOOKUP('Données projet'!$B$17,Paramètres!$A$1:$I$89,3,0)*VLOOKUP('Données projet'!$B$17,Paramètres!$A$1:$I$89,5,0)</f>
        <v>0</v>
      </c>
      <c r="GB191" s="14" t="e">
        <f t="shared" si="185"/>
        <v>#NUM!</v>
      </c>
      <c r="GC191" s="22" t="e">
        <f t="shared" si="186"/>
        <v>#NUM!</v>
      </c>
      <c r="GD191" s="60" t="e">
        <f t="shared" si="134"/>
        <v>#NUM!</v>
      </c>
      <c r="GE191" s="60">
        <f ca="1">AVERAGE(OFFSET($GD$3,0,0,'Données projet'!$E$17+1,1))-AVERAGE(OFFSET($H$3,0,0,'Données projet'!$E$17+1,1))</f>
        <v>396.0878652679051</v>
      </c>
      <c r="GF191" s="60">
        <f t="shared" si="158"/>
        <v>327.26339199235406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>
        <f>EXP(-LN(2)/35)*GL190+(1-EXP(-LN(2)/35))/(LN(2)/35)*GH191*GI191*VLOOKUP('Données projet'!$B$17,Paramètres!$A$1:$I$89,3,0)*0.475*44/12</f>
        <v>0</v>
      </c>
      <c r="GM191" s="23">
        <f>EXP(-LN(2)/25)*GM190+(1-EXP(-LN(2)/25))/(LN(2)/25)*Calculateur!GH191*Calculateur!GJ191*VLOOKUP('Données projet'!$B$17,Paramètres!$A$1:$I$89,3,0)*0.475*44/12</f>
        <v>0</v>
      </c>
      <c r="GN191" s="23">
        <f>EXP(-LN(2)/2)*GN190+(1-EXP(-LN(2)/2))/(LN(2)/2)*GH191*GK191*VLOOKUP('Données projet'!$B$17,Paramètres!$A$1:$I$89,3,0)*0.475*44/12</f>
        <v>0</v>
      </c>
      <c r="GO191" s="23">
        <f t="shared" si="187"/>
        <v>0</v>
      </c>
      <c r="GP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-1.1368683772161603E-13</v>
      </c>
      <c r="GV191" s="18">
        <f>GU191*VLOOKUP('Données projet'!$B$18,Paramètres!$A$1:$I$89,3,0)*VLOOKUP('Données projet'!$B$18,Paramètres!$A$1:$I$89,5,0)</f>
        <v>-9.2222762759774927E-14</v>
      </c>
      <c r="GW191" s="14" t="e">
        <f t="shared" si="188"/>
        <v>#NUM!</v>
      </c>
      <c r="GX191" s="22" t="e">
        <f t="shared" si="189"/>
        <v>#NUM!</v>
      </c>
      <c r="GY191" s="60" t="e">
        <f t="shared" si="137"/>
        <v>#NUM!</v>
      </c>
      <c r="GZ191" s="60">
        <f ca="1">AVERAGE(OFFSET($GY$3,0,0,'Données projet'!$E$18+1,1))-AVERAGE(OFFSET($H$3,0,0,'Données projet'!$E$18+1,1))</f>
        <v>272.69564942740931</v>
      </c>
      <c r="HA191" s="60">
        <f t="shared" si="160"/>
        <v>316.57989180609252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>
        <f>EXP(-LN(2)/35)*HG190+(1-EXP(-LN(2)/35))/(LN(2)/35)*HC191*HD191*VLOOKUP('Données projet'!$B$18,Paramètres!$A$1:$I$89,3,0)*0.475*44/12</f>
        <v>0</v>
      </c>
      <c r="HH191" s="23">
        <f>EXP(-LN(2)/25)*HH190+(1-EXP(-LN(2)/25))/(LN(2)/25)*Calculateur!HC191*Calculateur!HE191*VLOOKUP('Données projet'!$B$18,Paramètres!$A$1:$I$89,3,0)*0.475*44/12</f>
        <v>0</v>
      </c>
      <c r="HI191" s="23">
        <f>EXP(-LN(2)/2)*HI190+(1-EXP(-LN(2)/2))/(LN(2)/2)*HC191*HF191*VLOOKUP('Données projet'!$B$18,Paramètres!$A$1:$I$89,3,0)*0.475*44/12</f>
        <v>0</v>
      </c>
      <c r="HJ191" s="24">
        <f t="shared" si="190"/>
        <v>0</v>
      </c>
    </row>
    <row r="192" spans="1:218" x14ac:dyDescent="0.25">
      <c r="A192" s="11">
        <f t="shared" si="161"/>
        <v>189</v>
      </c>
      <c r="B192" s="75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8">
        <f t="shared" si="110"/>
        <v>183.33333333333334</v>
      </c>
      <c r="I192" s="7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-1.1368683772161603E-13</v>
      </c>
      <c r="O192" s="14">
        <f>N192*VLOOKUP('Données projet'!$B$9,Paramètres!$A$1:$I$89,3,0)*VLOOKUP('Données projet'!$B$9,Paramètres!$A$1:$I$89,5,0)</f>
        <v>-1.0286385077051818E-13</v>
      </c>
      <c r="P192" s="14" t="e">
        <f t="shared" si="141"/>
        <v>#NUM!</v>
      </c>
      <c r="Q192" s="22" t="e">
        <f t="shared" si="162"/>
        <v>#NUM!</v>
      </c>
      <c r="R192" s="60" t="e">
        <f t="shared" si="109"/>
        <v>#NUM!</v>
      </c>
      <c r="S192" s="60">
        <f ca="1">AVERAGE(OFFSET($R$3,0,0,'Données projet'!$E$9+1,1))-AVERAGE(OFFSET($H$3,0,0,'Données projet'!$E$9+1,1))</f>
        <v>570.08763950759544</v>
      </c>
      <c r="T192" s="60">
        <f t="shared" si="142"/>
        <v>297.32483725004136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-5.6843418860808015E-14</v>
      </c>
      <c r="AJ192" s="14">
        <f>AI192*VLOOKUP('Données projet'!$B$10,Paramètres!$A$1:$I$89,3,0)*VLOOKUP('Données projet'!$B$10,Paramètres!$A$1:$I$89,5,0)</f>
        <v>-4.5224624045658861E-14</v>
      </c>
      <c r="AK192" s="14" t="e">
        <f t="shared" si="164"/>
        <v>#NUM!</v>
      </c>
      <c r="AL192" s="22" t="e">
        <f t="shared" si="165"/>
        <v>#NUM!</v>
      </c>
      <c r="AM192" s="60" t="e">
        <f t="shared" si="113"/>
        <v>#NUM!</v>
      </c>
      <c r="AN192" s="60">
        <f ca="1">AVERAGE(OFFSET($AM$3,0,0,'Données projet'!$E$10+1,1))-AVERAGE(OFFSET($H$3,0,0,'Données projet'!$E$10+1,1))</f>
        <v>394.49874384716014</v>
      </c>
      <c r="AO192" s="60">
        <f t="shared" si="144"/>
        <v>423.72519584013378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3.4106051316484809E-13</v>
      </c>
      <c r="BE192" s="14">
        <f>BD192*VLOOKUP('Données projet'!$B$11,Paramètres!$A$1:$I$89,3,0)*VLOOKUP('Données projet'!$B$11,Paramètres!$A$1:$I$89,5,0)</f>
        <v>2.9795046430081134E-13</v>
      </c>
      <c r="BF192" s="14">
        <f t="shared" si="167"/>
        <v>3.9419014464513778E-12</v>
      </c>
      <c r="BG192" s="22">
        <f t="shared" si="168"/>
        <v>7.384408744560063E-12</v>
      </c>
      <c r="BH192" s="60">
        <f t="shared" si="116"/>
        <v>289.97763864701125</v>
      </c>
      <c r="BI192" s="60">
        <f ca="1">AVERAGE(OFFSET($BH$3,0,0,'Données projet'!$E$11+1,1))-AVERAGE(OFFSET($H$3,0,0,'Données projet'!$E$11+1,1))</f>
        <v>363.28611056308665</v>
      </c>
      <c r="BJ192" s="60">
        <f t="shared" si="146"/>
        <v>389.43647559455974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5.6843418860808015E-14</v>
      </c>
      <c r="BZ192" s="14">
        <f>BY192*VLOOKUP('Données projet'!$B$12,Paramètres!$A$1:$I$89,3,0)*VLOOKUP('Données projet'!$B$12,Paramètres!$A$1:$I$89,5,0)</f>
        <v>5.4092197387944907E-14</v>
      </c>
      <c r="CA192" s="14">
        <f t="shared" si="170"/>
        <v>8.7287050538073676E-13</v>
      </c>
      <c r="CB192" s="22">
        <f t="shared" si="171"/>
        <v>1.6144600406554537E-12</v>
      </c>
      <c r="CC192" s="60">
        <f t="shared" si="119"/>
        <v>289.97763864700545</v>
      </c>
      <c r="CD192" s="60">
        <f ca="1">AVERAGE(OFFSET($CC$3,0,0,'Données projet'!$E$12+1,1))-AVERAGE(OFFSET($H$3,0,0,'Données projet'!$E$12+1,1))</f>
        <v>441.15969139782891</v>
      </c>
      <c r="CE192" s="60">
        <f t="shared" si="148"/>
        <v>315.06466790224783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-5.6843418860808015E-14</v>
      </c>
      <c r="CU192" s="18">
        <f>CT192*VLOOKUP('Données projet'!$B$13,Paramètres!$A$1:$I$89,3,0)*VLOOKUP('Données projet'!$B$13,Paramètres!$A$1:$I$89,5,0)</f>
        <v>-4.1677594708744434E-14</v>
      </c>
      <c r="CV192" s="14" t="e">
        <f t="shared" si="173"/>
        <v>#NUM!</v>
      </c>
      <c r="CW192" s="22" t="e">
        <f t="shared" si="174"/>
        <v>#NUM!</v>
      </c>
      <c r="CX192" s="60" t="e">
        <f t="shared" si="122"/>
        <v>#NUM!</v>
      </c>
      <c r="CY192" s="60">
        <f ca="1">AVERAGE(OFFSET($CX$3,0,0,'Données projet'!$E$13+1,1))-AVERAGE(OFFSET($H$3,0,0,'Données projet'!$E$13+1,1))</f>
        <v>368.35775920359396</v>
      </c>
      <c r="CZ192" s="60">
        <f t="shared" si="150"/>
        <v>395.5218438652638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1.1368683772161603E-13</v>
      </c>
      <c r="DP192" s="18">
        <f>DO192*VLOOKUP('Données projet'!$B$14,Paramètres!$A$1:$I$89,3,0)*VLOOKUP('Données projet'!$B$14,Paramètres!$A$1:$I$89,5,0)</f>
        <v>8.8675733422860506E-14</v>
      </c>
      <c r="DQ192" s="14">
        <f t="shared" si="176"/>
        <v>1.3509285393066301E-12</v>
      </c>
      <c r="DR192" s="22">
        <f t="shared" si="177"/>
        <v>2.5073107750038623E-12</v>
      </c>
      <c r="DS192" s="60">
        <f t="shared" si="125"/>
        <v>289.97763864700636</v>
      </c>
      <c r="DT192" s="60">
        <f ca="1">AVERAGE(OFFSET($DS$3,0,0,'Données projet'!$E$14+1,1))-AVERAGE(OFFSET($H$3,0,0,'Données projet'!$E$14+1,1))</f>
        <v>312.59632808777332</v>
      </c>
      <c r="DU192" s="60">
        <f t="shared" si="152"/>
        <v>302.59481222418219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0</v>
      </c>
      <c r="EE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-1.1368683772161603E-13</v>
      </c>
      <c r="EK192" s="18">
        <f>EJ192*VLOOKUP('Données projet'!$B$15,Paramètres!$A$1:$I$89,3,0)*VLOOKUP('Données projet'!$B$15,Paramètres!$A$1:$I$89,5,0)</f>
        <v>-9.7543306765146564E-14</v>
      </c>
      <c r="EL192" s="14" t="e">
        <f t="shared" si="179"/>
        <v>#NUM!</v>
      </c>
      <c r="EM192" s="22" t="e">
        <f t="shared" si="180"/>
        <v>#NUM!</v>
      </c>
      <c r="EN192" s="60" t="e">
        <f t="shared" si="128"/>
        <v>#NUM!</v>
      </c>
      <c r="EO192" s="60">
        <f ca="1">AVERAGE(OFFSET($EN$3,0,0,'Données projet'!$E$15+1,1))-AVERAGE(OFFSET($H$3,0,0,'Données projet'!$E$15+1,1))</f>
        <v>478.11504516179713</v>
      </c>
      <c r="EP192" s="60">
        <f t="shared" si="154"/>
        <v>249.93713224442419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0</v>
      </c>
      <c r="EW192" s="23">
        <f>EXP(-LN(2)/25)*EW191+(1-EXP(-LN(2)/25))/(LN(2)/25)*Calculateur!ER192*Calculateur!ET192*VLOOKUP('Données projet'!$B$15,Paramètres!$A$1:$I$89,3,0)*0.475*44/12</f>
        <v>0</v>
      </c>
      <c r="EX192" s="23">
        <f>EXP(-LN(2)/2)*EX191+(1-EXP(-LN(2)/2))/(LN(2)/2)*ER192*EU192*VLOOKUP('Données projet'!$B$15,Paramètres!$A$1:$I$89,3,0)*0.475*44/12</f>
        <v>0</v>
      </c>
      <c r="EY192" s="24">
        <f t="shared" si="181"/>
        <v>0</v>
      </c>
      <c r="EZ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-1.1368683772161603E-13</v>
      </c>
      <c r="FF192" s="18">
        <f>FE192*VLOOKUP('Données projet'!$B$16,Paramètres!$A$1:$I$89,3,0)*VLOOKUP('Données projet'!$B$16,Paramètres!$A$1:$I$89,5,0)</f>
        <v>-1.0995790944434703E-13</v>
      </c>
      <c r="FG192" s="14" t="e">
        <f t="shared" si="182"/>
        <v>#NUM!</v>
      </c>
      <c r="FH192" s="22" t="e">
        <f t="shared" si="183"/>
        <v>#NUM!</v>
      </c>
      <c r="FI192" s="60" t="e">
        <f t="shared" si="131"/>
        <v>#NUM!</v>
      </c>
      <c r="FJ192" s="60">
        <f ca="1">AVERAGE(OFFSET($FI$3,0,0,'Données projet'!$E$16+1,1))-AVERAGE(OFFSET($H$3,0,0,'Données projet'!$E$16+1,1))</f>
        <v>603.52431522262032</v>
      </c>
      <c r="FK192" s="60">
        <f t="shared" si="156"/>
        <v>313.56299786481338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>
        <f>EXP(-LN(2)/35)*FQ191+(1-EXP(-LN(2)/35))/(LN(2)/35)*FM192*FN192*VLOOKUP('Données projet'!$B$16,Paramètres!$A$1:$I$89,3,0)*0.475*44/12</f>
        <v>0</v>
      </c>
      <c r="FR192" s="23">
        <f>EXP(-LN(2)/25)*FR191+(1-EXP(-LN(2)/25))/(LN(2)/25)*Calculateur!FM192*Calculateur!FO192*VLOOKUP('Données projet'!$B$16,Paramètres!$A$1:$I$89,3,0)*0.475*44/12</f>
        <v>0</v>
      </c>
      <c r="FS192" s="23">
        <f>EXP(-LN(2)/2)*FS191+(1-EXP(-LN(2)/2))/(LN(2)/2)*FM192*FP192*VLOOKUP('Données projet'!$B$16,Paramètres!$A$1:$I$89,3,0)*0.475*44/12</f>
        <v>0</v>
      </c>
      <c r="FT192" s="24">
        <f t="shared" si="184"/>
        <v>0</v>
      </c>
      <c r="FU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>
        <f>FZ192*VLOOKUP('Données projet'!$B$17,Paramètres!$A$1:$I$89,3,0)*VLOOKUP('Données projet'!$B$17,Paramètres!$A$1:$I$89,5,0)</f>
        <v>0</v>
      </c>
      <c r="GB192" s="14" t="e">
        <f t="shared" si="185"/>
        <v>#NUM!</v>
      </c>
      <c r="GC192" s="22" t="e">
        <f t="shared" si="186"/>
        <v>#NUM!</v>
      </c>
      <c r="GD192" s="60" t="e">
        <f t="shared" si="134"/>
        <v>#NUM!</v>
      </c>
      <c r="GE192" s="60">
        <f ca="1">AVERAGE(OFFSET($GD$3,0,0,'Données projet'!$E$17+1,1))-AVERAGE(OFFSET($H$3,0,0,'Données projet'!$E$17+1,1))</f>
        <v>396.0878652679051</v>
      </c>
      <c r="GF192" s="60">
        <f t="shared" si="158"/>
        <v>327.26339199235406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>
        <f>EXP(-LN(2)/35)*GL191+(1-EXP(-LN(2)/35))/(LN(2)/35)*GH192*GI192*VLOOKUP('Données projet'!$B$17,Paramètres!$A$1:$I$89,3,0)*0.475*44/12</f>
        <v>0</v>
      </c>
      <c r="GM192" s="23">
        <f>EXP(-LN(2)/25)*GM191+(1-EXP(-LN(2)/25))/(LN(2)/25)*Calculateur!GH192*Calculateur!GJ192*VLOOKUP('Données projet'!$B$17,Paramètres!$A$1:$I$89,3,0)*0.475*44/12</f>
        <v>0</v>
      </c>
      <c r="GN192" s="23">
        <f>EXP(-LN(2)/2)*GN191+(1-EXP(-LN(2)/2))/(LN(2)/2)*GH192*GK192*VLOOKUP('Données projet'!$B$17,Paramètres!$A$1:$I$89,3,0)*0.475*44/12</f>
        <v>0</v>
      </c>
      <c r="GO192" s="23">
        <f t="shared" si="187"/>
        <v>0</v>
      </c>
      <c r="GP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-1.1368683772161603E-13</v>
      </c>
      <c r="GV192" s="18">
        <f>GU192*VLOOKUP('Données projet'!$B$18,Paramètres!$A$1:$I$89,3,0)*VLOOKUP('Données projet'!$B$18,Paramètres!$A$1:$I$89,5,0)</f>
        <v>-9.2222762759774927E-14</v>
      </c>
      <c r="GW192" s="14" t="e">
        <f t="shared" si="188"/>
        <v>#NUM!</v>
      </c>
      <c r="GX192" s="22" t="e">
        <f t="shared" si="189"/>
        <v>#NUM!</v>
      </c>
      <c r="GY192" s="60" t="e">
        <f t="shared" si="137"/>
        <v>#NUM!</v>
      </c>
      <c r="GZ192" s="60">
        <f ca="1">AVERAGE(OFFSET($GY$3,0,0,'Données projet'!$E$18+1,1))-AVERAGE(OFFSET($H$3,0,0,'Données projet'!$E$18+1,1))</f>
        <v>272.69564942740931</v>
      </c>
      <c r="HA192" s="60">
        <f t="shared" si="160"/>
        <v>316.57989180609252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>
        <f>EXP(-LN(2)/35)*HG191+(1-EXP(-LN(2)/35))/(LN(2)/35)*HC192*HD192*VLOOKUP('Données projet'!$B$18,Paramètres!$A$1:$I$89,3,0)*0.475*44/12</f>
        <v>0</v>
      </c>
      <c r="HH192" s="23">
        <f>EXP(-LN(2)/25)*HH191+(1-EXP(-LN(2)/25))/(LN(2)/25)*Calculateur!HC192*Calculateur!HE192*VLOOKUP('Données projet'!$B$18,Paramètres!$A$1:$I$89,3,0)*0.475*44/12</f>
        <v>0</v>
      </c>
      <c r="HI192" s="23">
        <f>EXP(-LN(2)/2)*HI191+(1-EXP(-LN(2)/2))/(LN(2)/2)*HC192*HF192*VLOOKUP('Données projet'!$B$18,Paramètres!$A$1:$I$89,3,0)*0.475*44/12</f>
        <v>0</v>
      </c>
      <c r="HJ192" s="24">
        <f t="shared" si="190"/>
        <v>0</v>
      </c>
    </row>
    <row r="193" spans="1:218" x14ac:dyDescent="0.25">
      <c r="A193" s="11">
        <f t="shared" si="161"/>
        <v>190</v>
      </c>
      <c r="B193" s="75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8">
        <f t="shared" si="110"/>
        <v>183.33333333333334</v>
      </c>
      <c r="I193" s="7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-1.1368683772161603E-13</v>
      </c>
      <c r="O193" s="14">
        <f>N193*VLOOKUP('Données projet'!$B$9,Paramètres!$A$1:$I$89,3,0)*VLOOKUP('Données projet'!$B$9,Paramètres!$A$1:$I$89,5,0)</f>
        <v>-1.0286385077051818E-13</v>
      </c>
      <c r="P193" s="14" t="e">
        <f t="shared" si="141"/>
        <v>#NUM!</v>
      </c>
      <c r="Q193" s="22" t="e">
        <f t="shared" si="162"/>
        <v>#NUM!</v>
      </c>
      <c r="R193" s="60" t="e">
        <f t="shared" si="109"/>
        <v>#NUM!</v>
      </c>
      <c r="S193" s="60">
        <f ca="1">AVERAGE(OFFSET($R$3,0,0,'Données projet'!$E$9+1,1))-AVERAGE(OFFSET($H$3,0,0,'Données projet'!$E$9+1,1))</f>
        <v>570.08763950759544</v>
      </c>
      <c r="T193" s="60">
        <f t="shared" si="142"/>
        <v>297.32483725004136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-5.6843418860808015E-14</v>
      </c>
      <c r="AJ193" s="14">
        <f>AI193*VLOOKUP('Données projet'!$B$10,Paramètres!$A$1:$I$89,3,0)*VLOOKUP('Données projet'!$B$10,Paramètres!$A$1:$I$89,5,0)</f>
        <v>-4.5224624045658861E-14</v>
      </c>
      <c r="AK193" s="14" t="e">
        <f t="shared" si="164"/>
        <v>#NUM!</v>
      </c>
      <c r="AL193" s="22" t="e">
        <f t="shared" si="165"/>
        <v>#NUM!</v>
      </c>
      <c r="AM193" s="60" t="e">
        <f t="shared" si="113"/>
        <v>#NUM!</v>
      </c>
      <c r="AN193" s="60">
        <f ca="1">AVERAGE(OFFSET($AM$3,0,0,'Données projet'!$E$10+1,1))-AVERAGE(OFFSET($H$3,0,0,'Données projet'!$E$10+1,1))</f>
        <v>394.49874384716014</v>
      </c>
      <c r="AO193" s="60">
        <f t="shared" si="144"/>
        <v>423.72519584013378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3.4106051316484809E-13</v>
      </c>
      <c r="BE193" s="14">
        <f>BD193*VLOOKUP('Données projet'!$B$11,Paramètres!$A$1:$I$89,3,0)*VLOOKUP('Données projet'!$B$11,Paramètres!$A$1:$I$89,5,0)</f>
        <v>2.9795046430081134E-13</v>
      </c>
      <c r="BF193" s="14">
        <f t="shared" si="167"/>
        <v>3.9419014464513778E-12</v>
      </c>
      <c r="BG193" s="22">
        <f t="shared" si="168"/>
        <v>7.384408744560063E-12</v>
      </c>
      <c r="BH193" s="60">
        <f t="shared" si="116"/>
        <v>290.03585244760967</v>
      </c>
      <c r="BI193" s="60">
        <f ca="1">AVERAGE(OFFSET($BH$3,0,0,'Données projet'!$E$11+1,1))-AVERAGE(OFFSET($H$3,0,0,'Données projet'!$E$11+1,1))</f>
        <v>363.28611056308665</v>
      </c>
      <c r="BJ193" s="60">
        <f t="shared" si="146"/>
        <v>389.43647559455974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5.6843418860808015E-14</v>
      </c>
      <c r="BZ193" s="14">
        <f>BY193*VLOOKUP('Données projet'!$B$12,Paramètres!$A$1:$I$89,3,0)*VLOOKUP('Données projet'!$B$12,Paramètres!$A$1:$I$89,5,0)</f>
        <v>5.4092197387944907E-14</v>
      </c>
      <c r="CA193" s="14">
        <f t="shared" si="170"/>
        <v>8.7287050538073676E-13</v>
      </c>
      <c r="CB193" s="22">
        <f t="shared" si="171"/>
        <v>1.6144600406554537E-12</v>
      </c>
      <c r="CC193" s="60">
        <f t="shared" si="119"/>
        <v>290.03585244760387</v>
      </c>
      <c r="CD193" s="60">
        <f ca="1">AVERAGE(OFFSET($CC$3,0,0,'Données projet'!$E$12+1,1))-AVERAGE(OFFSET($H$3,0,0,'Données projet'!$E$12+1,1))</f>
        <v>441.15969139782891</v>
      </c>
      <c r="CE193" s="60">
        <f t="shared" si="148"/>
        <v>315.06466790224783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-5.6843418860808015E-14</v>
      </c>
      <c r="CU193" s="18">
        <f>CT193*VLOOKUP('Données projet'!$B$13,Paramètres!$A$1:$I$89,3,0)*VLOOKUP('Données projet'!$B$13,Paramètres!$A$1:$I$89,5,0)</f>
        <v>-4.1677594708744434E-14</v>
      </c>
      <c r="CV193" s="14" t="e">
        <f t="shared" si="173"/>
        <v>#NUM!</v>
      </c>
      <c r="CW193" s="22" t="e">
        <f t="shared" si="174"/>
        <v>#NUM!</v>
      </c>
      <c r="CX193" s="60" t="e">
        <f t="shared" si="122"/>
        <v>#NUM!</v>
      </c>
      <c r="CY193" s="60">
        <f ca="1">AVERAGE(OFFSET($CX$3,0,0,'Données projet'!$E$13+1,1))-AVERAGE(OFFSET($H$3,0,0,'Données projet'!$E$13+1,1))</f>
        <v>368.35775920359396</v>
      </c>
      <c r="CZ193" s="60">
        <f t="shared" si="150"/>
        <v>395.5218438652638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1.1368683772161603E-13</v>
      </c>
      <c r="DP193" s="18">
        <f>DO193*VLOOKUP('Données projet'!$B$14,Paramètres!$A$1:$I$89,3,0)*VLOOKUP('Données projet'!$B$14,Paramètres!$A$1:$I$89,5,0)</f>
        <v>8.8675733422860506E-14</v>
      </c>
      <c r="DQ193" s="14">
        <f t="shared" si="176"/>
        <v>1.3509285393066301E-12</v>
      </c>
      <c r="DR193" s="22">
        <f t="shared" si="177"/>
        <v>2.5073107750038623E-12</v>
      </c>
      <c r="DS193" s="60">
        <f t="shared" si="125"/>
        <v>290.03585244760478</v>
      </c>
      <c r="DT193" s="60">
        <f ca="1">AVERAGE(OFFSET($DS$3,0,0,'Données projet'!$E$14+1,1))-AVERAGE(OFFSET($H$3,0,0,'Données projet'!$E$14+1,1))</f>
        <v>312.59632808777332</v>
      </c>
      <c r="DU193" s="60">
        <f t="shared" si="152"/>
        <v>302.59481222418219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0</v>
      </c>
      <c r="EE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-1.1368683772161603E-13</v>
      </c>
      <c r="EK193" s="18">
        <f>EJ193*VLOOKUP('Données projet'!$B$15,Paramètres!$A$1:$I$89,3,0)*VLOOKUP('Données projet'!$B$15,Paramètres!$A$1:$I$89,5,0)</f>
        <v>-9.7543306765146564E-14</v>
      </c>
      <c r="EL193" s="14" t="e">
        <f t="shared" si="179"/>
        <v>#NUM!</v>
      </c>
      <c r="EM193" s="22" t="e">
        <f t="shared" si="180"/>
        <v>#NUM!</v>
      </c>
      <c r="EN193" s="60" t="e">
        <f t="shared" si="128"/>
        <v>#NUM!</v>
      </c>
      <c r="EO193" s="60">
        <f ca="1">AVERAGE(OFFSET($EN$3,0,0,'Données projet'!$E$15+1,1))-AVERAGE(OFFSET($H$3,0,0,'Données projet'!$E$15+1,1))</f>
        <v>478.11504516179713</v>
      </c>
      <c r="EP193" s="60">
        <f t="shared" si="154"/>
        <v>249.93713224442419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0</v>
      </c>
      <c r="EW193" s="23">
        <f>EXP(-LN(2)/25)*EW192+(1-EXP(-LN(2)/25))/(LN(2)/25)*Calculateur!ER193*Calculateur!ET193*VLOOKUP('Données projet'!$B$15,Paramètres!$A$1:$I$89,3,0)*0.475*44/12</f>
        <v>0</v>
      </c>
      <c r="EX193" s="23">
        <f>EXP(-LN(2)/2)*EX192+(1-EXP(-LN(2)/2))/(LN(2)/2)*ER193*EU193*VLOOKUP('Données projet'!$B$15,Paramètres!$A$1:$I$89,3,0)*0.475*44/12</f>
        <v>0</v>
      </c>
      <c r="EY193" s="24">
        <f t="shared" si="181"/>
        <v>0</v>
      </c>
      <c r="EZ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-1.1368683772161603E-13</v>
      </c>
      <c r="FF193" s="18">
        <f>FE193*VLOOKUP('Données projet'!$B$16,Paramètres!$A$1:$I$89,3,0)*VLOOKUP('Données projet'!$B$16,Paramètres!$A$1:$I$89,5,0)</f>
        <v>-1.0995790944434703E-13</v>
      </c>
      <c r="FG193" s="14" t="e">
        <f t="shared" si="182"/>
        <v>#NUM!</v>
      </c>
      <c r="FH193" s="22" t="e">
        <f t="shared" si="183"/>
        <v>#NUM!</v>
      </c>
      <c r="FI193" s="60" t="e">
        <f t="shared" si="131"/>
        <v>#NUM!</v>
      </c>
      <c r="FJ193" s="60">
        <f ca="1">AVERAGE(OFFSET($FI$3,0,0,'Données projet'!$E$16+1,1))-AVERAGE(OFFSET($H$3,0,0,'Données projet'!$E$16+1,1))</f>
        <v>603.52431522262032</v>
      </c>
      <c r="FK193" s="60">
        <f t="shared" si="156"/>
        <v>313.56299786481338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>
        <f>EXP(-LN(2)/35)*FQ192+(1-EXP(-LN(2)/35))/(LN(2)/35)*FM193*FN193*VLOOKUP('Données projet'!$B$16,Paramètres!$A$1:$I$89,3,0)*0.475*44/12</f>
        <v>0</v>
      </c>
      <c r="FR193" s="23">
        <f>EXP(-LN(2)/25)*FR192+(1-EXP(-LN(2)/25))/(LN(2)/25)*Calculateur!FM193*Calculateur!FO193*VLOOKUP('Données projet'!$B$16,Paramètres!$A$1:$I$89,3,0)*0.475*44/12</f>
        <v>0</v>
      </c>
      <c r="FS193" s="23">
        <f>EXP(-LN(2)/2)*FS192+(1-EXP(-LN(2)/2))/(LN(2)/2)*FM193*FP193*VLOOKUP('Données projet'!$B$16,Paramètres!$A$1:$I$89,3,0)*0.475*44/12</f>
        <v>0</v>
      </c>
      <c r="FT193" s="24">
        <f t="shared" si="184"/>
        <v>0</v>
      </c>
      <c r="FU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>
        <f>FZ193*VLOOKUP('Données projet'!$B$17,Paramètres!$A$1:$I$89,3,0)*VLOOKUP('Données projet'!$B$17,Paramètres!$A$1:$I$89,5,0)</f>
        <v>0</v>
      </c>
      <c r="GB193" s="14" t="e">
        <f t="shared" si="185"/>
        <v>#NUM!</v>
      </c>
      <c r="GC193" s="22" t="e">
        <f t="shared" si="186"/>
        <v>#NUM!</v>
      </c>
      <c r="GD193" s="60" t="e">
        <f t="shared" si="134"/>
        <v>#NUM!</v>
      </c>
      <c r="GE193" s="60">
        <f ca="1">AVERAGE(OFFSET($GD$3,0,0,'Données projet'!$E$17+1,1))-AVERAGE(OFFSET($H$3,0,0,'Données projet'!$E$17+1,1))</f>
        <v>396.0878652679051</v>
      </c>
      <c r="GF193" s="60">
        <f t="shared" si="158"/>
        <v>327.26339199235406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>
        <f>EXP(-LN(2)/35)*GL192+(1-EXP(-LN(2)/35))/(LN(2)/35)*GH193*GI193*VLOOKUP('Données projet'!$B$17,Paramètres!$A$1:$I$89,3,0)*0.475*44/12</f>
        <v>0</v>
      </c>
      <c r="GM193" s="23">
        <f>EXP(-LN(2)/25)*GM192+(1-EXP(-LN(2)/25))/(LN(2)/25)*Calculateur!GH193*Calculateur!GJ193*VLOOKUP('Données projet'!$B$17,Paramètres!$A$1:$I$89,3,0)*0.475*44/12</f>
        <v>0</v>
      </c>
      <c r="GN193" s="23">
        <f>EXP(-LN(2)/2)*GN192+(1-EXP(-LN(2)/2))/(LN(2)/2)*GH193*GK193*VLOOKUP('Données projet'!$B$17,Paramètres!$A$1:$I$89,3,0)*0.475*44/12</f>
        <v>0</v>
      </c>
      <c r="GO193" s="23">
        <f t="shared" si="187"/>
        <v>0</v>
      </c>
      <c r="GP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-1.1368683772161603E-13</v>
      </c>
      <c r="GV193" s="18">
        <f>GU193*VLOOKUP('Données projet'!$B$18,Paramètres!$A$1:$I$89,3,0)*VLOOKUP('Données projet'!$B$18,Paramètres!$A$1:$I$89,5,0)</f>
        <v>-9.2222762759774927E-14</v>
      </c>
      <c r="GW193" s="14" t="e">
        <f t="shared" si="188"/>
        <v>#NUM!</v>
      </c>
      <c r="GX193" s="22" t="e">
        <f t="shared" si="189"/>
        <v>#NUM!</v>
      </c>
      <c r="GY193" s="60" t="e">
        <f t="shared" si="137"/>
        <v>#NUM!</v>
      </c>
      <c r="GZ193" s="60">
        <f ca="1">AVERAGE(OFFSET($GY$3,0,0,'Données projet'!$E$18+1,1))-AVERAGE(OFFSET($H$3,0,0,'Données projet'!$E$18+1,1))</f>
        <v>272.69564942740931</v>
      </c>
      <c r="HA193" s="60">
        <f t="shared" si="160"/>
        <v>316.57989180609252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>
        <f>EXP(-LN(2)/35)*HG192+(1-EXP(-LN(2)/35))/(LN(2)/35)*HC193*HD193*VLOOKUP('Données projet'!$B$18,Paramètres!$A$1:$I$89,3,0)*0.475*44/12</f>
        <v>0</v>
      </c>
      <c r="HH193" s="23">
        <f>EXP(-LN(2)/25)*HH192+(1-EXP(-LN(2)/25))/(LN(2)/25)*Calculateur!HC193*Calculateur!HE193*VLOOKUP('Données projet'!$B$18,Paramètres!$A$1:$I$89,3,0)*0.475*44/12</f>
        <v>0</v>
      </c>
      <c r="HI193" s="23">
        <f>EXP(-LN(2)/2)*HI192+(1-EXP(-LN(2)/2))/(LN(2)/2)*HC193*HF193*VLOOKUP('Données projet'!$B$18,Paramètres!$A$1:$I$89,3,0)*0.475*44/12</f>
        <v>0</v>
      </c>
      <c r="HJ193" s="24">
        <f t="shared" si="190"/>
        <v>0</v>
      </c>
    </row>
    <row r="194" spans="1:218" x14ac:dyDescent="0.25">
      <c r="A194" s="11">
        <f t="shared" si="161"/>
        <v>191</v>
      </c>
      <c r="B194" s="75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8">
        <f t="shared" si="110"/>
        <v>183.33333333333334</v>
      </c>
      <c r="I194" s="7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-1.1368683772161603E-13</v>
      </c>
      <c r="O194" s="14">
        <f>N194*VLOOKUP('Données projet'!$B$9,Paramètres!$A$1:$I$89,3,0)*VLOOKUP('Données projet'!$B$9,Paramètres!$A$1:$I$89,5,0)</f>
        <v>-1.0286385077051818E-13</v>
      </c>
      <c r="P194" s="14" t="e">
        <f t="shared" si="141"/>
        <v>#NUM!</v>
      </c>
      <c r="Q194" s="22" t="e">
        <f t="shared" si="162"/>
        <v>#NUM!</v>
      </c>
      <c r="R194" s="60" t="e">
        <f t="shared" si="109"/>
        <v>#NUM!</v>
      </c>
      <c r="S194" s="60">
        <f ca="1">AVERAGE(OFFSET($R$3,0,0,'Données projet'!$E$9+1,1))-AVERAGE(OFFSET($H$3,0,0,'Données projet'!$E$9+1,1))</f>
        <v>570.08763950759544</v>
      </c>
      <c r="T194" s="60">
        <f t="shared" si="142"/>
        <v>297.32483725004136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-5.6843418860808015E-14</v>
      </c>
      <c r="AJ194" s="14">
        <f>AI194*VLOOKUP('Données projet'!$B$10,Paramètres!$A$1:$I$89,3,0)*VLOOKUP('Données projet'!$B$10,Paramètres!$A$1:$I$89,5,0)</f>
        <v>-4.5224624045658861E-14</v>
      </c>
      <c r="AK194" s="14" t="e">
        <f t="shared" si="164"/>
        <v>#NUM!</v>
      </c>
      <c r="AL194" s="22" t="e">
        <f t="shared" si="165"/>
        <v>#NUM!</v>
      </c>
      <c r="AM194" s="60" t="e">
        <f t="shared" si="113"/>
        <v>#NUM!</v>
      </c>
      <c r="AN194" s="60">
        <f ca="1">AVERAGE(OFFSET($AM$3,0,0,'Données projet'!$E$10+1,1))-AVERAGE(OFFSET($H$3,0,0,'Données projet'!$E$10+1,1))</f>
        <v>394.49874384716014</v>
      </c>
      <c r="AO194" s="60">
        <f t="shared" si="144"/>
        <v>423.72519584013378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3.4106051316484809E-13</v>
      </c>
      <c r="BE194" s="14">
        <f>BD194*VLOOKUP('Données projet'!$B$11,Paramètres!$A$1:$I$89,3,0)*VLOOKUP('Données projet'!$B$11,Paramètres!$A$1:$I$89,5,0)</f>
        <v>2.9795046430081134E-13</v>
      </c>
      <c r="BF194" s="14">
        <f t="shared" si="167"/>
        <v>3.9419014464513778E-12</v>
      </c>
      <c r="BG194" s="22">
        <f t="shared" si="168"/>
        <v>7.384408744560063E-12</v>
      </c>
      <c r="BH194" s="60">
        <f t="shared" si="116"/>
        <v>290.09305636891423</v>
      </c>
      <c r="BI194" s="60">
        <f ca="1">AVERAGE(OFFSET($BH$3,0,0,'Données projet'!$E$11+1,1))-AVERAGE(OFFSET($H$3,0,0,'Données projet'!$E$11+1,1))</f>
        <v>363.28611056308665</v>
      </c>
      <c r="BJ194" s="60">
        <f t="shared" si="146"/>
        <v>389.43647559455974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5.6843418860808015E-14</v>
      </c>
      <c r="BZ194" s="14">
        <f>BY194*VLOOKUP('Données projet'!$B$12,Paramètres!$A$1:$I$89,3,0)*VLOOKUP('Données projet'!$B$12,Paramètres!$A$1:$I$89,5,0)</f>
        <v>5.4092197387944907E-14</v>
      </c>
      <c r="CA194" s="14">
        <f t="shared" si="170"/>
        <v>8.7287050538073676E-13</v>
      </c>
      <c r="CB194" s="22">
        <f t="shared" si="171"/>
        <v>1.6144600406554537E-12</v>
      </c>
      <c r="CC194" s="60">
        <f t="shared" si="119"/>
        <v>290.09305636890844</v>
      </c>
      <c r="CD194" s="60">
        <f ca="1">AVERAGE(OFFSET($CC$3,0,0,'Données projet'!$E$12+1,1))-AVERAGE(OFFSET($H$3,0,0,'Données projet'!$E$12+1,1))</f>
        <v>441.15969139782891</v>
      </c>
      <c r="CE194" s="60">
        <f t="shared" si="148"/>
        <v>315.06466790224783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-5.6843418860808015E-14</v>
      </c>
      <c r="CU194" s="18">
        <f>CT194*VLOOKUP('Données projet'!$B$13,Paramètres!$A$1:$I$89,3,0)*VLOOKUP('Données projet'!$B$13,Paramètres!$A$1:$I$89,5,0)</f>
        <v>-4.1677594708744434E-14</v>
      </c>
      <c r="CV194" s="14" t="e">
        <f t="shared" si="173"/>
        <v>#NUM!</v>
      </c>
      <c r="CW194" s="22" t="e">
        <f t="shared" si="174"/>
        <v>#NUM!</v>
      </c>
      <c r="CX194" s="60" t="e">
        <f t="shared" si="122"/>
        <v>#NUM!</v>
      </c>
      <c r="CY194" s="60">
        <f ca="1">AVERAGE(OFFSET($CX$3,0,0,'Données projet'!$E$13+1,1))-AVERAGE(OFFSET($H$3,0,0,'Données projet'!$E$13+1,1))</f>
        <v>368.35775920359396</v>
      </c>
      <c r="CZ194" s="60">
        <f t="shared" si="150"/>
        <v>395.5218438652638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1.1368683772161603E-13</v>
      </c>
      <c r="DP194" s="18">
        <f>DO194*VLOOKUP('Données projet'!$B$14,Paramètres!$A$1:$I$89,3,0)*VLOOKUP('Données projet'!$B$14,Paramètres!$A$1:$I$89,5,0)</f>
        <v>8.8675733422860506E-14</v>
      </c>
      <c r="DQ194" s="14">
        <f t="shared" si="176"/>
        <v>1.3509285393066301E-12</v>
      </c>
      <c r="DR194" s="22">
        <f t="shared" si="177"/>
        <v>2.5073107750038623E-12</v>
      </c>
      <c r="DS194" s="60">
        <f t="shared" si="125"/>
        <v>290.09305636890934</v>
      </c>
      <c r="DT194" s="60">
        <f ca="1">AVERAGE(OFFSET($DS$3,0,0,'Données projet'!$E$14+1,1))-AVERAGE(OFFSET($H$3,0,0,'Données projet'!$E$14+1,1))</f>
        <v>312.59632808777332</v>
      </c>
      <c r="DU194" s="60">
        <f t="shared" si="152"/>
        <v>302.59481222418219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0</v>
      </c>
      <c r="EE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-1.1368683772161603E-13</v>
      </c>
      <c r="EK194" s="18">
        <f>EJ194*VLOOKUP('Données projet'!$B$15,Paramètres!$A$1:$I$89,3,0)*VLOOKUP('Données projet'!$B$15,Paramètres!$A$1:$I$89,5,0)</f>
        <v>-9.7543306765146564E-14</v>
      </c>
      <c r="EL194" s="14" t="e">
        <f t="shared" si="179"/>
        <v>#NUM!</v>
      </c>
      <c r="EM194" s="22" t="e">
        <f t="shared" si="180"/>
        <v>#NUM!</v>
      </c>
      <c r="EN194" s="60" t="e">
        <f t="shared" si="128"/>
        <v>#NUM!</v>
      </c>
      <c r="EO194" s="60">
        <f ca="1">AVERAGE(OFFSET($EN$3,0,0,'Données projet'!$E$15+1,1))-AVERAGE(OFFSET($H$3,0,0,'Données projet'!$E$15+1,1))</f>
        <v>478.11504516179713</v>
      </c>
      <c r="EP194" s="60">
        <f t="shared" si="154"/>
        <v>249.93713224442419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0</v>
      </c>
      <c r="EW194" s="23">
        <f>EXP(-LN(2)/25)*EW193+(1-EXP(-LN(2)/25))/(LN(2)/25)*Calculateur!ER194*Calculateur!ET194*VLOOKUP('Données projet'!$B$15,Paramètres!$A$1:$I$89,3,0)*0.475*44/12</f>
        <v>0</v>
      </c>
      <c r="EX194" s="23">
        <f>EXP(-LN(2)/2)*EX193+(1-EXP(-LN(2)/2))/(LN(2)/2)*ER194*EU194*VLOOKUP('Données projet'!$B$15,Paramètres!$A$1:$I$89,3,0)*0.475*44/12</f>
        <v>0</v>
      </c>
      <c r="EY194" s="24">
        <f t="shared" si="181"/>
        <v>0</v>
      </c>
      <c r="EZ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-1.1368683772161603E-13</v>
      </c>
      <c r="FF194" s="18">
        <f>FE194*VLOOKUP('Données projet'!$B$16,Paramètres!$A$1:$I$89,3,0)*VLOOKUP('Données projet'!$B$16,Paramètres!$A$1:$I$89,5,0)</f>
        <v>-1.0995790944434703E-13</v>
      </c>
      <c r="FG194" s="14" t="e">
        <f t="shared" si="182"/>
        <v>#NUM!</v>
      </c>
      <c r="FH194" s="22" t="e">
        <f t="shared" si="183"/>
        <v>#NUM!</v>
      </c>
      <c r="FI194" s="60" t="e">
        <f t="shared" si="131"/>
        <v>#NUM!</v>
      </c>
      <c r="FJ194" s="60">
        <f ca="1">AVERAGE(OFFSET($FI$3,0,0,'Données projet'!$E$16+1,1))-AVERAGE(OFFSET($H$3,0,0,'Données projet'!$E$16+1,1))</f>
        <v>603.52431522262032</v>
      </c>
      <c r="FK194" s="60">
        <f t="shared" si="156"/>
        <v>313.56299786481338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>
        <f>EXP(-LN(2)/35)*FQ193+(1-EXP(-LN(2)/35))/(LN(2)/35)*FM194*FN194*VLOOKUP('Données projet'!$B$16,Paramètres!$A$1:$I$89,3,0)*0.475*44/12</f>
        <v>0</v>
      </c>
      <c r="FR194" s="23">
        <f>EXP(-LN(2)/25)*FR193+(1-EXP(-LN(2)/25))/(LN(2)/25)*Calculateur!FM194*Calculateur!FO194*VLOOKUP('Données projet'!$B$16,Paramètres!$A$1:$I$89,3,0)*0.475*44/12</f>
        <v>0</v>
      </c>
      <c r="FS194" s="23">
        <f>EXP(-LN(2)/2)*FS193+(1-EXP(-LN(2)/2))/(LN(2)/2)*FM194*FP194*VLOOKUP('Données projet'!$B$16,Paramètres!$A$1:$I$89,3,0)*0.475*44/12</f>
        <v>0</v>
      </c>
      <c r="FT194" s="24">
        <f t="shared" si="184"/>
        <v>0</v>
      </c>
      <c r="FU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>
        <f>FZ194*VLOOKUP('Données projet'!$B$17,Paramètres!$A$1:$I$89,3,0)*VLOOKUP('Données projet'!$B$17,Paramètres!$A$1:$I$89,5,0)</f>
        <v>0</v>
      </c>
      <c r="GB194" s="14" t="e">
        <f t="shared" si="185"/>
        <v>#NUM!</v>
      </c>
      <c r="GC194" s="22" t="e">
        <f t="shared" si="186"/>
        <v>#NUM!</v>
      </c>
      <c r="GD194" s="60" t="e">
        <f t="shared" si="134"/>
        <v>#NUM!</v>
      </c>
      <c r="GE194" s="60">
        <f ca="1">AVERAGE(OFFSET($GD$3,0,0,'Données projet'!$E$17+1,1))-AVERAGE(OFFSET($H$3,0,0,'Données projet'!$E$17+1,1))</f>
        <v>396.0878652679051</v>
      </c>
      <c r="GF194" s="60">
        <f t="shared" si="158"/>
        <v>327.26339199235406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>
        <f>EXP(-LN(2)/35)*GL193+(1-EXP(-LN(2)/35))/(LN(2)/35)*GH194*GI194*VLOOKUP('Données projet'!$B$17,Paramètres!$A$1:$I$89,3,0)*0.475*44/12</f>
        <v>0</v>
      </c>
      <c r="GM194" s="23">
        <f>EXP(-LN(2)/25)*GM193+(1-EXP(-LN(2)/25))/(LN(2)/25)*Calculateur!GH194*Calculateur!GJ194*VLOOKUP('Données projet'!$B$17,Paramètres!$A$1:$I$89,3,0)*0.475*44/12</f>
        <v>0</v>
      </c>
      <c r="GN194" s="23">
        <f>EXP(-LN(2)/2)*GN193+(1-EXP(-LN(2)/2))/(LN(2)/2)*GH194*GK194*VLOOKUP('Données projet'!$B$17,Paramètres!$A$1:$I$89,3,0)*0.475*44/12</f>
        <v>0</v>
      </c>
      <c r="GO194" s="23">
        <f t="shared" si="187"/>
        <v>0</v>
      </c>
      <c r="GP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-1.1368683772161603E-13</v>
      </c>
      <c r="GV194" s="18">
        <f>GU194*VLOOKUP('Données projet'!$B$18,Paramètres!$A$1:$I$89,3,0)*VLOOKUP('Données projet'!$B$18,Paramètres!$A$1:$I$89,5,0)</f>
        <v>-9.2222762759774927E-14</v>
      </c>
      <c r="GW194" s="14" t="e">
        <f t="shared" si="188"/>
        <v>#NUM!</v>
      </c>
      <c r="GX194" s="22" t="e">
        <f t="shared" si="189"/>
        <v>#NUM!</v>
      </c>
      <c r="GY194" s="60" t="e">
        <f t="shared" si="137"/>
        <v>#NUM!</v>
      </c>
      <c r="GZ194" s="60">
        <f ca="1">AVERAGE(OFFSET($GY$3,0,0,'Données projet'!$E$18+1,1))-AVERAGE(OFFSET($H$3,0,0,'Données projet'!$E$18+1,1))</f>
        <v>272.69564942740931</v>
      </c>
      <c r="HA194" s="60">
        <f t="shared" si="160"/>
        <v>316.57989180609252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>
        <f>EXP(-LN(2)/35)*HG193+(1-EXP(-LN(2)/35))/(LN(2)/35)*HC194*HD194*VLOOKUP('Données projet'!$B$18,Paramètres!$A$1:$I$89,3,0)*0.475*44/12</f>
        <v>0</v>
      </c>
      <c r="HH194" s="23">
        <f>EXP(-LN(2)/25)*HH193+(1-EXP(-LN(2)/25))/(LN(2)/25)*Calculateur!HC194*Calculateur!HE194*VLOOKUP('Données projet'!$B$18,Paramètres!$A$1:$I$89,3,0)*0.475*44/12</f>
        <v>0</v>
      </c>
      <c r="HI194" s="23">
        <f>EXP(-LN(2)/2)*HI193+(1-EXP(-LN(2)/2))/(LN(2)/2)*HC194*HF194*VLOOKUP('Données projet'!$B$18,Paramètres!$A$1:$I$89,3,0)*0.475*44/12</f>
        <v>0</v>
      </c>
      <c r="HJ194" s="24">
        <f t="shared" si="190"/>
        <v>0</v>
      </c>
    </row>
    <row r="195" spans="1:218" x14ac:dyDescent="0.25">
      <c r="A195" s="11">
        <f t="shared" si="161"/>
        <v>192</v>
      </c>
      <c r="B195" s="75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8">
        <f t="shared" si="110"/>
        <v>183.33333333333334</v>
      </c>
      <c r="I195" s="7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-1.1368683772161603E-13</v>
      </c>
      <c r="O195" s="14">
        <f>N195*VLOOKUP('Données projet'!$B$9,Paramètres!$A$1:$I$89,3,0)*VLOOKUP('Données projet'!$B$9,Paramètres!$A$1:$I$89,5,0)</f>
        <v>-1.0286385077051818E-13</v>
      </c>
      <c r="P195" s="14" t="e">
        <f t="shared" si="141"/>
        <v>#NUM!</v>
      </c>
      <c r="Q195" s="22" t="e">
        <f t="shared" si="162"/>
        <v>#NUM!</v>
      </c>
      <c r="R195" s="60" t="e">
        <f t="shared" ref="R195:R203" si="191">Q195+(I195+J195)*44/12</f>
        <v>#NUM!</v>
      </c>
      <c r="S195" s="60">
        <f ca="1">AVERAGE(OFFSET($R$3,0,0,'Données projet'!$E$9+1,1))-AVERAGE(OFFSET($H$3,0,0,'Données projet'!$E$9+1,1))</f>
        <v>570.08763950759544</v>
      </c>
      <c r="T195" s="60">
        <f t="shared" si="142"/>
        <v>297.32483725004136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-5.6843418860808015E-14</v>
      </c>
      <c r="AJ195" s="14">
        <f>AI195*VLOOKUP('Données projet'!$B$10,Paramètres!$A$1:$I$89,3,0)*VLOOKUP('Données projet'!$B$10,Paramètres!$A$1:$I$89,5,0)</f>
        <v>-4.5224624045658861E-14</v>
      </c>
      <c r="AK195" s="14" t="e">
        <f t="shared" si="164"/>
        <v>#NUM!</v>
      </c>
      <c r="AL195" s="22" t="e">
        <f t="shared" si="165"/>
        <v>#NUM!</v>
      </c>
      <c r="AM195" s="60" t="e">
        <f t="shared" si="113"/>
        <v>#NUM!</v>
      </c>
      <c r="AN195" s="60">
        <f ca="1">AVERAGE(OFFSET($AM$3,0,0,'Données projet'!$E$10+1,1))-AVERAGE(OFFSET($H$3,0,0,'Données projet'!$E$10+1,1))</f>
        <v>394.49874384716014</v>
      </c>
      <c r="AO195" s="60">
        <f t="shared" si="144"/>
        <v>423.72519584013378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3.4106051316484809E-13</v>
      </c>
      <c r="BE195" s="14">
        <f>BD195*VLOOKUP('Données projet'!$B$11,Paramètres!$A$1:$I$89,3,0)*VLOOKUP('Données projet'!$B$11,Paramètres!$A$1:$I$89,5,0)</f>
        <v>2.9795046430081134E-13</v>
      </c>
      <c r="BF195" s="14">
        <f t="shared" si="167"/>
        <v>3.9419014464513778E-12</v>
      </c>
      <c r="BG195" s="22">
        <f t="shared" si="168"/>
        <v>7.384408744560063E-12</v>
      </c>
      <c r="BH195" s="60">
        <f t="shared" si="116"/>
        <v>290.14926793007305</v>
      </c>
      <c r="BI195" s="60">
        <f ca="1">AVERAGE(OFFSET($BH$3,0,0,'Données projet'!$E$11+1,1))-AVERAGE(OFFSET($H$3,0,0,'Données projet'!$E$11+1,1))</f>
        <v>363.28611056308665</v>
      </c>
      <c r="BJ195" s="60">
        <f t="shared" si="146"/>
        <v>389.43647559455974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5.6843418860808015E-14</v>
      </c>
      <c r="BZ195" s="14">
        <f>BY195*VLOOKUP('Données projet'!$B$12,Paramètres!$A$1:$I$89,3,0)*VLOOKUP('Données projet'!$B$12,Paramètres!$A$1:$I$89,5,0)</f>
        <v>5.4092197387944907E-14</v>
      </c>
      <c r="CA195" s="14">
        <f t="shared" si="170"/>
        <v>8.7287050538073676E-13</v>
      </c>
      <c r="CB195" s="22">
        <f t="shared" si="171"/>
        <v>1.6144600406554537E-12</v>
      </c>
      <c r="CC195" s="60">
        <f t="shared" si="119"/>
        <v>290.14926793006725</v>
      </c>
      <c r="CD195" s="60">
        <f ca="1">AVERAGE(OFFSET($CC$3,0,0,'Données projet'!$E$12+1,1))-AVERAGE(OFFSET($H$3,0,0,'Données projet'!$E$12+1,1))</f>
        <v>441.15969139782891</v>
      </c>
      <c r="CE195" s="60">
        <f t="shared" si="148"/>
        <v>315.06466790224783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-5.6843418860808015E-14</v>
      </c>
      <c r="CU195" s="18">
        <f>CT195*VLOOKUP('Données projet'!$B$13,Paramètres!$A$1:$I$89,3,0)*VLOOKUP('Données projet'!$B$13,Paramètres!$A$1:$I$89,5,0)</f>
        <v>-4.1677594708744434E-14</v>
      </c>
      <c r="CV195" s="14" t="e">
        <f t="shared" si="173"/>
        <v>#NUM!</v>
      </c>
      <c r="CW195" s="22" t="e">
        <f t="shared" si="174"/>
        <v>#NUM!</v>
      </c>
      <c r="CX195" s="60" t="e">
        <f t="shared" si="122"/>
        <v>#NUM!</v>
      </c>
      <c r="CY195" s="60">
        <f ca="1">AVERAGE(OFFSET($CX$3,0,0,'Données projet'!$E$13+1,1))-AVERAGE(OFFSET($H$3,0,0,'Données projet'!$E$13+1,1))</f>
        <v>368.35775920359396</v>
      </c>
      <c r="CZ195" s="60">
        <f t="shared" si="150"/>
        <v>395.5218438652638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1.1368683772161603E-13</v>
      </c>
      <c r="DP195" s="18">
        <f>DO195*VLOOKUP('Données projet'!$B$14,Paramètres!$A$1:$I$89,3,0)*VLOOKUP('Données projet'!$B$14,Paramètres!$A$1:$I$89,5,0)</f>
        <v>8.8675733422860506E-14</v>
      </c>
      <c r="DQ195" s="14">
        <f t="shared" si="176"/>
        <v>1.3509285393066301E-12</v>
      </c>
      <c r="DR195" s="22">
        <f t="shared" si="177"/>
        <v>2.5073107750038623E-12</v>
      </c>
      <c r="DS195" s="60">
        <f t="shared" si="125"/>
        <v>290.14926793006816</v>
      </c>
      <c r="DT195" s="60">
        <f ca="1">AVERAGE(OFFSET($DS$3,0,0,'Données projet'!$E$14+1,1))-AVERAGE(OFFSET($H$3,0,0,'Données projet'!$E$14+1,1))</f>
        <v>312.59632808777332</v>
      </c>
      <c r="DU195" s="60">
        <f t="shared" si="152"/>
        <v>302.59481222418219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0</v>
      </c>
      <c r="EE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-1.1368683772161603E-13</v>
      </c>
      <c r="EK195" s="18">
        <f>EJ195*VLOOKUP('Données projet'!$B$15,Paramètres!$A$1:$I$89,3,0)*VLOOKUP('Données projet'!$B$15,Paramètres!$A$1:$I$89,5,0)</f>
        <v>-9.7543306765146564E-14</v>
      </c>
      <c r="EL195" s="14" t="e">
        <f t="shared" si="179"/>
        <v>#NUM!</v>
      </c>
      <c r="EM195" s="22" t="e">
        <f t="shared" si="180"/>
        <v>#NUM!</v>
      </c>
      <c r="EN195" s="60" t="e">
        <f t="shared" si="128"/>
        <v>#NUM!</v>
      </c>
      <c r="EO195" s="60">
        <f ca="1">AVERAGE(OFFSET($EN$3,0,0,'Données projet'!$E$15+1,1))-AVERAGE(OFFSET($H$3,0,0,'Données projet'!$E$15+1,1))</f>
        <v>478.11504516179713</v>
      </c>
      <c r="EP195" s="60">
        <f t="shared" si="154"/>
        <v>249.93713224442419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0</v>
      </c>
      <c r="EW195" s="23">
        <f>EXP(-LN(2)/25)*EW194+(1-EXP(-LN(2)/25))/(LN(2)/25)*Calculateur!ER195*Calculateur!ET195*VLOOKUP('Données projet'!$B$15,Paramètres!$A$1:$I$89,3,0)*0.475*44/12</f>
        <v>0</v>
      </c>
      <c r="EX195" s="23">
        <f>EXP(-LN(2)/2)*EX194+(1-EXP(-LN(2)/2))/(LN(2)/2)*ER195*EU195*VLOOKUP('Données projet'!$B$15,Paramètres!$A$1:$I$89,3,0)*0.475*44/12</f>
        <v>0</v>
      </c>
      <c r="EY195" s="24">
        <f t="shared" si="181"/>
        <v>0</v>
      </c>
      <c r="EZ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-1.1368683772161603E-13</v>
      </c>
      <c r="FF195" s="18">
        <f>FE195*VLOOKUP('Données projet'!$B$16,Paramètres!$A$1:$I$89,3,0)*VLOOKUP('Données projet'!$B$16,Paramètres!$A$1:$I$89,5,0)</f>
        <v>-1.0995790944434703E-13</v>
      </c>
      <c r="FG195" s="14" t="e">
        <f t="shared" si="182"/>
        <v>#NUM!</v>
      </c>
      <c r="FH195" s="22" t="e">
        <f t="shared" si="183"/>
        <v>#NUM!</v>
      </c>
      <c r="FI195" s="60" t="e">
        <f t="shared" si="131"/>
        <v>#NUM!</v>
      </c>
      <c r="FJ195" s="60">
        <f ca="1">AVERAGE(OFFSET($FI$3,0,0,'Données projet'!$E$16+1,1))-AVERAGE(OFFSET($H$3,0,0,'Données projet'!$E$16+1,1))</f>
        <v>603.52431522262032</v>
      </c>
      <c r="FK195" s="60">
        <f t="shared" si="156"/>
        <v>313.56299786481338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>
        <f>EXP(-LN(2)/35)*FQ194+(1-EXP(-LN(2)/35))/(LN(2)/35)*FM195*FN195*VLOOKUP('Données projet'!$B$16,Paramètres!$A$1:$I$89,3,0)*0.475*44/12</f>
        <v>0</v>
      </c>
      <c r="FR195" s="23">
        <f>EXP(-LN(2)/25)*FR194+(1-EXP(-LN(2)/25))/(LN(2)/25)*Calculateur!FM195*Calculateur!FO195*VLOOKUP('Données projet'!$B$16,Paramètres!$A$1:$I$89,3,0)*0.475*44/12</f>
        <v>0</v>
      </c>
      <c r="FS195" s="23">
        <f>EXP(-LN(2)/2)*FS194+(1-EXP(-LN(2)/2))/(LN(2)/2)*FM195*FP195*VLOOKUP('Données projet'!$B$16,Paramètres!$A$1:$I$89,3,0)*0.475*44/12</f>
        <v>0</v>
      </c>
      <c r="FT195" s="24">
        <f t="shared" si="184"/>
        <v>0</v>
      </c>
      <c r="FU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>
        <f>FZ195*VLOOKUP('Données projet'!$B$17,Paramètres!$A$1:$I$89,3,0)*VLOOKUP('Données projet'!$B$17,Paramètres!$A$1:$I$89,5,0)</f>
        <v>0</v>
      </c>
      <c r="GB195" s="14" t="e">
        <f t="shared" si="185"/>
        <v>#NUM!</v>
      </c>
      <c r="GC195" s="22" t="e">
        <f t="shared" si="186"/>
        <v>#NUM!</v>
      </c>
      <c r="GD195" s="60" t="e">
        <f t="shared" si="134"/>
        <v>#NUM!</v>
      </c>
      <c r="GE195" s="60">
        <f ca="1">AVERAGE(OFFSET($GD$3,0,0,'Données projet'!$E$17+1,1))-AVERAGE(OFFSET($H$3,0,0,'Données projet'!$E$17+1,1))</f>
        <v>396.0878652679051</v>
      </c>
      <c r="GF195" s="60">
        <f t="shared" si="158"/>
        <v>327.26339199235406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>
        <f>EXP(-LN(2)/35)*GL194+(1-EXP(-LN(2)/35))/(LN(2)/35)*GH195*GI195*VLOOKUP('Données projet'!$B$17,Paramètres!$A$1:$I$89,3,0)*0.475*44/12</f>
        <v>0</v>
      </c>
      <c r="GM195" s="23">
        <f>EXP(-LN(2)/25)*GM194+(1-EXP(-LN(2)/25))/(LN(2)/25)*Calculateur!GH195*Calculateur!GJ195*VLOOKUP('Données projet'!$B$17,Paramètres!$A$1:$I$89,3,0)*0.475*44/12</f>
        <v>0</v>
      </c>
      <c r="GN195" s="23">
        <f>EXP(-LN(2)/2)*GN194+(1-EXP(-LN(2)/2))/(LN(2)/2)*GH195*GK195*VLOOKUP('Données projet'!$B$17,Paramètres!$A$1:$I$89,3,0)*0.475*44/12</f>
        <v>0</v>
      </c>
      <c r="GO195" s="23">
        <f t="shared" si="187"/>
        <v>0</v>
      </c>
      <c r="GP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-1.1368683772161603E-13</v>
      </c>
      <c r="GV195" s="18">
        <f>GU195*VLOOKUP('Données projet'!$B$18,Paramètres!$A$1:$I$89,3,0)*VLOOKUP('Données projet'!$B$18,Paramètres!$A$1:$I$89,5,0)</f>
        <v>-9.2222762759774927E-14</v>
      </c>
      <c r="GW195" s="14" t="e">
        <f t="shared" si="188"/>
        <v>#NUM!</v>
      </c>
      <c r="GX195" s="22" t="e">
        <f t="shared" si="189"/>
        <v>#NUM!</v>
      </c>
      <c r="GY195" s="60" t="e">
        <f t="shared" si="137"/>
        <v>#NUM!</v>
      </c>
      <c r="GZ195" s="60">
        <f ca="1">AVERAGE(OFFSET($GY$3,0,0,'Données projet'!$E$18+1,1))-AVERAGE(OFFSET($H$3,0,0,'Données projet'!$E$18+1,1))</f>
        <v>272.69564942740931</v>
      </c>
      <c r="HA195" s="60">
        <f t="shared" si="160"/>
        <v>316.57989180609252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>
        <f>EXP(-LN(2)/35)*HG194+(1-EXP(-LN(2)/35))/(LN(2)/35)*HC195*HD195*VLOOKUP('Données projet'!$B$18,Paramètres!$A$1:$I$89,3,0)*0.475*44/12</f>
        <v>0</v>
      </c>
      <c r="HH195" s="23">
        <f>EXP(-LN(2)/25)*HH194+(1-EXP(-LN(2)/25))/(LN(2)/25)*Calculateur!HC195*Calculateur!HE195*VLOOKUP('Données projet'!$B$18,Paramètres!$A$1:$I$89,3,0)*0.475*44/12</f>
        <v>0</v>
      </c>
      <c r="HI195" s="23">
        <f>EXP(-LN(2)/2)*HI194+(1-EXP(-LN(2)/2))/(LN(2)/2)*HC195*HF195*VLOOKUP('Données projet'!$B$18,Paramètres!$A$1:$I$89,3,0)*0.475*44/12</f>
        <v>0</v>
      </c>
      <c r="HJ195" s="24">
        <f t="shared" si="190"/>
        <v>0</v>
      </c>
    </row>
    <row r="196" spans="1:218" x14ac:dyDescent="0.25">
      <c r="A196" s="11">
        <f t="shared" si="161"/>
        <v>193</v>
      </c>
      <c r="B196" s="75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8">
        <f t="shared" ref="H196:H203" si="192">(B196+E196+F196)*44/12+(C196+D196)*0.475*44/12</f>
        <v>183.33333333333334</v>
      </c>
      <c r="I196" s="7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-1.1368683772161603E-13</v>
      </c>
      <c r="O196" s="14">
        <f>N196*VLOOKUP('Données projet'!$B$9,Paramètres!$A$1:$I$89,3,0)*VLOOKUP('Données projet'!$B$9,Paramètres!$A$1:$I$89,5,0)</f>
        <v>-1.0286385077051818E-13</v>
      </c>
      <c r="P196" s="14" t="e">
        <f t="shared" si="141"/>
        <v>#NUM!</v>
      </c>
      <c r="Q196" s="22" t="e">
        <f t="shared" si="162"/>
        <v>#NUM!</v>
      </c>
      <c r="R196" s="60" t="e">
        <f t="shared" si="191"/>
        <v>#NUM!</v>
      </c>
      <c r="S196" s="60">
        <f ca="1">AVERAGE(OFFSET($R$3,0,0,'Données projet'!$E$9+1,1))-AVERAGE(OFFSET($H$3,0,0,'Données projet'!$E$9+1,1))</f>
        <v>570.08763950759544</v>
      </c>
      <c r="T196" s="60">
        <f t="shared" si="142"/>
        <v>297.32483725004136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-5.6843418860808015E-14</v>
      </c>
      <c r="AJ196" s="14">
        <f>AI196*VLOOKUP('Données projet'!$B$10,Paramètres!$A$1:$I$89,3,0)*VLOOKUP('Données projet'!$B$10,Paramètres!$A$1:$I$89,5,0)</f>
        <v>-4.5224624045658861E-14</v>
      </c>
      <c r="AK196" s="14" t="e">
        <f t="shared" si="164"/>
        <v>#NUM!</v>
      </c>
      <c r="AL196" s="22" t="e">
        <f t="shared" si="165"/>
        <v>#NUM!</v>
      </c>
      <c r="AM196" s="60" t="e">
        <f t="shared" ref="AM196:AM203" si="193">AL196+(AD196+AE196)*44/12</f>
        <v>#NUM!</v>
      </c>
      <c r="AN196" s="60">
        <f ca="1">AVERAGE(OFFSET($AM$3,0,0,'Données projet'!$E$10+1,1))-AVERAGE(OFFSET($H$3,0,0,'Données projet'!$E$10+1,1))</f>
        <v>394.49874384716014</v>
      </c>
      <c r="AO196" s="60">
        <f t="shared" si="144"/>
        <v>423.72519584013378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3.4106051316484809E-13</v>
      </c>
      <c r="BE196" s="14">
        <f>BD196*VLOOKUP('Données projet'!$B$11,Paramètres!$A$1:$I$89,3,0)*VLOOKUP('Données projet'!$B$11,Paramètres!$A$1:$I$89,5,0)</f>
        <v>2.9795046430081134E-13</v>
      </c>
      <c r="BF196" s="14">
        <f t="shared" si="167"/>
        <v>3.9419014464513778E-12</v>
      </c>
      <c r="BG196" s="22">
        <f t="shared" si="168"/>
        <v>7.384408744560063E-12</v>
      </c>
      <c r="BH196" s="60">
        <f t="shared" ref="BH196:BH203" si="194">BG196+(AY196+AZ196)*44/12</f>
        <v>290.2045043463159</v>
      </c>
      <c r="BI196" s="60">
        <f ca="1">AVERAGE(OFFSET($BH$3,0,0,'Données projet'!$E$11+1,1))-AVERAGE(OFFSET($H$3,0,0,'Données projet'!$E$11+1,1))</f>
        <v>363.28611056308665</v>
      </c>
      <c r="BJ196" s="60">
        <f t="shared" si="146"/>
        <v>389.43647559455974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5.6843418860808015E-14</v>
      </c>
      <c r="BZ196" s="14">
        <f>BY196*VLOOKUP('Données projet'!$B$12,Paramètres!$A$1:$I$89,3,0)*VLOOKUP('Données projet'!$B$12,Paramètres!$A$1:$I$89,5,0)</f>
        <v>5.4092197387944907E-14</v>
      </c>
      <c r="CA196" s="14">
        <f t="shared" si="170"/>
        <v>8.7287050538073676E-13</v>
      </c>
      <c r="CB196" s="22">
        <f t="shared" si="171"/>
        <v>1.6144600406554537E-12</v>
      </c>
      <c r="CC196" s="60">
        <f t="shared" ref="CC196:CC203" si="195">CB196+(BT196+BU196)*44/12</f>
        <v>290.2045043463101</v>
      </c>
      <c r="CD196" s="60">
        <f ca="1">AVERAGE(OFFSET($CC$3,0,0,'Données projet'!$E$12+1,1))-AVERAGE(OFFSET($H$3,0,0,'Données projet'!$E$12+1,1))</f>
        <v>441.15969139782891</v>
      </c>
      <c r="CE196" s="60">
        <f t="shared" si="148"/>
        <v>315.06466790224783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-5.6843418860808015E-14</v>
      </c>
      <c r="CU196" s="18">
        <f>CT196*VLOOKUP('Données projet'!$B$13,Paramètres!$A$1:$I$89,3,0)*VLOOKUP('Données projet'!$B$13,Paramètres!$A$1:$I$89,5,0)</f>
        <v>-4.1677594708744434E-14</v>
      </c>
      <c r="CV196" s="14" t="e">
        <f t="shared" si="173"/>
        <v>#NUM!</v>
      </c>
      <c r="CW196" s="22" t="e">
        <f t="shared" si="174"/>
        <v>#NUM!</v>
      </c>
      <c r="CX196" s="60" t="e">
        <f t="shared" ref="CX196:CX203" si="196">CW196+(CO196+CP196)*44/12</f>
        <v>#NUM!</v>
      </c>
      <c r="CY196" s="60">
        <f ca="1">AVERAGE(OFFSET($CX$3,0,0,'Données projet'!$E$13+1,1))-AVERAGE(OFFSET($H$3,0,0,'Données projet'!$E$13+1,1))</f>
        <v>368.35775920359396</v>
      </c>
      <c r="CZ196" s="60">
        <f t="shared" si="150"/>
        <v>395.5218438652638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1.1368683772161603E-13</v>
      </c>
      <c r="DP196" s="18">
        <f>DO196*VLOOKUP('Données projet'!$B$14,Paramètres!$A$1:$I$89,3,0)*VLOOKUP('Données projet'!$B$14,Paramètres!$A$1:$I$89,5,0)</f>
        <v>8.8675733422860506E-14</v>
      </c>
      <c r="DQ196" s="14">
        <f t="shared" si="176"/>
        <v>1.3509285393066301E-12</v>
      </c>
      <c r="DR196" s="22">
        <f t="shared" si="177"/>
        <v>2.5073107750038623E-12</v>
      </c>
      <c r="DS196" s="60">
        <f t="shared" ref="DS196:DS203" si="197">DR196+(DJ196+DK196)*44/12</f>
        <v>290.20450434631101</v>
      </c>
      <c r="DT196" s="60">
        <f ca="1">AVERAGE(OFFSET($DS$3,0,0,'Données projet'!$E$14+1,1))-AVERAGE(OFFSET($H$3,0,0,'Données projet'!$E$14+1,1))</f>
        <v>312.59632808777332</v>
      </c>
      <c r="DU196" s="60">
        <f t="shared" si="152"/>
        <v>302.59481222418219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0</v>
      </c>
      <c r="EE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-1.1368683772161603E-13</v>
      </c>
      <c r="EK196" s="18">
        <f>EJ196*VLOOKUP('Données projet'!$B$15,Paramètres!$A$1:$I$89,3,0)*VLOOKUP('Données projet'!$B$15,Paramètres!$A$1:$I$89,5,0)</f>
        <v>-9.7543306765146564E-14</v>
      </c>
      <c r="EL196" s="14" t="e">
        <f t="shared" si="179"/>
        <v>#NUM!</v>
      </c>
      <c r="EM196" s="22" t="e">
        <f t="shared" si="180"/>
        <v>#NUM!</v>
      </c>
      <c r="EN196" s="60" t="e">
        <f t="shared" ref="EN196:EN203" si="198">EM196+(EE196+EF196)*44/12</f>
        <v>#NUM!</v>
      </c>
      <c r="EO196" s="60">
        <f ca="1">AVERAGE(OFFSET($EN$3,0,0,'Données projet'!$E$15+1,1))-AVERAGE(OFFSET($H$3,0,0,'Données projet'!$E$15+1,1))</f>
        <v>478.11504516179713</v>
      </c>
      <c r="EP196" s="60">
        <f t="shared" si="154"/>
        <v>249.93713224442419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0</v>
      </c>
      <c r="EW196" s="23">
        <f>EXP(-LN(2)/25)*EW195+(1-EXP(-LN(2)/25))/(LN(2)/25)*Calculateur!ER196*Calculateur!ET196*VLOOKUP('Données projet'!$B$15,Paramètres!$A$1:$I$89,3,0)*0.475*44/12</f>
        <v>0</v>
      </c>
      <c r="EX196" s="23">
        <f>EXP(-LN(2)/2)*EX195+(1-EXP(-LN(2)/2))/(LN(2)/2)*ER196*EU196*VLOOKUP('Données projet'!$B$15,Paramètres!$A$1:$I$89,3,0)*0.475*44/12</f>
        <v>0</v>
      </c>
      <c r="EY196" s="24">
        <f t="shared" si="181"/>
        <v>0</v>
      </c>
      <c r="EZ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-1.1368683772161603E-13</v>
      </c>
      <c r="FF196" s="18">
        <f>FE196*VLOOKUP('Données projet'!$B$16,Paramètres!$A$1:$I$89,3,0)*VLOOKUP('Données projet'!$B$16,Paramètres!$A$1:$I$89,5,0)</f>
        <v>-1.0995790944434703E-13</v>
      </c>
      <c r="FG196" s="14" t="e">
        <f t="shared" si="182"/>
        <v>#NUM!</v>
      </c>
      <c r="FH196" s="22" t="e">
        <f t="shared" si="183"/>
        <v>#NUM!</v>
      </c>
      <c r="FI196" s="60" t="e">
        <f t="shared" ref="FI196:FI203" si="199">FH196+(EZ196+FA196)*44/12</f>
        <v>#NUM!</v>
      </c>
      <c r="FJ196" s="60">
        <f ca="1">AVERAGE(OFFSET($FI$3,0,0,'Données projet'!$E$16+1,1))-AVERAGE(OFFSET($H$3,0,0,'Données projet'!$E$16+1,1))</f>
        <v>603.52431522262032</v>
      </c>
      <c r="FK196" s="60">
        <f t="shared" si="156"/>
        <v>313.56299786481338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>
        <f>EXP(-LN(2)/35)*FQ195+(1-EXP(-LN(2)/35))/(LN(2)/35)*FM196*FN196*VLOOKUP('Données projet'!$B$16,Paramètres!$A$1:$I$89,3,0)*0.475*44/12</f>
        <v>0</v>
      </c>
      <c r="FR196" s="23">
        <f>EXP(-LN(2)/25)*FR195+(1-EXP(-LN(2)/25))/(LN(2)/25)*Calculateur!FM196*Calculateur!FO196*VLOOKUP('Données projet'!$B$16,Paramètres!$A$1:$I$89,3,0)*0.475*44/12</f>
        <v>0</v>
      </c>
      <c r="FS196" s="23">
        <f>EXP(-LN(2)/2)*FS195+(1-EXP(-LN(2)/2))/(LN(2)/2)*FM196*FP196*VLOOKUP('Données projet'!$B$16,Paramètres!$A$1:$I$89,3,0)*0.475*44/12</f>
        <v>0</v>
      </c>
      <c r="FT196" s="24">
        <f t="shared" si="184"/>
        <v>0</v>
      </c>
      <c r="FU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>
        <f>FZ196*VLOOKUP('Données projet'!$B$17,Paramètres!$A$1:$I$89,3,0)*VLOOKUP('Données projet'!$B$17,Paramètres!$A$1:$I$89,5,0)</f>
        <v>0</v>
      </c>
      <c r="GB196" s="14" t="e">
        <f t="shared" si="185"/>
        <v>#NUM!</v>
      </c>
      <c r="GC196" s="22" t="e">
        <f t="shared" si="186"/>
        <v>#NUM!</v>
      </c>
      <c r="GD196" s="60" t="e">
        <f t="shared" ref="GD196:GD203" si="200">GC196+(FU196+FV196)*44/12</f>
        <v>#NUM!</v>
      </c>
      <c r="GE196" s="60">
        <f ca="1">AVERAGE(OFFSET($GD$3,0,0,'Données projet'!$E$17+1,1))-AVERAGE(OFFSET($H$3,0,0,'Données projet'!$E$17+1,1))</f>
        <v>396.0878652679051</v>
      </c>
      <c r="GF196" s="60">
        <f t="shared" si="158"/>
        <v>327.26339199235406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>
        <f>EXP(-LN(2)/35)*GL195+(1-EXP(-LN(2)/35))/(LN(2)/35)*GH196*GI196*VLOOKUP('Données projet'!$B$17,Paramètres!$A$1:$I$89,3,0)*0.475*44/12</f>
        <v>0</v>
      </c>
      <c r="GM196" s="23">
        <f>EXP(-LN(2)/25)*GM195+(1-EXP(-LN(2)/25))/(LN(2)/25)*Calculateur!GH196*Calculateur!GJ196*VLOOKUP('Données projet'!$B$17,Paramètres!$A$1:$I$89,3,0)*0.475*44/12</f>
        <v>0</v>
      </c>
      <c r="GN196" s="23">
        <f>EXP(-LN(2)/2)*GN195+(1-EXP(-LN(2)/2))/(LN(2)/2)*GH196*GK196*VLOOKUP('Données projet'!$B$17,Paramètres!$A$1:$I$89,3,0)*0.475*44/12</f>
        <v>0</v>
      </c>
      <c r="GO196" s="23">
        <f t="shared" si="187"/>
        <v>0</v>
      </c>
      <c r="GP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-1.1368683772161603E-13</v>
      </c>
      <c r="GV196" s="18">
        <f>GU196*VLOOKUP('Données projet'!$B$18,Paramètres!$A$1:$I$89,3,0)*VLOOKUP('Données projet'!$B$18,Paramètres!$A$1:$I$89,5,0)</f>
        <v>-9.2222762759774927E-14</v>
      </c>
      <c r="GW196" s="14" t="e">
        <f t="shared" si="188"/>
        <v>#NUM!</v>
      </c>
      <c r="GX196" s="22" t="e">
        <f t="shared" si="189"/>
        <v>#NUM!</v>
      </c>
      <c r="GY196" s="60" t="e">
        <f t="shared" ref="GY196:GY203" si="201">GX196+(GP196+GQ196)*44/12</f>
        <v>#NUM!</v>
      </c>
      <c r="GZ196" s="60">
        <f ca="1">AVERAGE(OFFSET($GY$3,0,0,'Données projet'!$E$18+1,1))-AVERAGE(OFFSET($H$3,0,0,'Données projet'!$E$18+1,1))</f>
        <v>272.69564942740931</v>
      </c>
      <c r="HA196" s="60">
        <f t="shared" si="160"/>
        <v>316.57989180609252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>
        <f>EXP(-LN(2)/35)*HG195+(1-EXP(-LN(2)/35))/(LN(2)/35)*HC196*HD196*VLOOKUP('Données projet'!$B$18,Paramètres!$A$1:$I$89,3,0)*0.475*44/12</f>
        <v>0</v>
      </c>
      <c r="HH196" s="23">
        <f>EXP(-LN(2)/25)*HH195+(1-EXP(-LN(2)/25))/(LN(2)/25)*Calculateur!HC196*Calculateur!HE196*VLOOKUP('Données projet'!$B$18,Paramètres!$A$1:$I$89,3,0)*0.475*44/12</f>
        <v>0</v>
      </c>
      <c r="HI196" s="23">
        <f>EXP(-LN(2)/2)*HI195+(1-EXP(-LN(2)/2))/(LN(2)/2)*HC196*HF196*VLOOKUP('Données projet'!$B$18,Paramètres!$A$1:$I$89,3,0)*0.475*44/12</f>
        <v>0</v>
      </c>
      <c r="HJ196" s="24">
        <f t="shared" si="190"/>
        <v>0</v>
      </c>
    </row>
    <row r="197" spans="1:218" x14ac:dyDescent="0.25">
      <c r="A197" s="11">
        <f t="shared" si="161"/>
        <v>194</v>
      </c>
      <c r="B197" s="75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8">
        <f t="shared" si="192"/>
        <v>183.33333333333334</v>
      </c>
      <c r="I197" s="7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-1.1368683772161603E-13</v>
      </c>
      <c r="O197" s="14">
        <f>N197*VLOOKUP('Données projet'!$B$9,Paramètres!$A$1:$I$89,3,0)*VLOOKUP('Données projet'!$B$9,Paramètres!$A$1:$I$89,5,0)</f>
        <v>-1.0286385077051818E-13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0" t="e">
        <f t="shared" si="191"/>
        <v>#NUM!</v>
      </c>
      <c r="S197" s="60">
        <f ca="1">AVERAGE(OFFSET($R$3,0,0,'Données projet'!$E$9+1,1))-AVERAGE(OFFSET($H$3,0,0,'Données projet'!$E$9+1,1))</f>
        <v>570.08763950759544</v>
      </c>
      <c r="T197" s="60">
        <f t="shared" ref="T197:T203" si="204">$T$3</f>
        <v>297.32483725004136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-5.6843418860808015E-14</v>
      </c>
      <c r="AJ197" s="14">
        <f>AI197*VLOOKUP('Données projet'!$B$10,Paramètres!$A$1:$I$89,3,0)*VLOOKUP('Données projet'!$B$10,Paramètres!$A$1:$I$89,5,0)</f>
        <v>-4.5224624045658861E-14</v>
      </c>
      <c r="AK197" s="14" t="e">
        <f t="shared" si="164"/>
        <v>#NUM!</v>
      </c>
      <c r="AL197" s="22" t="e">
        <f t="shared" si="165"/>
        <v>#NUM!</v>
      </c>
      <c r="AM197" s="60" t="e">
        <f t="shared" si="193"/>
        <v>#NUM!</v>
      </c>
      <c r="AN197" s="60">
        <f ca="1">AVERAGE(OFFSET($AM$3,0,0,'Données projet'!$E$10+1,1))-AVERAGE(OFFSET($H$3,0,0,'Données projet'!$E$10+1,1))</f>
        <v>394.49874384716014</v>
      </c>
      <c r="AO197" s="60">
        <f t="shared" ref="AO197:AO203" si="205">$AO$3</f>
        <v>423.72519584013378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3.4106051316484809E-13</v>
      </c>
      <c r="BE197" s="14">
        <f>BD197*VLOOKUP('Données projet'!$B$11,Paramètres!$A$1:$I$89,3,0)*VLOOKUP('Données projet'!$B$11,Paramètres!$A$1:$I$89,5,0)</f>
        <v>2.9795046430081134E-13</v>
      </c>
      <c r="BF197" s="14">
        <f t="shared" si="167"/>
        <v>3.9419014464513778E-12</v>
      </c>
      <c r="BG197" s="22">
        <f t="shared" si="168"/>
        <v>7.384408744560063E-12</v>
      </c>
      <c r="BH197" s="60">
        <f t="shared" si="194"/>
        <v>290.25878253422712</v>
      </c>
      <c r="BI197" s="60">
        <f ca="1">AVERAGE(OFFSET($BH$3,0,0,'Données projet'!$E$11+1,1))-AVERAGE(OFFSET($H$3,0,0,'Données projet'!$E$11+1,1))</f>
        <v>363.28611056308665</v>
      </c>
      <c r="BJ197" s="60">
        <f t="shared" ref="BJ197:BJ203" si="206">$BJ$3</f>
        <v>389.43647559455974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5.6843418860808015E-14</v>
      </c>
      <c r="BZ197" s="14">
        <f>BY197*VLOOKUP('Données projet'!$B$12,Paramètres!$A$1:$I$89,3,0)*VLOOKUP('Données projet'!$B$12,Paramètres!$A$1:$I$89,5,0)</f>
        <v>5.4092197387944907E-14</v>
      </c>
      <c r="CA197" s="14">
        <f t="shared" si="170"/>
        <v>8.7287050538073676E-13</v>
      </c>
      <c r="CB197" s="22">
        <f t="shared" si="171"/>
        <v>1.6144600406554537E-12</v>
      </c>
      <c r="CC197" s="60">
        <f t="shared" si="195"/>
        <v>290.25878253422133</v>
      </c>
      <c r="CD197" s="60">
        <f ca="1">AVERAGE(OFFSET($CC$3,0,0,'Données projet'!$E$12+1,1))-AVERAGE(OFFSET($H$3,0,0,'Données projet'!$E$12+1,1))</f>
        <v>441.15969139782891</v>
      </c>
      <c r="CE197" s="60">
        <f t="shared" ref="CE197:CE203" si="207">$CE$3</f>
        <v>315.06466790224783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-5.6843418860808015E-14</v>
      </c>
      <c r="CU197" s="18">
        <f>CT197*VLOOKUP('Données projet'!$B$13,Paramètres!$A$1:$I$89,3,0)*VLOOKUP('Données projet'!$B$13,Paramètres!$A$1:$I$89,5,0)</f>
        <v>-4.1677594708744434E-14</v>
      </c>
      <c r="CV197" s="14" t="e">
        <f t="shared" si="173"/>
        <v>#NUM!</v>
      </c>
      <c r="CW197" s="22" t="e">
        <f t="shared" si="174"/>
        <v>#NUM!</v>
      </c>
      <c r="CX197" s="60" t="e">
        <f t="shared" si="196"/>
        <v>#NUM!</v>
      </c>
      <c r="CY197" s="60">
        <f ca="1">AVERAGE(OFFSET($CX$3,0,0,'Données projet'!$E$13+1,1))-AVERAGE(OFFSET($H$3,0,0,'Données projet'!$E$13+1,1))</f>
        <v>368.35775920359396</v>
      </c>
      <c r="CZ197" s="60">
        <f t="shared" ref="CZ197:CZ203" si="208">$CZ$3</f>
        <v>395.5218438652638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1.1368683772161603E-13</v>
      </c>
      <c r="DP197" s="18">
        <f>DO197*VLOOKUP('Données projet'!$B$14,Paramètres!$A$1:$I$89,3,0)*VLOOKUP('Données projet'!$B$14,Paramètres!$A$1:$I$89,5,0)</f>
        <v>8.8675733422860506E-14</v>
      </c>
      <c r="DQ197" s="14">
        <f t="shared" si="176"/>
        <v>1.3509285393066301E-12</v>
      </c>
      <c r="DR197" s="22">
        <f t="shared" si="177"/>
        <v>2.5073107750038623E-12</v>
      </c>
      <c r="DS197" s="60">
        <f t="shared" si="197"/>
        <v>290.25878253422223</v>
      </c>
      <c r="DT197" s="60">
        <f ca="1">AVERAGE(OFFSET($DS$3,0,0,'Données projet'!$E$14+1,1))-AVERAGE(OFFSET($H$3,0,0,'Données projet'!$E$14+1,1))</f>
        <v>312.59632808777332</v>
      </c>
      <c r="DU197" s="60">
        <f t="shared" ref="DU197:DU203" si="209">$DU$3</f>
        <v>302.59481222418219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0</v>
      </c>
      <c r="EE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-1.1368683772161603E-13</v>
      </c>
      <c r="EK197" s="18">
        <f>EJ197*VLOOKUP('Données projet'!$B$15,Paramètres!$A$1:$I$89,3,0)*VLOOKUP('Données projet'!$B$15,Paramètres!$A$1:$I$89,5,0)</f>
        <v>-9.7543306765146564E-14</v>
      </c>
      <c r="EL197" s="14" t="e">
        <f t="shared" si="179"/>
        <v>#NUM!</v>
      </c>
      <c r="EM197" s="22" t="e">
        <f t="shared" si="180"/>
        <v>#NUM!</v>
      </c>
      <c r="EN197" s="60" t="e">
        <f t="shared" si="198"/>
        <v>#NUM!</v>
      </c>
      <c r="EO197" s="60">
        <f ca="1">AVERAGE(OFFSET($EN$3,0,0,'Données projet'!$E$15+1,1))-AVERAGE(OFFSET($H$3,0,0,'Données projet'!$E$15+1,1))</f>
        <v>478.11504516179713</v>
      </c>
      <c r="EP197" s="60">
        <f t="shared" ref="EP197:EP203" si="210">$EP$3</f>
        <v>249.93713224442419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0</v>
      </c>
      <c r="EW197" s="23">
        <f>EXP(-LN(2)/25)*EW196+(1-EXP(-LN(2)/25))/(LN(2)/25)*Calculateur!ER197*Calculateur!ET197*VLOOKUP('Données projet'!$B$15,Paramètres!$A$1:$I$89,3,0)*0.475*44/12</f>
        <v>0</v>
      </c>
      <c r="EX197" s="23">
        <f>EXP(-LN(2)/2)*EX196+(1-EXP(-LN(2)/2))/(LN(2)/2)*ER197*EU197*VLOOKUP('Données projet'!$B$15,Paramètres!$A$1:$I$89,3,0)*0.475*44/12</f>
        <v>0</v>
      </c>
      <c r="EY197" s="24">
        <f t="shared" si="181"/>
        <v>0</v>
      </c>
      <c r="EZ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-1.1368683772161603E-13</v>
      </c>
      <c r="FF197" s="18">
        <f>FE197*VLOOKUP('Données projet'!$B$16,Paramètres!$A$1:$I$89,3,0)*VLOOKUP('Données projet'!$B$16,Paramètres!$A$1:$I$89,5,0)</f>
        <v>-1.0995790944434703E-13</v>
      </c>
      <c r="FG197" s="14" t="e">
        <f t="shared" si="182"/>
        <v>#NUM!</v>
      </c>
      <c r="FH197" s="22" t="e">
        <f t="shared" si="183"/>
        <v>#NUM!</v>
      </c>
      <c r="FI197" s="60" t="e">
        <f t="shared" si="199"/>
        <v>#NUM!</v>
      </c>
      <c r="FJ197" s="60">
        <f ca="1">AVERAGE(OFFSET($FI$3,0,0,'Données projet'!$E$16+1,1))-AVERAGE(OFFSET($H$3,0,0,'Données projet'!$E$16+1,1))</f>
        <v>603.52431522262032</v>
      </c>
      <c r="FK197" s="60">
        <f t="shared" ref="FK197:FK203" si="211">$FK$3</f>
        <v>313.56299786481338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>
        <f>EXP(-LN(2)/35)*FQ196+(1-EXP(-LN(2)/35))/(LN(2)/35)*FM197*FN197*VLOOKUP('Données projet'!$B$16,Paramètres!$A$1:$I$89,3,0)*0.475*44/12</f>
        <v>0</v>
      </c>
      <c r="FR197" s="23">
        <f>EXP(-LN(2)/25)*FR196+(1-EXP(-LN(2)/25))/(LN(2)/25)*Calculateur!FM197*Calculateur!FO197*VLOOKUP('Données projet'!$B$16,Paramètres!$A$1:$I$89,3,0)*0.475*44/12</f>
        <v>0</v>
      </c>
      <c r="FS197" s="23">
        <f>EXP(-LN(2)/2)*FS196+(1-EXP(-LN(2)/2))/(LN(2)/2)*FM197*FP197*VLOOKUP('Données projet'!$B$16,Paramètres!$A$1:$I$89,3,0)*0.475*44/12</f>
        <v>0</v>
      </c>
      <c r="FT197" s="24">
        <f t="shared" si="184"/>
        <v>0</v>
      </c>
      <c r="FU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>
        <f>FZ197*VLOOKUP('Données projet'!$B$17,Paramètres!$A$1:$I$89,3,0)*VLOOKUP('Données projet'!$B$17,Paramètres!$A$1:$I$89,5,0)</f>
        <v>0</v>
      </c>
      <c r="GB197" s="14" t="e">
        <f t="shared" si="185"/>
        <v>#NUM!</v>
      </c>
      <c r="GC197" s="22" t="e">
        <f t="shared" si="186"/>
        <v>#NUM!</v>
      </c>
      <c r="GD197" s="60" t="e">
        <f t="shared" si="200"/>
        <v>#NUM!</v>
      </c>
      <c r="GE197" s="60">
        <f ca="1">AVERAGE(OFFSET($GD$3,0,0,'Données projet'!$E$17+1,1))-AVERAGE(OFFSET($H$3,0,0,'Données projet'!$E$17+1,1))</f>
        <v>396.0878652679051</v>
      </c>
      <c r="GF197" s="60">
        <f t="shared" ref="GF197:GF203" si="212">$GF$3</f>
        <v>327.26339199235406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>
        <f>EXP(-LN(2)/35)*GL196+(1-EXP(-LN(2)/35))/(LN(2)/35)*GH197*GI197*VLOOKUP('Données projet'!$B$17,Paramètres!$A$1:$I$89,3,0)*0.475*44/12</f>
        <v>0</v>
      </c>
      <c r="GM197" s="23">
        <f>EXP(-LN(2)/25)*GM196+(1-EXP(-LN(2)/25))/(LN(2)/25)*Calculateur!GH197*Calculateur!GJ197*VLOOKUP('Données projet'!$B$17,Paramètres!$A$1:$I$89,3,0)*0.475*44/12</f>
        <v>0</v>
      </c>
      <c r="GN197" s="23">
        <f>EXP(-LN(2)/2)*GN196+(1-EXP(-LN(2)/2))/(LN(2)/2)*GH197*GK197*VLOOKUP('Données projet'!$B$17,Paramètres!$A$1:$I$89,3,0)*0.475*44/12</f>
        <v>0</v>
      </c>
      <c r="GO197" s="23">
        <f t="shared" si="187"/>
        <v>0</v>
      </c>
      <c r="GP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-1.1368683772161603E-13</v>
      </c>
      <c r="GV197" s="18">
        <f>GU197*VLOOKUP('Données projet'!$B$18,Paramètres!$A$1:$I$89,3,0)*VLOOKUP('Données projet'!$B$18,Paramètres!$A$1:$I$89,5,0)</f>
        <v>-9.2222762759774927E-14</v>
      </c>
      <c r="GW197" s="14" t="e">
        <f t="shared" si="188"/>
        <v>#NUM!</v>
      </c>
      <c r="GX197" s="22" t="e">
        <f t="shared" si="189"/>
        <v>#NUM!</v>
      </c>
      <c r="GY197" s="60" t="e">
        <f t="shared" si="201"/>
        <v>#NUM!</v>
      </c>
      <c r="GZ197" s="60">
        <f ca="1">AVERAGE(OFFSET($GY$3,0,0,'Données projet'!$E$18+1,1))-AVERAGE(OFFSET($H$3,0,0,'Données projet'!$E$18+1,1))</f>
        <v>272.69564942740931</v>
      </c>
      <c r="HA197" s="60">
        <f t="shared" ref="HA197:HA203" si="213">$HA$3</f>
        <v>316.57989180609252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>
        <f>EXP(-LN(2)/35)*HG196+(1-EXP(-LN(2)/35))/(LN(2)/35)*HC197*HD197*VLOOKUP('Données projet'!$B$18,Paramètres!$A$1:$I$89,3,0)*0.475*44/12</f>
        <v>0</v>
      </c>
      <c r="HH197" s="23">
        <f>EXP(-LN(2)/25)*HH196+(1-EXP(-LN(2)/25))/(LN(2)/25)*Calculateur!HC197*Calculateur!HE197*VLOOKUP('Données projet'!$B$18,Paramètres!$A$1:$I$89,3,0)*0.475*44/12</f>
        <v>0</v>
      </c>
      <c r="HI197" s="23">
        <f>EXP(-LN(2)/2)*HI196+(1-EXP(-LN(2)/2))/(LN(2)/2)*HC197*HF197*VLOOKUP('Données projet'!$B$18,Paramètres!$A$1:$I$89,3,0)*0.475*44/12</f>
        <v>0</v>
      </c>
      <c r="HJ197" s="24">
        <f t="shared" si="190"/>
        <v>0</v>
      </c>
    </row>
    <row r="198" spans="1:218" x14ac:dyDescent="0.25">
      <c r="A198" s="11">
        <f t="shared" si="161"/>
        <v>195</v>
      </c>
      <c r="B198" s="75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8">
        <f t="shared" si="192"/>
        <v>183.33333333333334</v>
      </c>
      <c r="I198" s="7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-1.1368683772161603E-13</v>
      </c>
      <c r="O198" s="14">
        <f>N198*VLOOKUP('Données projet'!$B$9,Paramètres!$A$1:$I$89,3,0)*VLOOKUP('Données projet'!$B$9,Paramètres!$A$1:$I$89,5,0)</f>
        <v>-1.0286385077051818E-13</v>
      </c>
      <c r="P198" s="14" t="e">
        <f t="shared" si="203"/>
        <v>#NUM!</v>
      </c>
      <c r="Q198" s="22" t="e">
        <f t="shared" si="162"/>
        <v>#NUM!</v>
      </c>
      <c r="R198" s="60" t="e">
        <f t="shared" si="191"/>
        <v>#NUM!</v>
      </c>
      <c r="S198" s="60">
        <f ca="1">AVERAGE(OFFSET($R$3,0,0,'Données projet'!$E$9+1,1))-AVERAGE(OFFSET($H$3,0,0,'Données projet'!$E$9+1,1))</f>
        <v>570.08763950759544</v>
      </c>
      <c r="T198" s="60">
        <f t="shared" si="204"/>
        <v>297.32483725004136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-5.6843418860808015E-14</v>
      </c>
      <c r="AJ198" s="14">
        <f>AI198*VLOOKUP('Données projet'!$B$10,Paramètres!$A$1:$I$89,3,0)*VLOOKUP('Données projet'!$B$10,Paramètres!$A$1:$I$89,5,0)</f>
        <v>-4.5224624045658861E-14</v>
      </c>
      <c r="AK198" s="14" t="e">
        <f t="shared" si="164"/>
        <v>#NUM!</v>
      </c>
      <c r="AL198" s="22" t="e">
        <f t="shared" si="165"/>
        <v>#NUM!</v>
      </c>
      <c r="AM198" s="60" t="e">
        <f t="shared" si="193"/>
        <v>#NUM!</v>
      </c>
      <c r="AN198" s="60">
        <f ca="1">AVERAGE(OFFSET($AM$3,0,0,'Données projet'!$E$10+1,1))-AVERAGE(OFFSET($H$3,0,0,'Données projet'!$E$10+1,1))</f>
        <v>394.49874384716014</v>
      </c>
      <c r="AO198" s="60">
        <f t="shared" si="205"/>
        <v>423.72519584013378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3.4106051316484809E-13</v>
      </c>
      <c r="BE198" s="14">
        <f>BD198*VLOOKUP('Données projet'!$B$11,Paramètres!$A$1:$I$89,3,0)*VLOOKUP('Données projet'!$B$11,Paramètres!$A$1:$I$89,5,0)</f>
        <v>2.9795046430081134E-13</v>
      </c>
      <c r="BF198" s="14">
        <f t="shared" si="167"/>
        <v>3.9419014464513778E-12</v>
      </c>
      <c r="BG198" s="22">
        <f t="shared" si="168"/>
        <v>7.384408744560063E-12</v>
      </c>
      <c r="BH198" s="60">
        <f t="shared" si="194"/>
        <v>290.31211911692589</v>
      </c>
      <c r="BI198" s="60">
        <f ca="1">AVERAGE(OFFSET($BH$3,0,0,'Données projet'!$E$11+1,1))-AVERAGE(OFFSET($H$3,0,0,'Données projet'!$E$11+1,1))</f>
        <v>363.28611056308665</v>
      </c>
      <c r="BJ198" s="60">
        <f t="shared" si="206"/>
        <v>389.43647559455974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5.6843418860808015E-14</v>
      </c>
      <c r="BZ198" s="14">
        <f>BY198*VLOOKUP('Données projet'!$B$12,Paramètres!$A$1:$I$89,3,0)*VLOOKUP('Données projet'!$B$12,Paramètres!$A$1:$I$89,5,0)</f>
        <v>5.4092197387944907E-14</v>
      </c>
      <c r="CA198" s="14">
        <f t="shared" si="170"/>
        <v>8.7287050538073676E-13</v>
      </c>
      <c r="CB198" s="22">
        <f t="shared" si="171"/>
        <v>1.6144600406554537E-12</v>
      </c>
      <c r="CC198" s="60">
        <f t="shared" si="195"/>
        <v>290.31211911692009</v>
      </c>
      <c r="CD198" s="60">
        <f ca="1">AVERAGE(OFFSET($CC$3,0,0,'Données projet'!$E$12+1,1))-AVERAGE(OFFSET($H$3,0,0,'Données projet'!$E$12+1,1))</f>
        <v>441.15969139782891</v>
      </c>
      <c r="CE198" s="60">
        <f t="shared" si="207"/>
        <v>315.06466790224783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-5.6843418860808015E-14</v>
      </c>
      <c r="CU198" s="18">
        <f>CT198*VLOOKUP('Données projet'!$B$13,Paramètres!$A$1:$I$89,3,0)*VLOOKUP('Données projet'!$B$13,Paramètres!$A$1:$I$89,5,0)</f>
        <v>-4.1677594708744434E-14</v>
      </c>
      <c r="CV198" s="14" t="e">
        <f t="shared" si="173"/>
        <v>#NUM!</v>
      </c>
      <c r="CW198" s="22" t="e">
        <f t="shared" si="174"/>
        <v>#NUM!</v>
      </c>
      <c r="CX198" s="60" t="e">
        <f t="shared" si="196"/>
        <v>#NUM!</v>
      </c>
      <c r="CY198" s="60">
        <f ca="1">AVERAGE(OFFSET($CX$3,0,0,'Données projet'!$E$13+1,1))-AVERAGE(OFFSET($H$3,0,0,'Données projet'!$E$13+1,1))</f>
        <v>368.35775920359396</v>
      </c>
      <c r="CZ198" s="60">
        <f t="shared" si="208"/>
        <v>395.5218438652638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1.1368683772161603E-13</v>
      </c>
      <c r="DP198" s="18">
        <f>DO198*VLOOKUP('Données projet'!$B$14,Paramètres!$A$1:$I$89,3,0)*VLOOKUP('Données projet'!$B$14,Paramètres!$A$1:$I$89,5,0)</f>
        <v>8.8675733422860506E-14</v>
      </c>
      <c r="DQ198" s="14">
        <f t="shared" si="176"/>
        <v>1.3509285393066301E-12</v>
      </c>
      <c r="DR198" s="22">
        <f t="shared" si="177"/>
        <v>2.5073107750038623E-12</v>
      </c>
      <c r="DS198" s="60">
        <f t="shared" si="197"/>
        <v>290.312119116921</v>
      </c>
      <c r="DT198" s="60">
        <f ca="1">AVERAGE(OFFSET($DS$3,0,0,'Données projet'!$E$14+1,1))-AVERAGE(OFFSET($H$3,0,0,'Données projet'!$E$14+1,1))</f>
        <v>312.59632808777332</v>
      </c>
      <c r="DU198" s="60">
        <f t="shared" si="209"/>
        <v>302.59481222418219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0</v>
      </c>
      <c r="EE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-1.1368683772161603E-13</v>
      </c>
      <c r="EK198" s="18">
        <f>EJ198*VLOOKUP('Données projet'!$B$15,Paramètres!$A$1:$I$89,3,0)*VLOOKUP('Données projet'!$B$15,Paramètres!$A$1:$I$89,5,0)</f>
        <v>-9.7543306765146564E-14</v>
      </c>
      <c r="EL198" s="14" t="e">
        <f t="shared" si="179"/>
        <v>#NUM!</v>
      </c>
      <c r="EM198" s="22" t="e">
        <f t="shared" si="180"/>
        <v>#NUM!</v>
      </c>
      <c r="EN198" s="60" t="e">
        <f t="shared" si="198"/>
        <v>#NUM!</v>
      </c>
      <c r="EO198" s="60">
        <f ca="1">AVERAGE(OFFSET($EN$3,0,0,'Données projet'!$E$15+1,1))-AVERAGE(OFFSET($H$3,0,0,'Données projet'!$E$15+1,1))</f>
        <v>478.11504516179713</v>
      </c>
      <c r="EP198" s="60">
        <f t="shared" si="210"/>
        <v>249.93713224442419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0</v>
      </c>
      <c r="EW198" s="23">
        <f>EXP(-LN(2)/25)*EW197+(1-EXP(-LN(2)/25))/(LN(2)/25)*Calculateur!ER198*Calculateur!ET198*VLOOKUP('Données projet'!$B$15,Paramètres!$A$1:$I$89,3,0)*0.475*44/12</f>
        <v>0</v>
      </c>
      <c r="EX198" s="23">
        <f>EXP(-LN(2)/2)*EX197+(1-EXP(-LN(2)/2))/(LN(2)/2)*ER198*EU198*VLOOKUP('Données projet'!$B$15,Paramètres!$A$1:$I$89,3,0)*0.475*44/12</f>
        <v>0</v>
      </c>
      <c r="EY198" s="24">
        <f t="shared" si="181"/>
        <v>0</v>
      </c>
      <c r="EZ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-1.1368683772161603E-13</v>
      </c>
      <c r="FF198" s="18">
        <f>FE198*VLOOKUP('Données projet'!$B$16,Paramètres!$A$1:$I$89,3,0)*VLOOKUP('Données projet'!$B$16,Paramètres!$A$1:$I$89,5,0)</f>
        <v>-1.0995790944434703E-13</v>
      </c>
      <c r="FG198" s="14" t="e">
        <f t="shared" si="182"/>
        <v>#NUM!</v>
      </c>
      <c r="FH198" s="22" t="e">
        <f t="shared" si="183"/>
        <v>#NUM!</v>
      </c>
      <c r="FI198" s="60" t="e">
        <f t="shared" si="199"/>
        <v>#NUM!</v>
      </c>
      <c r="FJ198" s="60">
        <f ca="1">AVERAGE(OFFSET($FI$3,0,0,'Données projet'!$E$16+1,1))-AVERAGE(OFFSET($H$3,0,0,'Données projet'!$E$16+1,1))</f>
        <v>603.52431522262032</v>
      </c>
      <c r="FK198" s="60">
        <f t="shared" si="211"/>
        <v>313.56299786481338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>
        <f>EXP(-LN(2)/35)*FQ197+(1-EXP(-LN(2)/35))/(LN(2)/35)*FM198*FN198*VLOOKUP('Données projet'!$B$16,Paramètres!$A$1:$I$89,3,0)*0.475*44/12</f>
        <v>0</v>
      </c>
      <c r="FR198" s="23">
        <f>EXP(-LN(2)/25)*FR197+(1-EXP(-LN(2)/25))/(LN(2)/25)*Calculateur!FM198*Calculateur!FO198*VLOOKUP('Données projet'!$B$16,Paramètres!$A$1:$I$89,3,0)*0.475*44/12</f>
        <v>0</v>
      </c>
      <c r="FS198" s="23">
        <f>EXP(-LN(2)/2)*FS197+(1-EXP(-LN(2)/2))/(LN(2)/2)*FM198*FP198*VLOOKUP('Données projet'!$B$16,Paramètres!$A$1:$I$89,3,0)*0.475*44/12</f>
        <v>0</v>
      </c>
      <c r="FT198" s="24">
        <f t="shared" si="184"/>
        <v>0</v>
      </c>
      <c r="FU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>
        <f>FZ198*VLOOKUP('Données projet'!$B$17,Paramètres!$A$1:$I$89,3,0)*VLOOKUP('Données projet'!$B$17,Paramètres!$A$1:$I$89,5,0)</f>
        <v>0</v>
      </c>
      <c r="GB198" s="14" t="e">
        <f t="shared" si="185"/>
        <v>#NUM!</v>
      </c>
      <c r="GC198" s="22" t="e">
        <f t="shared" si="186"/>
        <v>#NUM!</v>
      </c>
      <c r="GD198" s="60" t="e">
        <f t="shared" si="200"/>
        <v>#NUM!</v>
      </c>
      <c r="GE198" s="60">
        <f ca="1">AVERAGE(OFFSET($GD$3,0,0,'Données projet'!$E$17+1,1))-AVERAGE(OFFSET($H$3,0,0,'Données projet'!$E$17+1,1))</f>
        <v>396.0878652679051</v>
      </c>
      <c r="GF198" s="60">
        <f t="shared" si="212"/>
        <v>327.26339199235406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>
        <f>EXP(-LN(2)/35)*GL197+(1-EXP(-LN(2)/35))/(LN(2)/35)*GH198*GI198*VLOOKUP('Données projet'!$B$17,Paramètres!$A$1:$I$89,3,0)*0.475*44/12</f>
        <v>0</v>
      </c>
      <c r="GM198" s="23">
        <f>EXP(-LN(2)/25)*GM197+(1-EXP(-LN(2)/25))/(LN(2)/25)*Calculateur!GH198*Calculateur!GJ198*VLOOKUP('Données projet'!$B$17,Paramètres!$A$1:$I$89,3,0)*0.475*44/12</f>
        <v>0</v>
      </c>
      <c r="GN198" s="23">
        <f>EXP(-LN(2)/2)*GN197+(1-EXP(-LN(2)/2))/(LN(2)/2)*GH198*GK198*VLOOKUP('Données projet'!$B$17,Paramètres!$A$1:$I$89,3,0)*0.475*44/12</f>
        <v>0</v>
      </c>
      <c r="GO198" s="23">
        <f t="shared" si="187"/>
        <v>0</v>
      </c>
      <c r="GP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-1.1368683772161603E-13</v>
      </c>
      <c r="GV198" s="18">
        <f>GU198*VLOOKUP('Données projet'!$B$18,Paramètres!$A$1:$I$89,3,0)*VLOOKUP('Données projet'!$B$18,Paramètres!$A$1:$I$89,5,0)</f>
        <v>-9.2222762759774927E-14</v>
      </c>
      <c r="GW198" s="14" t="e">
        <f t="shared" si="188"/>
        <v>#NUM!</v>
      </c>
      <c r="GX198" s="22" t="e">
        <f t="shared" si="189"/>
        <v>#NUM!</v>
      </c>
      <c r="GY198" s="60" t="e">
        <f t="shared" si="201"/>
        <v>#NUM!</v>
      </c>
      <c r="GZ198" s="60">
        <f ca="1">AVERAGE(OFFSET($GY$3,0,0,'Données projet'!$E$18+1,1))-AVERAGE(OFFSET($H$3,0,0,'Données projet'!$E$18+1,1))</f>
        <v>272.69564942740931</v>
      </c>
      <c r="HA198" s="60">
        <f t="shared" si="213"/>
        <v>316.57989180609252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>
        <f>EXP(-LN(2)/35)*HG197+(1-EXP(-LN(2)/35))/(LN(2)/35)*HC198*HD198*VLOOKUP('Données projet'!$B$18,Paramètres!$A$1:$I$89,3,0)*0.475*44/12</f>
        <v>0</v>
      </c>
      <c r="HH198" s="23">
        <f>EXP(-LN(2)/25)*HH197+(1-EXP(-LN(2)/25))/(LN(2)/25)*Calculateur!HC198*Calculateur!HE198*VLOOKUP('Données projet'!$B$18,Paramètres!$A$1:$I$89,3,0)*0.475*44/12</f>
        <v>0</v>
      </c>
      <c r="HI198" s="23">
        <f>EXP(-LN(2)/2)*HI197+(1-EXP(-LN(2)/2))/(LN(2)/2)*HC198*HF198*VLOOKUP('Données projet'!$B$18,Paramètres!$A$1:$I$89,3,0)*0.475*44/12</f>
        <v>0</v>
      </c>
      <c r="HJ198" s="24">
        <f t="shared" si="190"/>
        <v>0</v>
      </c>
    </row>
    <row r="199" spans="1:218" x14ac:dyDescent="0.25">
      <c r="A199" s="11">
        <f t="shared" si="161"/>
        <v>196</v>
      </c>
      <c r="B199" s="75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8">
        <f t="shared" si="192"/>
        <v>183.33333333333334</v>
      </c>
      <c r="I199" s="7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-1.1368683772161603E-13</v>
      </c>
      <c r="O199" s="14">
        <f>N199*VLOOKUP('Données projet'!$B$9,Paramètres!$A$1:$I$89,3,0)*VLOOKUP('Données projet'!$B$9,Paramètres!$A$1:$I$89,5,0)</f>
        <v>-1.0286385077051818E-13</v>
      </c>
      <c r="P199" s="14" t="e">
        <f t="shared" si="203"/>
        <v>#NUM!</v>
      </c>
      <c r="Q199" s="22" t="e">
        <f t="shared" si="162"/>
        <v>#NUM!</v>
      </c>
      <c r="R199" s="60" t="e">
        <f t="shared" si="191"/>
        <v>#NUM!</v>
      </c>
      <c r="S199" s="60">
        <f ca="1">AVERAGE(OFFSET($R$3,0,0,'Données projet'!$E$9+1,1))-AVERAGE(OFFSET($H$3,0,0,'Données projet'!$E$9+1,1))</f>
        <v>570.08763950759544</v>
      </c>
      <c r="T199" s="60">
        <f t="shared" si="204"/>
        <v>297.32483725004136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-5.6843418860808015E-14</v>
      </c>
      <c r="AJ199" s="14">
        <f>AI199*VLOOKUP('Données projet'!$B$10,Paramètres!$A$1:$I$89,3,0)*VLOOKUP('Données projet'!$B$10,Paramètres!$A$1:$I$89,5,0)</f>
        <v>-4.5224624045658861E-14</v>
      </c>
      <c r="AK199" s="14" t="e">
        <f t="shared" si="164"/>
        <v>#NUM!</v>
      </c>
      <c r="AL199" s="22" t="e">
        <f t="shared" si="165"/>
        <v>#NUM!</v>
      </c>
      <c r="AM199" s="60" t="e">
        <f t="shared" si="193"/>
        <v>#NUM!</v>
      </c>
      <c r="AN199" s="60">
        <f ca="1">AVERAGE(OFFSET($AM$3,0,0,'Données projet'!$E$10+1,1))-AVERAGE(OFFSET($H$3,0,0,'Données projet'!$E$10+1,1))</f>
        <v>394.49874384716014</v>
      </c>
      <c r="AO199" s="60">
        <f t="shared" si="205"/>
        <v>423.72519584013378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3.4106051316484809E-13</v>
      </c>
      <c r="BE199" s="14">
        <f>BD199*VLOOKUP('Données projet'!$B$11,Paramètres!$A$1:$I$89,3,0)*VLOOKUP('Données projet'!$B$11,Paramètres!$A$1:$I$89,5,0)</f>
        <v>2.9795046430081134E-13</v>
      </c>
      <c r="BF199" s="14">
        <f t="shared" si="167"/>
        <v>3.9419014464513778E-12</v>
      </c>
      <c r="BG199" s="22">
        <f t="shared" si="168"/>
        <v>7.384408744560063E-12</v>
      </c>
      <c r="BH199" s="60">
        <f t="shared" si="194"/>
        <v>290.36453042915758</v>
      </c>
      <c r="BI199" s="60">
        <f ca="1">AVERAGE(OFFSET($BH$3,0,0,'Données projet'!$E$11+1,1))-AVERAGE(OFFSET($H$3,0,0,'Données projet'!$E$11+1,1))</f>
        <v>363.28611056308665</v>
      </c>
      <c r="BJ199" s="60">
        <f t="shared" si="206"/>
        <v>389.43647559455974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5.6843418860808015E-14</v>
      </c>
      <c r="BZ199" s="14">
        <f>BY199*VLOOKUP('Données projet'!$B$12,Paramètres!$A$1:$I$89,3,0)*VLOOKUP('Données projet'!$B$12,Paramètres!$A$1:$I$89,5,0)</f>
        <v>5.4092197387944907E-14</v>
      </c>
      <c r="CA199" s="14">
        <f t="shared" si="170"/>
        <v>8.7287050538073676E-13</v>
      </c>
      <c r="CB199" s="22">
        <f t="shared" si="171"/>
        <v>1.6144600406554537E-12</v>
      </c>
      <c r="CC199" s="60">
        <f t="shared" si="195"/>
        <v>290.36453042915178</v>
      </c>
      <c r="CD199" s="60">
        <f ca="1">AVERAGE(OFFSET($CC$3,0,0,'Données projet'!$E$12+1,1))-AVERAGE(OFFSET($H$3,0,0,'Données projet'!$E$12+1,1))</f>
        <v>441.15969139782891</v>
      </c>
      <c r="CE199" s="60">
        <f t="shared" si="207"/>
        <v>315.06466790224783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-5.6843418860808015E-14</v>
      </c>
      <c r="CU199" s="18">
        <f>CT199*VLOOKUP('Données projet'!$B$13,Paramètres!$A$1:$I$89,3,0)*VLOOKUP('Données projet'!$B$13,Paramètres!$A$1:$I$89,5,0)</f>
        <v>-4.1677594708744434E-14</v>
      </c>
      <c r="CV199" s="14" t="e">
        <f t="shared" si="173"/>
        <v>#NUM!</v>
      </c>
      <c r="CW199" s="22" t="e">
        <f t="shared" si="174"/>
        <v>#NUM!</v>
      </c>
      <c r="CX199" s="60" t="e">
        <f t="shared" si="196"/>
        <v>#NUM!</v>
      </c>
      <c r="CY199" s="60">
        <f ca="1">AVERAGE(OFFSET($CX$3,0,0,'Données projet'!$E$13+1,1))-AVERAGE(OFFSET($H$3,0,0,'Données projet'!$E$13+1,1))</f>
        <v>368.35775920359396</v>
      </c>
      <c r="CZ199" s="60">
        <f t="shared" si="208"/>
        <v>395.5218438652638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1.1368683772161603E-13</v>
      </c>
      <c r="DP199" s="18">
        <f>DO199*VLOOKUP('Données projet'!$B$14,Paramètres!$A$1:$I$89,3,0)*VLOOKUP('Données projet'!$B$14,Paramètres!$A$1:$I$89,5,0)</f>
        <v>8.8675733422860506E-14</v>
      </c>
      <c r="DQ199" s="14">
        <f t="shared" si="176"/>
        <v>1.3509285393066301E-12</v>
      </c>
      <c r="DR199" s="22">
        <f t="shared" si="177"/>
        <v>2.5073107750038623E-12</v>
      </c>
      <c r="DS199" s="60">
        <f t="shared" si="197"/>
        <v>290.36453042915269</v>
      </c>
      <c r="DT199" s="60">
        <f ca="1">AVERAGE(OFFSET($DS$3,0,0,'Données projet'!$E$14+1,1))-AVERAGE(OFFSET($H$3,0,0,'Données projet'!$E$14+1,1))</f>
        <v>312.59632808777332</v>
      </c>
      <c r="DU199" s="60">
        <f t="shared" si="209"/>
        <v>302.59481222418219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0</v>
      </c>
      <c r="EE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-1.1368683772161603E-13</v>
      </c>
      <c r="EK199" s="18">
        <f>EJ199*VLOOKUP('Données projet'!$B$15,Paramètres!$A$1:$I$89,3,0)*VLOOKUP('Données projet'!$B$15,Paramètres!$A$1:$I$89,5,0)</f>
        <v>-9.7543306765146564E-14</v>
      </c>
      <c r="EL199" s="14" t="e">
        <f t="shared" si="179"/>
        <v>#NUM!</v>
      </c>
      <c r="EM199" s="22" t="e">
        <f t="shared" si="180"/>
        <v>#NUM!</v>
      </c>
      <c r="EN199" s="60" t="e">
        <f t="shared" si="198"/>
        <v>#NUM!</v>
      </c>
      <c r="EO199" s="60">
        <f ca="1">AVERAGE(OFFSET($EN$3,0,0,'Données projet'!$E$15+1,1))-AVERAGE(OFFSET($H$3,0,0,'Données projet'!$E$15+1,1))</f>
        <v>478.11504516179713</v>
      </c>
      <c r="EP199" s="60">
        <f t="shared" si="210"/>
        <v>249.93713224442419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0</v>
      </c>
      <c r="EW199" s="23">
        <f>EXP(-LN(2)/25)*EW198+(1-EXP(-LN(2)/25))/(LN(2)/25)*Calculateur!ER199*Calculateur!ET199*VLOOKUP('Données projet'!$B$15,Paramètres!$A$1:$I$89,3,0)*0.475*44/12</f>
        <v>0</v>
      </c>
      <c r="EX199" s="23">
        <f>EXP(-LN(2)/2)*EX198+(1-EXP(-LN(2)/2))/(LN(2)/2)*ER199*EU199*VLOOKUP('Données projet'!$B$15,Paramètres!$A$1:$I$89,3,0)*0.475*44/12</f>
        <v>0</v>
      </c>
      <c r="EY199" s="24">
        <f t="shared" si="181"/>
        <v>0</v>
      </c>
      <c r="EZ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-1.1368683772161603E-13</v>
      </c>
      <c r="FF199" s="18">
        <f>FE199*VLOOKUP('Données projet'!$B$16,Paramètres!$A$1:$I$89,3,0)*VLOOKUP('Données projet'!$B$16,Paramètres!$A$1:$I$89,5,0)</f>
        <v>-1.0995790944434703E-13</v>
      </c>
      <c r="FG199" s="14" t="e">
        <f t="shared" si="182"/>
        <v>#NUM!</v>
      </c>
      <c r="FH199" s="22" t="e">
        <f t="shared" si="183"/>
        <v>#NUM!</v>
      </c>
      <c r="FI199" s="60" t="e">
        <f t="shared" si="199"/>
        <v>#NUM!</v>
      </c>
      <c r="FJ199" s="60">
        <f ca="1">AVERAGE(OFFSET($FI$3,0,0,'Données projet'!$E$16+1,1))-AVERAGE(OFFSET($H$3,0,0,'Données projet'!$E$16+1,1))</f>
        <v>603.52431522262032</v>
      </c>
      <c r="FK199" s="60">
        <f t="shared" si="211"/>
        <v>313.56299786481338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>
        <f>EXP(-LN(2)/35)*FQ198+(1-EXP(-LN(2)/35))/(LN(2)/35)*FM199*FN199*VLOOKUP('Données projet'!$B$16,Paramètres!$A$1:$I$89,3,0)*0.475*44/12</f>
        <v>0</v>
      </c>
      <c r="FR199" s="23">
        <f>EXP(-LN(2)/25)*FR198+(1-EXP(-LN(2)/25))/(LN(2)/25)*Calculateur!FM199*Calculateur!FO199*VLOOKUP('Données projet'!$B$16,Paramètres!$A$1:$I$89,3,0)*0.475*44/12</f>
        <v>0</v>
      </c>
      <c r="FS199" s="23">
        <f>EXP(-LN(2)/2)*FS198+(1-EXP(-LN(2)/2))/(LN(2)/2)*FM199*FP199*VLOOKUP('Données projet'!$B$16,Paramètres!$A$1:$I$89,3,0)*0.475*44/12</f>
        <v>0</v>
      </c>
      <c r="FT199" s="24">
        <f t="shared" si="184"/>
        <v>0</v>
      </c>
      <c r="FU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>
        <f>FZ199*VLOOKUP('Données projet'!$B$17,Paramètres!$A$1:$I$89,3,0)*VLOOKUP('Données projet'!$B$17,Paramètres!$A$1:$I$89,5,0)</f>
        <v>0</v>
      </c>
      <c r="GB199" s="14" t="e">
        <f t="shared" si="185"/>
        <v>#NUM!</v>
      </c>
      <c r="GC199" s="22" t="e">
        <f t="shared" si="186"/>
        <v>#NUM!</v>
      </c>
      <c r="GD199" s="60" t="e">
        <f t="shared" si="200"/>
        <v>#NUM!</v>
      </c>
      <c r="GE199" s="60">
        <f ca="1">AVERAGE(OFFSET($GD$3,0,0,'Données projet'!$E$17+1,1))-AVERAGE(OFFSET($H$3,0,0,'Données projet'!$E$17+1,1))</f>
        <v>396.0878652679051</v>
      </c>
      <c r="GF199" s="60">
        <f t="shared" si="212"/>
        <v>327.26339199235406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>
        <f>EXP(-LN(2)/35)*GL198+(1-EXP(-LN(2)/35))/(LN(2)/35)*GH199*GI199*VLOOKUP('Données projet'!$B$17,Paramètres!$A$1:$I$89,3,0)*0.475*44/12</f>
        <v>0</v>
      </c>
      <c r="GM199" s="23">
        <f>EXP(-LN(2)/25)*GM198+(1-EXP(-LN(2)/25))/(LN(2)/25)*Calculateur!GH199*Calculateur!GJ199*VLOOKUP('Données projet'!$B$17,Paramètres!$A$1:$I$89,3,0)*0.475*44/12</f>
        <v>0</v>
      </c>
      <c r="GN199" s="23">
        <f>EXP(-LN(2)/2)*GN198+(1-EXP(-LN(2)/2))/(LN(2)/2)*GH199*GK199*VLOOKUP('Données projet'!$B$17,Paramètres!$A$1:$I$89,3,0)*0.475*44/12</f>
        <v>0</v>
      </c>
      <c r="GO199" s="23">
        <f t="shared" si="187"/>
        <v>0</v>
      </c>
      <c r="GP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-1.1368683772161603E-13</v>
      </c>
      <c r="GV199" s="18">
        <f>GU199*VLOOKUP('Données projet'!$B$18,Paramètres!$A$1:$I$89,3,0)*VLOOKUP('Données projet'!$B$18,Paramètres!$A$1:$I$89,5,0)</f>
        <v>-9.2222762759774927E-14</v>
      </c>
      <c r="GW199" s="14" t="e">
        <f t="shared" si="188"/>
        <v>#NUM!</v>
      </c>
      <c r="GX199" s="22" t="e">
        <f t="shared" si="189"/>
        <v>#NUM!</v>
      </c>
      <c r="GY199" s="60" t="e">
        <f t="shared" si="201"/>
        <v>#NUM!</v>
      </c>
      <c r="GZ199" s="60">
        <f ca="1">AVERAGE(OFFSET($GY$3,0,0,'Données projet'!$E$18+1,1))-AVERAGE(OFFSET($H$3,0,0,'Données projet'!$E$18+1,1))</f>
        <v>272.69564942740931</v>
      </c>
      <c r="HA199" s="60">
        <f t="shared" si="213"/>
        <v>316.57989180609252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>
        <f>EXP(-LN(2)/35)*HG198+(1-EXP(-LN(2)/35))/(LN(2)/35)*HC199*HD199*VLOOKUP('Données projet'!$B$18,Paramètres!$A$1:$I$89,3,0)*0.475*44/12</f>
        <v>0</v>
      </c>
      <c r="HH199" s="23">
        <f>EXP(-LN(2)/25)*HH198+(1-EXP(-LN(2)/25))/(LN(2)/25)*Calculateur!HC199*Calculateur!HE199*VLOOKUP('Données projet'!$B$18,Paramètres!$A$1:$I$89,3,0)*0.475*44/12</f>
        <v>0</v>
      </c>
      <c r="HI199" s="23">
        <f>EXP(-LN(2)/2)*HI198+(1-EXP(-LN(2)/2))/(LN(2)/2)*HC199*HF199*VLOOKUP('Données projet'!$B$18,Paramètres!$A$1:$I$89,3,0)*0.475*44/12</f>
        <v>0</v>
      </c>
      <c r="HJ199" s="24">
        <f t="shared" si="190"/>
        <v>0</v>
      </c>
    </row>
    <row r="200" spans="1:218" x14ac:dyDescent="0.25">
      <c r="A200" s="11">
        <f t="shared" si="161"/>
        <v>197</v>
      </c>
      <c r="B200" s="75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8">
        <f t="shared" si="192"/>
        <v>183.33333333333334</v>
      </c>
      <c r="I200" s="7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-1.1368683772161603E-13</v>
      </c>
      <c r="O200" s="14">
        <f>N200*VLOOKUP('Données projet'!$B$9,Paramètres!$A$1:$I$89,3,0)*VLOOKUP('Données projet'!$B$9,Paramètres!$A$1:$I$89,5,0)</f>
        <v>-1.0286385077051818E-13</v>
      </c>
      <c r="P200" s="14" t="e">
        <f t="shared" si="203"/>
        <v>#NUM!</v>
      </c>
      <c r="Q200" s="22" t="e">
        <f t="shared" si="162"/>
        <v>#NUM!</v>
      </c>
      <c r="R200" s="60" t="e">
        <f t="shared" si="191"/>
        <v>#NUM!</v>
      </c>
      <c r="S200" s="60">
        <f ca="1">AVERAGE(OFFSET($R$3,0,0,'Données projet'!$E$9+1,1))-AVERAGE(OFFSET($H$3,0,0,'Données projet'!$E$9+1,1))</f>
        <v>570.08763950759544</v>
      </c>
      <c r="T200" s="60">
        <f t="shared" si="204"/>
        <v>297.32483725004136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-5.6843418860808015E-14</v>
      </c>
      <c r="AJ200" s="14">
        <f>AI200*VLOOKUP('Données projet'!$B$10,Paramètres!$A$1:$I$89,3,0)*VLOOKUP('Données projet'!$B$10,Paramètres!$A$1:$I$89,5,0)</f>
        <v>-4.5224624045658861E-14</v>
      </c>
      <c r="AK200" s="14" t="e">
        <f t="shared" si="164"/>
        <v>#NUM!</v>
      </c>
      <c r="AL200" s="22" t="e">
        <f t="shared" si="165"/>
        <v>#NUM!</v>
      </c>
      <c r="AM200" s="60" t="e">
        <f t="shared" si="193"/>
        <v>#NUM!</v>
      </c>
      <c r="AN200" s="60">
        <f ca="1">AVERAGE(OFFSET($AM$3,0,0,'Données projet'!$E$10+1,1))-AVERAGE(OFFSET($H$3,0,0,'Données projet'!$E$10+1,1))</f>
        <v>394.49874384716014</v>
      </c>
      <c r="AO200" s="60">
        <f t="shared" si="205"/>
        <v>423.72519584013378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3.4106051316484809E-13</v>
      </c>
      <c r="BE200" s="14">
        <f>BD200*VLOOKUP('Données projet'!$B$11,Paramètres!$A$1:$I$89,3,0)*VLOOKUP('Données projet'!$B$11,Paramètres!$A$1:$I$89,5,0)</f>
        <v>2.9795046430081134E-13</v>
      </c>
      <c r="BF200" s="14">
        <f t="shared" si="167"/>
        <v>3.9419014464513778E-12</v>
      </c>
      <c r="BG200" s="22">
        <f t="shared" si="168"/>
        <v>7.384408744560063E-12</v>
      </c>
      <c r="BH200" s="60">
        <f t="shared" si="194"/>
        <v>290.41603252229618</v>
      </c>
      <c r="BI200" s="60">
        <f ca="1">AVERAGE(OFFSET($BH$3,0,0,'Données projet'!$E$11+1,1))-AVERAGE(OFFSET($H$3,0,0,'Données projet'!$E$11+1,1))</f>
        <v>363.28611056308665</v>
      </c>
      <c r="BJ200" s="60">
        <f t="shared" si="206"/>
        <v>389.43647559455974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5.6843418860808015E-14</v>
      </c>
      <c r="BZ200" s="14">
        <f>BY200*VLOOKUP('Données projet'!$B$12,Paramètres!$A$1:$I$89,3,0)*VLOOKUP('Données projet'!$B$12,Paramètres!$A$1:$I$89,5,0)</f>
        <v>5.4092197387944907E-14</v>
      </c>
      <c r="CA200" s="14">
        <f t="shared" si="170"/>
        <v>8.7287050538073676E-13</v>
      </c>
      <c r="CB200" s="22">
        <f t="shared" si="171"/>
        <v>1.6144600406554537E-12</v>
      </c>
      <c r="CC200" s="60">
        <f t="shared" si="195"/>
        <v>290.41603252229038</v>
      </c>
      <c r="CD200" s="60">
        <f ca="1">AVERAGE(OFFSET($CC$3,0,0,'Données projet'!$E$12+1,1))-AVERAGE(OFFSET($H$3,0,0,'Données projet'!$E$12+1,1))</f>
        <v>441.15969139782891</v>
      </c>
      <c r="CE200" s="60">
        <f t="shared" si="207"/>
        <v>315.06466790224783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-5.6843418860808015E-14</v>
      </c>
      <c r="CU200" s="18">
        <f>CT200*VLOOKUP('Données projet'!$B$13,Paramètres!$A$1:$I$89,3,0)*VLOOKUP('Données projet'!$B$13,Paramètres!$A$1:$I$89,5,0)</f>
        <v>-4.1677594708744434E-14</v>
      </c>
      <c r="CV200" s="14" t="e">
        <f t="shared" si="173"/>
        <v>#NUM!</v>
      </c>
      <c r="CW200" s="22" t="e">
        <f t="shared" si="174"/>
        <v>#NUM!</v>
      </c>
      <c r="CX200" s="60" t="e">
        <f t="shared" si="196"/>
        <v>#NUM!</v>
      </c>
      <c r="CY200" s="60">
        <f ca="1">AVERAGE(OFFSET($CX$3,0,0,'Données projet'!$E$13+1,1))-AVERAGE(OFFSET($H$3,0,0,'Données projet'!$E$13+1,1))</f>
        <v>368.35775920359396</v>
      </c>
      <c r="CZ200" s="60">
        <f t="shared" si="208"/>
        <v>395.5218438652638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1.1368683772161603E-13</v>
      </c>
      <c r="DP200" s="18">
        <f>DO200*VLOOKUP('Données projet'!$B$14,Paramètres!$A$1:$I$89,3,0)*VLOOKUP('Données projet'!$B$14,Paramètres!$A$1:$I$89,5,0)</f>
        <v>8.8675733422860506E-14</v>
      </c>
      <c r="DQ200" s="14">
        <f t="shared" si="176"/>
        <v>1.3509285393066301E-12</v>
      </c>
      <c r="DR200" s="22">
        <f t="shared" si="177"/>
        <v>2.5073107750038623E-12</v>
      </c>
      <c r="DS200" s="60">
        <f t="shared" si="197"/>
        <v>290.41603252229129</v>
      </c>
      <c r="DT200" s="60">
        <f ca="1">AVERAGE(OFFSET($DS$3,0,0,'Données projet'!$E$14+1,1))-AVERAGE(OFFSET($H$3,0,0,'Données projet'!$E$14+1,1))</f>
        <v>312.59632808777332</v>
      </c>
      <c r="DU200" s="60">
        <f t="shared" si="209"/>
        <v>302.59481222418219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0</v>
      </c>
      <c r="EE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-1.1368683772161603E-13</v>
      </c>
      <c r="EK200" s="18">
        <f>EJ200*VLOOKUP('Données projet'!$B$15,Paramètres!$A$1:$I$89,3,0)*VLOOKUP('Données projet'!$B$15,Paramètres!$A$1:$I$89,5,0)</f>
        <v>-9.7543306765146564E-14</v>
      </c>
      <c r="EL200" s="14" t="e">
        <f t="shared" si="179"/>
        <v>#NUM!</v>
      </c>
      <c r="EM200" s="22" t="e">
        <f t="shared" si="180"/>
        <v>#NUM!</v>
      </c>
      <c r="EN200" s="60" t="e">
        <f t="shared" si="198"/>
        <v>#NUM!</v>
      </c>
      <c r="EO200" s="60">
        <f ca="1">AVERAGE(OFFSET($EN$3,0,0,'Données projet'!$E$15+1,1))-AVERAGE(OFFSET($H$3,0,0,'Données projet'!$E$15+1,1))</f>
        <v>478.11504516179713</v>
      </c>
      <c r="EP200" s="60">
        <f t="shared" si="210"/>
        <v>249.93713224442419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0</v>
      </c>
      <c r="EW200" s="23">
        <f>EXP(-LN(2)/25)*EW199+(1-EXP(-LN(2)/25))/(LN(2)/25)*Calculateur!ER200*Calculateur!ET200*VLOOKUP('Données projet'!$B$15,Paramètres!$A$1:$I$89,3,0)*0.475*44/12</f>
        <v>0</v>
      </c>
      <c r="EX200" s="23">
        <f>EXP(-LN(2)/2)*EX199+(1-EXP(-LN(2)/2))/(LN(2)/2)*ER200*EU200*VLOOKUP('Données projet'!$B$15,Paramètres!$A$1:$I$89,3,0)*0.475*44/12</f>
        <v>0</v>
      </c>
      <c r="EY200" s="24">
        <f t="shared" si="181"/>
        <v>0</v>
      </c>
      <c r="EZ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-1.1368683772161603E-13</v>
      </c>
      <c r="FF200" s="18">
        <f>FE200*VLOOKUP('Données projet'!$B$16,Paramètres!$A$1:$I$89,3,0)*VLOOKUP('Données projet'!$B$16,Paramètres!$A$1:$I$89,5,0)</f>
        <v>-1.0995790944434703E-13</v>
      </c>
      <c r="FG200" s="14" t="e">
        <f t="shared" si="182"/>
        <v>#NUM!</v>
      </c>
      <c r="FH200" s="22" t="e">
        <f t="shared" si="183"/>
        <v>#NUM!</v>
      </c>
      <c r="FI200" s="60" t="e">
        <f t="shared" si="199"/>
        <v>#NUM!</v>
      </c>
      <c r="FJ200" s="60">
        <f ca="1">AVERAGE(OFFSET($FI$3,0,0,'Données projet'!$E$16+1,1))-AVERAGE(OFFSET($H$3,0,0,'Données projet'!$E$16+1,1))</f>
        <v>603.52431522262032</v>
      </c>
      <c r="FK200" s="60">
        <f t="shared" si="211"/>
        <v>313.56299786481338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>
        <f>EXP(-LN(2)/35)*FQ199+(1-EXP(-LN(2)/35))/(LN(2)/35)*FM200*FN200*VLOOKUP('Données projet'!$B$16,Paramètres!$A$1:$I$89,3,0)*0.475*44/12</f>
        <v>0</v>
      </c>
      <c r="FR200" s="23">
        <f>EXP(-LN(2)/25)*FR199+(1-EXP(-LN(2)/25))/(LN(2)/25)*Calculateur!FM200*Calculateur!FO200*VLOOKUP('Données projet'!$B$16,Paramètres!$A$1:$I$89,3,0)*0.475*44/12</f>
        <v>0</v>
      </c>
      <c r="FS200" s="23">
        <f>EXP(-LN(2)/2)*FS199+(1-EXP(-LN(2)/2))/(LN(2)/2)*FM200*FP200*VLOOKUP('Données projet'!$B$16,Paramètres!$A$1:$I$89,3,0)*0.475*44/12</f>
        <v>0</v>
      </c>
      <c r="FT200" s="24">
        <f t="shared" si="184"/>
        <v>0</v>
      </c>
      <c r="FU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>
        <f>FZ200*VLOOKUP('Données projet'!$B$17,Paramètres!$A$1:$I$89,3,0)*VLOOKUP('Données projet'!$B$17,Paramètres!$A$1:$I$89,5,0)</f>
        <v>0</v>
      </c>
      <c r="GB200" s="14" t="e">
        <f t="shared" si="185"/>
        <v>#NUM!</v>
      </c>
      <c r="GC200" s="22" t="e">
        <f t="shared" si="186"/>
        <v>#NUM!</v>
      </c>
      <c r="GD200" s="60" t="e">
        <f t="shared" si="200"/>
        <v>#NUM!</v>
      </c>
      <c r="GE200" s="60">
        <f ca="1">AVERAGE(OFFSET($GD$3,0,0,'Données projet'!$E$17+1,1))-AVERAGE(OFFSET($H$3,0,0,'Données projet'!$E$17+1,1))</f>
        <v>396.0878652679051</v>
      </c>
      <c r="GF200" s="60">
        <f t="shared" si="212"/>
        <v>327.26339199235406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>
        <f>EXP(-LN(2)/35)*GL199+(1-EXP(-LN(2)/35))/(LN(2)/35)*GH200*GI200*VLOOKUP('Données projet'!$B$17,Paramètres!$A$1:$I$89,3,0)*0.475*44/12</f>
        <v>0</v>
      </c>
      <c r="GM200" s="23">
        <f>EXP(-LN(2)/25)*GM199+(1-EXP(-LN(2)/25))/(LN(2)/25)*Calculateur!GH200*Calculateur!GJ200*VLOOKUP('Données projet'!$B$17,Paramètres!$A$1:$I$89,3,0)*0.475*44/12</f>
        <v>0</v>
      </c>
      <c r="GN200" s="23">
        <f>EXP(-LN(2)/2)*GN199+(1-EXP(-LN(2)/2))/(LN(2)/2)*GH200*GK200*VLOOKUP('Données projet'!$B$17,Paramètres!$A$1:$I$89,3,0)*0.475*44/12</f>
        <v>0</v>
      </c>
      <c r="GO200" s="23">
        <f t="shared" si="187"/>
        <v>0</v>
      </c>
      <c r="GP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-1.1368683772161603E-13</v>
      </c>
      <c r="GV200" s="18">
        <f>GU200*VLOOKUP('Données projet'!$B$18,Paramètres!$A$1:$I$89,3,0)*VLOOKUP('Données projet'!$B$18,Paramètres!$A$1:$I$89,5,0)</f>
        <v>-9.2222762759774927E-14</v>
      </c>
      <c r="GW200" s="14" t="e">
        <f t="shared" si="188"/>
        <v>#NUM!</v>
      </c>
      <c r="GX200" s="22" t="e">
        <f t="shared" si="189"/>
        <v>#NUM!</v>
      </c>
      <c r="GY200" s="60" t="e">
        <f t="shared" si="201"/>
        <v>#NUM!</v>
      </c>
      <c r="GZ200" s="60">
        <f ca="1">AVERAGE(OFFSET($GY$3,0,0,'Données projet'!$E$18+1,1))-AVERAGE(OFFSET($H$3,0,0,'Données projet'!$E$18+1,1))</f>
        <v>272.69564942740931</v>
      </c>
      <c r="HA200" s="60">
        <f t="shared" si="213"/>
        <v>316.57989180609252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>
        <f>EXP(-LN(2)/35)*HG199+(1-EXP(-LN(2)/35))/(LN(2)/35)*HC200*HD200*VLOOKUP('Données projet'!$B$18,Paramètres!$A$1:$I$89,3,0)*0.475*44/12</f>
        <v>0</v>
      </c>
      <c r="HH200" s="23">
        <f>EXP(-LN(2)/25)*HH199+(1-EXP(-LN(2)/25))/(LN(2)/25)*Calculateur!HC200*Calculateur!HE200*VLOOKUP('Données projet'!$B$18,Paramètres!$A$1:$I$89,3,0)*0.475*44/12</f>
        <v>0</v>
      </c>
      <c r="HI200" s="23">
        <f>EXP(-LN(2)/2)*HI199+(1-EXP(-LN(2)/2))/(LN(2)/2)*HC200*HF200*VLOOKUP('Données projet'!$B$18,Paramètres!$A$1:$I$89,3,0)*0.475*44/12</f>
        <v>0</v>
      </c>
      <c r="HJ200" s="24">
        <f t="shared" si="190"/>
        <v>0</v>
      </c>
    </row>
    <row r="201" spans="1:218" x14ac:dyDescent="0.25">
      <c r="A201" s="11">
        <f>A200+1</f>
        <v>198</v>
      </c>
      <c r="B201" s="75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8">
        <f t="shared" si="192"/>
        <v>183.33333333333334</v>
      </c>
      <c r="I201" s="7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-1.1368683772161603E-13</v>
      </c>
      <c r="O201" s="14">
        <f>N201*VLOOKUP('Données projet'!$B$9,Paramètres!$A$1:$I$89,3,0)*VLOOKUP('Données projet'!$B$9,Paramètres!$A$1:$I$89,5,0)</f>
        <v>-1.0286385077051818E-13</v>
      </c>
      <c r="P201" s="14" t="e">
        <f t="shared" si="203"/>
        <v>#NUM!</v>
      </c>
      <c r="Q201" s="22" t="e">
        <f t="shared" si="162"/>
        <v>#NUM!</v>
      </c>
      <c r="R201" s="60" t="e">
        <f t="shared" si="191"/>
        <v>#NUM!</v>
      </c>
      <c r="S201" s="60">
        <f ca="1">AVERAGE(OFFSET($R$3,0,0,'Données projet'!$E$9+1,1))-AVERAGE(OFFSET($H$3,0,0,'Données projet'!$E$9+1,1))</f>
        <v>570.08763950759544</v>
      </c>
      <c r="T201" s="60">
        <f t="shared" si="204"/>
        <v>297.32483725004136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-5.6843418860808015E-14</v>
      </c>
      <c r="AJ201" s="14">
        <f>AI201*VLOOKUP('Données projet'!$B$10,Paramètres!$A$1:$I$89,3,0)*VLOOKUP('Données projet'!$B$10,Paramètres!$A$1:$I$89,5,0)</f>
        <v>-4.5224624045658861E-14</v>
      </c>
      <c r="AK201" s="14" t="e">
        <f t="shared" si="164"/>
        <v>#NUM!</v>
      </c>
      <c r="AL201" s="22" t="e">
        <f t="shared" si="165"/>
        <v>#NUM!</v>
      </c>
      <c r="AM201" s="60" t="e">
        <f t="shared" si="193"/>
        <v>#NUM!</v>
      </c>
      <c r="AN201" s="60">
        <f ca="1">AVERAGE(OFFSET($AM$3,0,0,'Données projet'!$E$10+1,1))-AVERAGE(OFFSET($H$3,0,0,'Données projet'!$E$10+1,1))</f>
        <v>394.49874384716014</v>
      </c>
      <c r="AO201" s="60">
        <f t="shared" si="205"/>
        <v>423.72519584013378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3.4106051316484809E-13</v>
      </c>
      <c r="BE201" s="14">
        <f>BD201*VLOOKUP('Données projet'!$B$11,Paramètres!$A$1:$I$89,3,0)*VLOOKUP('Données projet'!$B$11,Paramètres!$A$1:$I$89,5,0)</f>
        <v>2.9795046430081134E-13</v>
      </c>
      <c r="BF201" s="14">
        <f t="shared" si="167"/>
        <v>3.9419014464513778E-12</v>
      </c>
      <c r="BG201" s="22">
        <f t="shared" si="168"/>
        <v>7.384408744560063E-12</v>
      </c>
      <c r="BH201" s="60">
        <f t="shared" si="194"/>
        <v>290.4666411692603</v>
      </c>
      <c r="BI201" s="60">
        <f ca="1">AVERAGE(OFFSET($BH$3,0,0,'Données projet'!$E$11+1,1))-AVERAGE(OFFSET($H$3,0,0,'Données projet'!$E$11+1,1))</f>
        <v>363.28611056308665</v>
      </c>
      <c r="BJ201" s="60">
        <f t="shared" si="206"/>
        <v>389.43647559455974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5.6843418860808015E-14</v>
      </c>
      <c r="BZ201" s="14">
        <f>BY201*VLOOKUP('Données projet'!$B$12,Paramètres!$A$1:$I$89,3,0)*VLOOKUP('Données projet'!$B$12,Paramètres!$A$1:$I$89,5,0)</f>
        <v>5.4092197387944907E-14</v>
      </c>
      <c r="CA201" s="14">
        <f t="shared" si="170"/>
        <v>8.7287050538073676E-13</v>
      </c>
      <c r="CB201" s="22">
        <f t="shared" si="171"/>
        <v>1.6144600406554537E-12</v>
      </c>
      <c r="CC201" s="60">
        <f t="shared" si="195"/>
        <v>290.4666411692545</v>
      </c>
      <c r="CD201" s="60">
        <f ca="1">AVERAGE(OFFSET($CC$3,0,0,'Données projet'!$E$12+1,1))-AVERAGE(OFFSET($H$3,0,0,'Données projet'!$E$12+1,1))</f>
        <v>441.15969139782891</v>
      </c>
      <c r="CE201" s="60">
        <f t="shared" si="207"/>
        <v>315.06466790224783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-5.6843418860808015E-14</v>
      </c>
      <c r="CU201" s="18">
        <f>CT201*VLOOKUP('Données projet'!$B$13,Paramètres!$A$1:$I$89,3,0)*VLOOKUP('Données projet'!$B$13,Paramètres!$A$1:$I$89,5,0)</f>
        <v>-4.1677594708744434E-14</v>
      </c>
      <c r="CV201" s="14" t="e">
        <f t="shared" si="173"/>
        <v>#NUM!</v>
      </c>
      <c r="CW201" s="22" t="e">
        <f t="shared" si="174"/>
        <v>#NUM!</v>
      </c>
      <c r="CX201" s="60" t="e">
        <f t="shared" si="196"/>
        <v>#NUM!</v>
      </c>
      <c r="CY201" s="60">
        <f ca="1">AVERAGE(OFFSET($CX$3,0,0,'Données projet'!$E$13+1,1))-AVERAGE(OFFSET($H$3,0,0,'Données projet'!$E$13+1,1))</f>
        <v>368.35775920359396</v>
      </c>
      <c r="CZ201" s="60">
        <f t="shared" si="208"/>
        <v>395.5218438652638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1.1368683772161603E-13</v>
      </c>
      <c r="DP201" s="18">
        <f>DO201*VLOOKUP('Données projet'!$B$14,Paramètres!$A$1:$I$89,3,0)*VLOOKUP('Données projet'!$B$14,Paramètres!$A$1:$I$89,5,0)</f>
        <v>8.8675733422860506E-14</v>
      </c>
      <c r="DQ201" s="14">
        <f t="shared" si="176"/>
        <v>1.3509285393066301E-12</v>
      </c>
      <c r="DR201" s="22">
        <f t="shared" si="177"/>
        <v>2.5073107750038623E-12</v>
      </c>
      <c r="DS201" s="60">
        <f t="shared" si="197"/>
        <v>290.46664116925541</v>
      </c>
      <c r="DT201" s="60">
        <f ca="1">AVERAGE(OFFSET($DS$3,0,0,'Données projet'!$E$14+1,1))-AVERAGE(OFFSET($H$3,0,0,'Données projet'!$E$14+1,1))</f>
        <v>312.59632808777332</v>
      </c>
      <c r="DU201" s="60">
        <f t="shared" si="209"/>
        <v>302.59481222418219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0</v>
      </c>
      <c r="EE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-1.1368683772161603E-13</v>
      </c>
      <c r="EK201" s="18">
        <f>EJ201*VLOOKUP('Données projet'!$B$15,Paramètres!$A$1:$I$89,3,0)*VLOOKUP('Données projet'!$B$15,Paramètres!$A$1:$I$89,5,0)</f>
        <v>-9.7543306765146564E-14</v>
      </c>
      <c r="EL201" s="14" t="e">
        <f t="shared" si="179"/>
        <v>#NUM!</v>
      </c>
      <c r="EM201" s="22" t="e">
        <f t="shared" si="180"/>
        <v>#NUM!</v>
      </c>
      <c r="EN201" s="60" t="e">
        <f t="shared" si="198"/>
        <v>#NUM!</v>
      </c>
      <c r="EO201" s="60">
        <f ca="1">AVERAGE(OFFSET($EN$3,0,0,'Données projet'!$E$15+1,1))-AVERAGE(OFFSET($H$3,0,0,'Données projet'!$E$15+1,1))</f>
        <v>478.11504516179713</v>
      </c>
      <c r="EP201" s="60">
        <f t="shared" si="210"/>
        <v>249.93713224442419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0</v>
      </c>
      <c r="EW201" s="23">
        <f>EXP(-LN(2)/25)*EW200+(1-EXP(-LN(2)/25))/(LN(2)/25)*Calculateur!ER201*Calculateur!ET201*VLOOKUP('Données projet'!$B$15,Paramètres!$A$1:$I$89,3,0)*0.475*44/12</f>
        <v>0</v>
      </c>
      <c r="EX201" s="23">
        <f>EXP(-LN(2)/2)*EX200+(1-EXP(-LN(2)/2))/(LN(2)/2)*ER201*EU201*VLOOKUP('Données projet'!$B$15,Paramètres!$A$1:$I$89,3,0)*0.475*44/12</f>
        <v>0</v>
      </c>
      <c r="EY201" s="24">
        <f t="shared" si="181"/>
        <v>0</v>
      </c>
      <c r="EZ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-1.1368683772161603E-13</v>
      </c>
      <c r="FF201" s="18">
        <f>FE201*VLOOKUP('Données projet'!$B$16,Paramètres!$A$1:$I$89,3,0)*VLOOKUP('Données projet'!$B$16,Paramètres!$A$1:$I$89,5,0)</f>
        <v>-1.0995790944434703E-13</v>
      </c>
      <c r="FG201" s="14" t="e">
        <f t="shared" si="182"/>
        <v>#NUM!</v>
      </c>
      <c r="FH201" s="22" t="e">
        <f t="shared" si="183"/>
        <v>#NUM!</v>
      </c>
      <c r="FI201" s="60" t="e">
        <f t="shared" si="199"/>
        <v>#NUM!</v>
      </c>
      <c r="FJ201" s="60">
        <f ca="1">AVERAGE(OFFSET($FI$3,0,0,'Données projet'!$E$16+1,1))-AVERAGE(OFFSET($H$3,0,0,'Données projet'!$E$16+1,1))</f>
        <v>603.52431522262032</v>
      </c>
      <c r="FK201" s="60">
        <f t="shared" si="211"/>
        <v>313.56299786481338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>
        <f>EXP(-LN(2)/35)*FQ200+(1-EXP(-LN(2)/35))/(LN(2)/35)*FM201*FN201*VLOOKUP('Données projet'!$B$16,Paramètres!$A$1:$I$89,3,0)*0.475*44/12</f>
        <v>0</v>
      </c>
      <c r="FR201" s="23">
        <f>EXP(-LN(2)/25)*FR200+(1-EXP(-LN(2)/25))/(LN(2)/25)*Calculateur!FM201*Calculateur!FO201*VLOOKUP('Données projet'!$B$16,Paramètres!$A$1:$I$89,3,0)*0.475*44/12</f>
        <v>0</v>
      </c>
      <c r="FS201" s="23">
        <f>EXP(-LN(2)/2)*FS200+(1-EXP(-LN(2)/2))/(LN(2)/2)*FM201*FP201*VLOOKUP('Données projet'!$B$16,Paramètres!$A$1:$I$89,3,0)*0.475*44/12</f>
        <v>0</v>
      </c>
      <c r="FT201" s="24">
        <f t="shared" si="184"/>
        <v>0</v>
      </c>
      <c r="FU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>
        <f>FZ201*VLOOKUP('Données projet'!$B$17,Paramètres!$A$1:$I$89,3,0)*VLOOKUP('Données projet'!$B$17,Paramètres!$A$1:$I$89,5,0)</f>
        <v>0</v>
      </c>
      <c r="GB201" s="14" t="e">
        <f t="shared" si="185"/>
        <v>#NUM!</v>
      </c>
      <c r="GC201" s="22" t="e">
        <f t="shared" si="186"/>
        <v>#NUM!</v>
      </c>
      <c r="GD201" s="60" t="e">
        <f t="shared" si="200"/>
        <v>#NUM!</v>
      </c>
      <c r="GE201" s="60">
        <f ca="1">AVERAGE(OFFSET($GD$3,0,0,'Données projet'!$E$17+1,1))-AVERAGE(OFFSET($H$3,0,0,'Données projet'!$E$17+1,1))</f>
        <v>396.0878652679051</v>
      </c>
      <c r="GF201" s="60">
        <f t="shared" si="212"/>
        <v>327.26339199235406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>
        <f>EXP(-LN(2)/35)*GL200+(1-EXP(-LN(2)/35))/(LN(2)/35)*GH201*GI201*VLOOKUP('Données projet'!$B$17,Paramètres!$A$1:$I$89,3,0)*0.475*44/12</f>
        <v>0</v>
      </c>
      <c r="GM201" s="23">
        <f>EXP(-LN(2)/25)*GM200+(1-EXP(-LN(2)/25))/(LN(2)/25)*Calculateur!GH201*Calculateur!GJ201*VLOOKUP('Données projet'!$B$17,Paramètres!$A$1:$I$89,3,0)*0.475*44/12</f>
        <v>0</v>
      </c>
      <c r="GN201" s="23">
        <f>EXP(-LN(2)/2)*GN200+(1-EXP(-LN(2)/2))/(LN(2)/2)*GH201*GK201*VLOOKUP('Données projet'!$B$17,Paramètres!$A$1:$I$89,3,0)*0.475*44/12</f>
        <v>0</v>
      </c>
      <c r="GO201" s="23">
        <f t="shared" si="187"/>
        <v>0</v>
      </c>
      <c r="GP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-1.1368683772161603E-13</v>
      </c>
      <c r="GV201" s="18">
        <f>GU201*VLOOKUP('Données projet'!$B$18,Paramètres!$A$1:$I$89,3,0)*VLOOKUP('Données projet'!$B$18,Paramètres!$A$1:$I$89,5,0)</f>
        <v>-9.2222762759774927E-14</v>
      </c>
      <c r="GW201" s="14" t="e">
        <f t="shared" si="188"/>
        <v>#NUM!</v>
      </c>
      <c r="GX201" s="22" t="e">
        <f t="shared" si="189"/>
        <v>#NUM!</v>
      </c>
      <c r="GY201" s="60" t="e">
        <f t="shared" si="201"/>
        <v>#NUM!</v>
      </c>
      <c r="GZ201" s="60">
        <f ca="1">AVERAGE(OFFSET($GY$3,0,0,'Données projet'!$E$18+1,1))-AVERAGE(OFFSET($H$3,0,0,'Données projet'!$E$18+1,1))</f>
        <v>272.69564942740931</v>
      </c>
      <c r="HA201" s="60">
        <f t="shared" si="213"/>
        <v>316.57989180609252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>
        <f>EXP(-LN(2)/35)*HG200+(1-EXP(-LN(2)/35))/(LN(2)/35)*HC201*HD201*VLOOKUP('Données projet'!$B$18,Paramètres!$A$1:$I$89,3,0)*0.475*44/12</f>
        <v>0</v>
      </c>
      <c r="HH201" s="23">
        <f>EXP(-LN(2)/25)*HH200+(1-EXP(-LN(2)/25))/(LN(2)/25)*Calculateur!HC201*Calculateur!HE201*VLOOKUP('Données projet'!$B$18,Paramètres!$A$1:$I$89,3,0)*0.475*44/12</f>
        <v>0</v>
      </c>
      <c r="HI201" s="23">
        <f>EXP(-LN(2)/2)*HI200+(1-EXP(-LN(2)/2))/(LN(2)/2)*HC201*HF201*VLOOKUP('Données projet'!$B$18,Paramètres!$A$1:$I$89,3,0)*0.475*44/12</f>
        <v>0</v>
      </c>
      <c r="HJ201" s="24">
        <f t="shared" si="190"/>
        <v>0</v>
      </c>
    </row>
    <row r="202" spans="1:218" x14ac:dyDescent="0.25">
      <c r="A202" s="11">
        <f t="shared" si="161"/>
        <v>199</v>
      </c>
      <c r="B202" s="75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8">
        <f t="shared" si="192"/>
        <v>183.33333333333334</v>
      </c>
      <c r="I202" s="7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-1.1368683772161603E-13</v>
      </c>
      <c r="O202" s="14">
        <f>N202*VLOOKUP('Données projet'!$B$9,Paramètres!$A$1:$I$89,3,0)*VLOOKUP('Données projet'!$B$9,Paramètres!$A$1:$I$89,5,0)</f>
        <v>-1.0286385077051818E-13</v>
      </c>
      <c r="P202" s="14" t="e">
        <f t="shared" si="203"/>
        <v>#NUM!</v>
      </c>
      <c r="Q202" s="22" t="e">
        <f t="shared" si="162"/>
        <v>#NUM!</v>
      </c>
      <c r="R202" s="60" t="e">
        <f t="shared" si="191"/>
        <v>#NUM!</v>
      </c>
      <c r="S202" s="60">
        <f ca="1">AVERAGE(OFFSET($R$3,0,0,'Données projet'!$E$9+1,1))-AVERAGE(OFFSET($H$3,0,0,'Données projet'!$E$9+1,1))</f>
        <v>570.08763950759544</v>
      </c>
      <c r="T202" s="60">
        <f t="shared" si="204"/>
        <v>297.32483725004136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-5.6843418860808015E-14</v>
      </c>
      <c r="AJ202" s="14">
        <f>AI202*VLOOKUP('Données projet'!$B$10,Paramètres!$A$1:$I$89,3,0)*VLOOKUP('Données projet'!$B$10,Paramètres!$A$1:$I$89,5,0)</f>
        <v>-4.5224624045658861E-14</v>
      </c>
      <c r="AK202" s="14" t="e">
        <f t="shared" si="164"/>
        <v>#NUM!</v>
      </c>
      <c r="AL202" s="22" t="e">
        <f t="shared" si="165"/>
        <v>#NUM!</v>
      </c>
      <c r="AM202" s="60" t="e">
        <f t="shared" si="193"/>
        <v>#NUM!</v>
      </c>
      <c r="AN202" s="60">
        <f ca="1">AVERAGE(OFFSET($AM$3,0,0,'Données projet'!$E$10+1,1))-AVERAGE(OFFSET($H$3,0,0,'Données projet'!$E$10+1,1))</f>
        <v>394.49874384716014</v>
      </c>
      <c r="AO202" s="60">
        <f t="shared" si="205"/>
        <v>423.72519584013378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3.4106051316484809E-13</v>
      </c>
      <c r="BE202" s="14">
        <f>BD202*VLOOKUP('Données projet'!$B$11,Paramètres!$A$1:$I$89,3,0)*VLOOKUP('Données projet'!$B$11,Paramètres!$A$1:$I$89,5,0)</f>
        <v>2.9795046430081134E-13</v>
      </c>
      <c r="BF202" s="14">
        <f t="shared" si="167"/>
        <v>3.9419014464513778E-12</v>
      </c>
      <c r="BG202" s="22">
        <f t="shared" si="168"/>
        <v>7.384408744560063E-12</v>
      </c>
      <c r="BH202" s="60">
        <f t="shared" si="194"/>
        <v>290.51637186934352</v>
      </c>
      <c r="BI202" s="60">
        <f ca="1">AVERAGE(OFFSET($BH$3,0,0,'Données projet'!$E$11+1,1))-AVERAGE(OFFSET($H$3,0,0,'Données projet'!$E$11+1,1))</f>
        <v>363.28611056308665</v>
      </c>
      <c r="BJ202" s="60">
        <f t="shared" si="206"/>
        <v>389.43647559455974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5.6843418860808015E-14</v>
      </c>
      <c r="BZ202" s="14">
        <f>BY202*VLOOKUP('Données projet'!$B$12,Paramètres!$A$1:$I$89,3,0)*VLOOKUP('Données projet'!$B$12,Paramètres!$A$1:$I$89,5,0)</f>
        <v>5.4092197387944907E-14</v>
      </c>
      <c r="CA202" s="14">
        <f t="shared" si="170"/>
        <v>8.7287050538073676E-13</v>
      </c>
      <c r="CB202" s="22">
        <f t="shared" si="171"/>
        <v>1.6144600406554537E-12</v>
      </c>
      <c r="CC202" s="60">
        <f t="shared" si="195"/>
        <v>290.51637186933772</v>
      </c>
      <c r="CD202" s="60">
        <f ca="1">AVERAGE(OFFSET($CC$3,0,0,'Données projet'!$E$12+1,1))-AVERAGE(OFFSET($H$3,0,0,'Données projet'!$E$12+1,1))</f>
        <v>441.15969139782891</v>
      </c>
      <c r="CE202" s="60">
        <f t="shared" si="207"/>
        <v>315.06466790224783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-5.6843418860808015E-14</v>
      </c>
      <c r="CU202" s="18">
        <f>CT202*VLOOKUP('Données projet'!$B$13,Paramètres!$A$1:$I$89,3,0)*VLOOKUP('Données projet'!$B$13,Paramètres!$A$1:$I$89,5,0)</f>
        <v>-4.1677594708744434E-14</v>
      </c>
      <c r="CV202" s="14" t="e">
        <f t="shared" si="173"/>
        <v>#NUM!</v>
      </c>
      <c r="CW202" s="22" t="e">
        <f t="shared" si="174"/>
        <v>#NUM!</v>
      </c>
      <c r="CX202" s="60" t="e">
        <f t="shared" si="196"/>
        <v>#NUM!</v>
      </c>
      <c r="CY202" s="60">
        <f ca="1">AVERAGE(OFFSET($CX$3,0,0,'Données projet'!$E$13+1,1))-AVERAGE(OFFSET($H$3,0,0,'Données projet'!$E$13+1,1))</f>
        <v>368.35775920359396</v>
      </c>
      <c r="CZ202" s="60">
        <f t="shared" si="208"/>
        <v>395.5218438652638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1.1368683772161603E-13</v>
      </c>
      <c r="DP202" s="18">
        <f>DO202*VLOOKUP('Données projet'!$B$14,Paramètres!$A$1:$I$89,3,0)*VLOOKUP('Données projet'!$B$14,Paramètres!$A$1:$I$89,5,0)</f>
        <v>8.8675733422860506E-14</v>
      </c>
      <c r="DQ202" s="14">
        <f t="shared" si="176"/>
        <v>1.3509285393066301E-12</v>
      </c>
      <c r="DR202" s="22">
        <f t="shared" si="177"/>
        <v>2.5073107750038623E-12</v>
      </c>
      <c r="DS202" s="60">
        <f t="shared" si="197"/>
        <v>290.51637186933863</v>
      </c>
      <c r="DT202" s="60">
        <f ca="1">AVERAGE(OFFSET($DS$3,0,0,'Données projet'!$E$14+1,1))-AVERAGE(OFFSET($H$3,0,0,'Données projet'!$E$14+1,1))</f>
        <v>312.59632808777332</v>
      </c>
      <c r="DU202" s="60">
        <f t="shared" si="209"/>
        <v>302.59481222418219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0</v>
      </c>
      <c r="EE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-1.1368683772161603E-13</v>
      </c>
      <c r="EK202" s="18">
        <f>EJ202*VLOOKUP('Données projet'!$B$15,Paramètres!$A$1:$I$89,3,0)*VLOOKUP('Données projet'!$B$15,Paramètres!$A$1:$I$89,5,0)</f>
        <v>-9.7543306765146564E-14</v>
      </c>
      <c r="EL202" s="14" t="e">
        <f t="shared" si="179"/>
        <v>#NUM!</v>
      </c>
      <c r="EM202" s="22" t="e">
        <f t="shared" si="180"/>
        <v>#NUM!</v>
      </c>
      <c r="EN202" s="60" t="e">
        <f t="shared" si="198"/>
        <v>#NUM!</v>
      </c>
      <c r="EO202" s="60">
        <f ca="1">AVERAGE(OFFSET($EN$3,0,0,'Données projet'!$E$15+1,1))-AVERAGE(OFFSET($H$3,0,0,'Données projet'!$E$15+1,1))</f>
        <v>478.11504516179713</v>
      </c>
      <c r="EP202" s="60">
        <f t="shared" si="210"/>
        <v>249.93713224442419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0</v>
      </c>
      <c r="EW202" s="23">
        <f>EXP(-LN(2)/25)*EW201+(1-EXP(-LN(2)/25))/(LN(2)/25)*Calculateur!ER202*Calculateur!ET202*VLOOKUP('Données projet'!$B$15,Paramètres!$A$1:$I$89,3,0)*0.475*44/12</f>
        <v>0</v>
      </c>
      <c r="EX202" s="23">
        <f>EXP(-LN(2)/2)*EX201+(1-EXP(-LN(2)/2))/(LN(2)/2)*ER202*EU202*VLOOKUP('Données projet'!$B$15,Paramètres!$A$1:$I$89,3,0)*0.475*44/12</f>
        <v>0</v>
      </c>
      <c r="EY202" s="24">
        <f t="shared" si="181"/>
        <v>0</v>
      </c>
      <c r="EZ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-1.1368683772161603E-13</v>
      </c>
      <c r="FF202" s="18">
        <f>FE202*VLOOKUP('Données projet'!$B$16,Paramètres!$A$1:$I$89,3,0)*VLOOKUP('Données projet'!$B$16,Paramètres!$A$1:$I$89,5,0)</f>
        <v>-1.0995790944434703E-13</v>
      </c>
      <c r="FG202" s="14" t="e">
        <f t="shared" si="182"/>
        <v>#NUM!</v>
      </c>
      <c r="FH202" s="22" t="e">
        <f t="shared" si="183"/>
        <v>#NUM!</v>
      </c>
      <c r="FI202" s="60" t="e">
        <f t="shared" si="199"/>
        <v>#NUM!</v>
      </c>
      <c r="FJ202" s="60">
        <f ca="1">AVERAGE(OFFSET($FI$3,0,0,'Données projet'!$E$16+1,1))-AVERAGE(OFFSET($H$3,0,0,'Données projet'!$E$16+1,1))</f>
        <v>603.52431522262032</v>
      </c>
      <c r="FK202" s="60">
        <f t="shared" si="211"/>
        <v>313.56299786481338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>
        <f>EXP(-LN(2)/35)*FQ201+(1-EXP(-LN(2)/35))/(LN(2)/35)*FM202*FN202*VLOOKUP('Données projet'!$B$16,Paramètres!$A$1:$I$89,3,0)*0.475*44/12</f>
        <v>0</v>
      </c>
      <c r="FR202" s="23">
        <f>EXP(-LN(2)/25)*FR201+(1-EXP(-LN(2)/25))/(LN(2)/25)*Calculateur!FM202*Calculateur!FO202*VLOOKUP('Données projet'!$B$16,Paramètres!$A$1:$I$89,3,0)*0.475*44/12</f>
        <v>0</v>
      </c>
      <c r="FS202" s="23">
        <f>EXP(-LN(2)/2)*FS201+(1-EXP(-LN(2)/2))/(LN(2)/2)*FM202*FP202*VLOOKUP('Données projet'!$B$16,Paramètres!$A$1:$I$89,3,0)*0.475*44/12</f>
        <v>0</v>
      </c>
      <c r="FT202" s="24">
        <f t="shared" si="184"/>
        <v>0</v>
      </c>
      <c r="FU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>
        <f>FZ202*VLOOKUP('Données projet'!$B$17,Paramètres!$A$1:$I$89,3,0)*VLOOKUP('Données projet'!$B$17,Paramètres!$A$1:$I$89,5,0)</f>
        <v>0</v>
      </c>
      <c r="GB202" s="14" t="e">
        <f t="shared" si="185"/>
        <v>#NUM!</v>
      </c>
      <c r="GC202" s="22" t="e">
        <f t="shared" si="186"/>
        <v>#NUM!</v>
      </c>
      <c r="GD202" s="60" t="e">
        <f t="shared" si="200"/>
        <v>#NUM!</v>
      </c>
      <c r="GE202" s="60">
        <f ca="1">AVERAGE(OFFSET($GD$3,0,0,'Données projet'!$E$17+1,1))-AVERAGE(OFFSET($H$3,0,0,'Données projet'!$E$17+1,1))</f>
        <v>396.0878652679051</v>
      </c>
      <c r="GF202" s="60">
        <f t="shared" si="212"/>
        <v>327.26339199235406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>
        <f>EXP(-LN(2)/35)*GL201+(1-EXP(-LN(2)/35))/(LN(2)/35)*GH202*GI202*VLOOKUP('Données projet'!$B$17,Paramètres!$A$1:$I$89,3,0)*0.475*44/12</f>
        <v>0</v>
      </c>
      <c r="GM202" s="23">
        <f>EXP(-LN(2)/25)*GM201+(1-EXP(-LN(2)/25))/(LN(2)/25)*Calculateur!GH202*Calculateur!GJ202*VLOOKUP('Données projet'!$B$17,Paramètres!$A$1:$I$89,3,0)*0.475*44/12</f>
        <v>0</v>
      </c>
      <c r="GN202" s="23">
        <f>EXP(-LN(2)/2)*GN201+(1-EXP(-LN(2)/2))/(LN(2)/2)*GH202*GK202*VLOOKUP('Données projet'!$B$17,Paramètres!$A$1:$I$89,3,0)*0.475*44/12</f>
        <v>0</v>
      </c>
      <c r="GO202" s="23">
        <f t="shared" si="187"/>
        <v>0</v>
      </c>
      <c r="GP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-1.1368683772161603E-13</v>
      </c>
      <c r="GV202" s="18">
        <f>GU202*VLOOKUP('Données projet'!$B$18,Paramètres!$A$1:$I$89,3,0)*VLOOKUP('Données projet'!$B$18,Paramètres!$A$1:$I$89,5,0)</f>
        <v>-9.2222762759774927E-14</v>
      </c>
      <c r="GW202" s="14" t="e">
        <f t="shared" si="188"/>
        <v>#NUM!</v>
      </c>
      <c r="GX202" s="22" t="e">
        <f t="shared" si="189"/>
        <v>#NUM!</v>
      </c>
      <c r="GY202" s="60" t="e">
        <f t="shared" si="201"/>
        <v>#NUM!</v>
      </c>
      <c r="GZ202" s="60">
        <f ca="1">AVERAGE(OFFSET($GY$3,0,0,'Données projet'!$E$18+1,1))-AVERAGE(OFFSET($H$3,0,0,'Données projet'!$E$18+1,1))</f>
        <v>272.69564942740931</v>
      </c>
      <c r="HA202" s="60">
        <f t="shared" si="213"/>
        <v>316.57989180609252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>
        <f>EXP(-LN(2)/35)*HG201+(1-EXP(-LN(2)/35))/(LN(2)/35)*HC202*HD202*VLOOKUP('Données projet'!$B$18,Paramètres!$A$1:$I$89,3,0)*0.475*44/12</f>
        <v>0</v>
      </c>
      <c r="HH202" s="23">
        <f>EXP(-LN(2)/25)*HH201+(1-EXP(-LN(2)/25))/(LN(2)/25)*Calculateur!HC202*Calculateur!HE202*VLOOKUP('Données projet'!$B$18,Paramètres!$A$1:$I$89,3,0)*0.475*44/12</f>
        <v>0</v>
      </c>
      <c r="HI202" s="23">
        <f>EXP(-LN(2)/2)*HI201+(1-EXP(-LN(2)/2))/(LN(2)/2)*HC202*HF202*VLOOKUP('Données projet'!$B$18,Paramètres!$A$1:$I$89,3,0)*0.475*44/12</f>
        <v>0</v>
      </c>
      <c r="HJ202" s="24">
        <f t="shared" si="190"/>
        <v>0</v>
      </c>
    </row>
    <row r="203" spans="1:218" ht="15.75" thickBot="1" x14ac:dyDescent="0.3">
      <c r="A203" s="11">
        <f>A202+1</f>
        <v>200</v>
      </c>
      <c r="B203" s="75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8">
        <f t="shared" si="192"/>
        <v>183.33333333333334</v>
      </c>
      <c r="I203" s="7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-1.1368683772161603E-13</v>
      </c>
      <c r="O203" s="14">
        <f>N203*VLOOKUP('Données projet'!$B$9,Paramètres!$A$1:$I$89,3,0)*VLOOKUP('Données projet'!$B$9,Paramètres!$A$1:$I$89,5,0)</f>
        <v>-1.0286385077051818E-13</v>
      </c>
      <c r="P203" s="14" t="e">
        <f t="shared" si="203"/>
        <v>#NUM!</v>
      </c>
      <c r="Q203" s="22" t="e">
        <f t="shared" si="162"/>
        <v>#NUM!</v>
      </c>
      <c r="R203" s="60" t="e">
        <f t="shared" si="191"/>
        <v>#NUM!</v>
      </c>
      <c r="S203" s="60">
        <f ca="1">AVERAGE(OFFSET($R$3,0,0,'Données projet'!$E$9+1,1))-AVERAGE(OFFSET($H$3,0,0,'Données projet'!$E$9+1,1))</f>
        <v>570.08763950759544</v>
      </c>
      <c r="T203" s="60">
        <f t="shared" si="204"/>
        <v>297.32483725004136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-5.6843418860808015E-14</v>
      </c>
      <c r="AJ203" s="14">
        <f>AI203*VLOOKUP('Données projet'!$B$10,Paramètres!$A$1:$I$89,3,0)*VLOOKUP('Données projet'!$B$10,Paramètres!$A$1:$I$89,5,0)</f>
        <v>-4.5224624045658861E-14</v>
      </c>
      <c r="AK203" s="14" t="e">
        <f t="shared" si="164"/>
        <v>#NUM!</v>
      </c>
      <c r="AL203" s="22" t="e">
        <f t="shared" si="165"/>
        <v>#NUM!</v>
      </c>
      <c r="AM203" s="60" t="e">
        <f t="shared" si="193"/>
        <v>#NUM!</v>
      </c>
      <c r="AN203" s="60">
        <f ca="1">AVERAGE(OFFSET($AM$3,0,0,'Données projet'!$E$10+1,1))-AVERAGE(OFFSET($H$3,0,0,'Données projet'!$E$10+1,1))</f>
        <v>394.49874384716014</v>
      </c>
      <c r="AO203" s="60">
        <f t="shared" si="205"/>
        <v>423.72519584013378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3.4106051316484809E-13</v>
      </c>
      <c r="BE203" s="14">
        <f>BD203*VLOOKUP('Données projet'!$B$11,Paramètres!$A$1:$I$89,3,0)*VLOOKUP('Données projet'!$B$11,Paramètres!$A$1:$I$89,5,0)</f>
        <v>2.9795046430081134E-13</v>
      </c>
      <c r="BF203" s="14">
        <f t="shared" si="167"/>
        <v>3.9419014464513778E-12</v>
      </c>
      <c r="BG203" s="22">
        <f t="shared" si="168"/>
        <v>7.384408744560063E-12</v>
      </c>
      <c r="BH203" s="60">
        <f t="shared" si="194"/>
        <v>290.5652398529615</v>
      </c>
      <c r="BI203" s="60">
        <f ca="1">AVERAGE(OFFSET($BH$3,0,0,'Données projet'!$E$11+1,1))-AVERAGE(OFFSET($H$3,0,0,'Données projet'!$E$11+1,1))</f>
        <v>363.28611056308665</v>
      </c>
      <c r="BJ203" s="60">
        <f t="shared" si="206"/>
        <v>389.43647559455974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5.6843418860808015E-14</v>
      </c>
      <c r="BZ203" s="14">
        <f>BY203*VLOOKUP('Données projet'!$B$12,Paramètres!$A$1:$I$89,3,0)*VLOOKUP('Données projet'!$B$12,Paramètres!$A$1:$I$89,5,0)</f>
        <v>5.4092197387944907E-14</v>
      </c>
      <c r="CA203" s="14">
        <f t="shared" si="170"/>
        <v>8.7287050538073676E-13</v>
      </c>
      <c r="CB203" s="22">
        <f t="shared" si="171"/>
        <v>1.6144600406554537E-12</v>
      </c>
      <c r="CC203" s="60">
        <f t="shared" si="195"/>
        <v>290.5652398529557</v>
      </c>
      <c r="CD203" s="60">
        <f ca="1">AVERAGE(OFFSET($CC$3,0,0,'Données projet'!$E$12+1,1))-AVERAGE(OFFSET($H$3,0,0,'Données projet'!$E$12+1,1))</f>
        <v>441.15969139782891</v>
      </c>
      <c r="CE203" s="60">
        <f t="shared" si="207"/>
        <v>315.06466790224783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-5.6843418860808015E-14</v>
      </c>
      <c r="CU203" s="18">
        <f>CT203*VLOOKUP('Données projet'!$B$13,Paramètres!$A$1:$I$89,3,0)*VLOOKUP('Données projet'!$B$13,Paramètres!$A$1:$I$89,5,0)</f>
        <v>-4.1677594708744434E-14</v>
      </c>
      <c r="CV203" s="14" t="e">
        <f t="shared" si="173"/>
        <v>#NUM!</v>
      </c>
      <c r="CW203" s="22" t="e">
        <f t="shared" si="174"/>
        <v>#NUM!</v>
      </c>
      <c r="CX203" s="60" t="e">
        <f t="shared" si="196"/>
        <v>#NUM!</v>
      </c>
      <c r="CY203" s="60">
        <f ca="1">AVERAGE(OFFSET($CX$3,0,0,'Données projet'!$E$13+1,1))-AVERAGE(OFFSET($H$3,0,0,'Données projet'!$E$13+1,1))</f>
        <v>368.35775920359396</v>
      </c>
      <c r="CZ203" s="60">
        <f t="shared" si="208"/>
        <v>395.5218438652638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1.1368683772161603E-13</v>
      </c>
      <c r="DP203" s="18">
        <f>DO203*VLOOKUP('Données projet'!$B$14,Paramètres!$A$1:$I$89,3,0)*VLOOKUP('Données projet'!$B$14,Paramètres!$A$1:$I$89,5,0)</f>
        <v>8.8675733422860506E-14</v>
      </c>
      <c r="DQ203" s="14">
        <f t="shared" si="176"/>
        <v>1.3509285393066301E-12</v>
      </c>
      <c r="DR203" s="22">
        <f t="shared" si="177"/>
        <v>2.5073107750038623E-12</v>
      </c>
      <c r="DS203" s="60">
        <f t="shared" si="197"/>
        <v>290.56523985295661</v>
      </c>
      <c r="DT203" s="60">
        <f ca="1">AVERAGE(OFFSET($DS$3,0,0,'Données projet'!$E$14+1,1))-AVERAGE(OFFSET($H$3,0,0,'Données projet'!$E$14+1,1))</f>
        <v>312.59632808777332</v>
      </c>
      <c r="DU203" s="60">
        <f t="shared" si="209"/>
        <v>302.59481222418219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0</v>
      </c>
      <c r="EE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-1.1368683772161603E-13</v>
      </c>
      <c r="EK203" s="18">
        <f>EJ203*VLOOKUP('Données projet'!$B$15,Paramètres!$A$1:$I$89,3,0)*VLOOKUP('Données projet'!$B$15,Paramètres!$A$1:$I$89,5,0)</f>
        <v>-9.7543306765146564E-14</v>
      </c>
      <c r="EL203" s="14" t="e">
        <f t="shared" si="179"/>
        <v>#NUM!</v>
      </c>
      <c r="EM203" s="22" t="e">
        <f t="shared" si="180"/>
        <v>#NUM!</v>
      </c>
      <c r="EN203" s="60" t="e">
        <f t="shared" si="198"/>
        <v>#NUM!</v>
      </c>
      <c r="EO203" s="60">
        <f ca="1">AVERAGE(OFFSET($EN$3,0,0,'Données projet'!$E$15+1,1))-AVERAGE(OFFSET($H$3,0,0,'Données projet'!$E$15+1,1))</f>
        <v>478.11504516179713</v>
      </c>
      <c r="EP203" s="60">
        <f t="shared" si="210"/>
        <v>249.93713224442419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0</v>
      </c>
      <c r="EW203" s="23">
        <f>EXP(-LN(2)/25)*EW202+(1-EXP(-LN(2)/25))/(LN(2)/25)*Calculateur!ER203*Calculateur!ET203*VLOOKUP('Données projet'!$B$15,Paramètres!$A$1:$I$89,3,0)*0.475*44/12</f>
        <v>0</v>
      </c>
      <c r="EX203" s="23">
        <f>EXP(-LN(2)/2)*EX202+(1-EXP(-LN(2)/2))/(LN(2)/2)*ER203*EU203*VLOOKUP('Données projet'!$B$15,Paramètres!$A$1:$I$89,3,0)*0.475*44/12</f>
        <v>0</v>
      </c>
      <c r="EY203" s="24">
        <f t="shared" si="181"/>
        <v>0</v>
      </c>
      <c r="EZ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-1.1368683772161603E-13</v>
      </c>
      <c r="FF203" s="18">
        <f>FE203*VLOOKUP('Données projet'!$B$16,Paramètres!$A$1:$I$89,3,0)*VLOOKUP('Données projet'!$B$16,Paramètres!$A$1:$I$89,5,0)</f>
        <v>-1.0995790944434703E-13</v>
      </c>
      <c r="FG203" s="14" t="e">
        <f t="shared" si="182"/>
        <v>#NUM!</v>
      </c>
      <c r="FH203" s="22" t="e">
        <f t="shared" si="183"/>
        <v>#NUM!</v>
      </c>
      <c r="FI203" s="60" t="e">
        <f t="shared" si="199"/>
        <v>#NUM!</v>
      </c>
      <c r="FJ203" s="60">
        <f ca="1">AVERAGE(OFFSET($FI$3,0,0,'Données projet'!$E$16+1,1))-AVERAGE(OFFSET($H$3,0,0,'Données projet'!$E$16+1,1))</f>
        <v>603.52431522262032</v>
      </c>
      <c r="FK203" s="60">
        <f t="shared" si="211"/>
        <v>313.56299786481338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>
        <f>EXP(-LN(2)/35)*FQ202+(1-EXP(-LN(2)/35))/(LN(2)/35)*FM203*FN203*VLOOKUP('Données projet'!$B$16,Paramètres!$A$1:$I$89,3,0)*0.475*44/12</f>
        <v>0</v>
      </c>
      <c r="FR203" s="23">
        <f>EXP(-LN(2)/25)*FR202+(1-EXP(-LN(2)/25))/(LN(2)/25)*Calculateur!FM203*Calculateur!FO203*VLOOKUP('Données projet'!$B$16,Paramètres!$A$1:$I$89,3,0)*0.475*44/12</f>
        <v>0</v>
      </c>
      <c r="FS203" s="23">
        <f>EXP(-LN(2)/2)*FS202+(1-EXP(-LN(2)/2))/(LN(2)/2)*FM203*FP203*VLOOKUP('Données projet'!$B$16,Paramètres!$A$1:$I$89,3,0)*0.475*44/12</f>
        <v>0</v>
      </c>
      <c r="FT203" s="24">
        <f t="shared" si="184"/>
        <v>0</v>
      </c>
      <c r="FU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>
        <f>FZ203*VLOOKUP('Données projet'!$B$17,Paramètres!$A$1:$I$89,3,0)*VLOOKUP('Données projet'!$B$17,Paramètres!$A$1:$I$89,5,0)</f>
        <v>0</v>
      </c>
      <c r="GB203" s="14" t="e">
        <f t="shared" si="185"/>
        <v>#NUM!</v>
      </c>
      <c r="GC203" s="22" t="e">
        <f t="shared" si="186"/>
        <v>#NUM!</v>
      </c>
      <c r="GD203" s="60" t="e">
        <f t="shared" si="200"/>
        <v>#NUM!</v>
      </c>
      <c r="GE203" s="60">
        <f ca="1">AVERAGE(OFFSET($GD$3,0,0,'Données projet'!$E$17+1,1))-AVERAGE(OFFSET($H$3,0,0,'Données projet'!$E$17+1,1))</f>
        <v>396.0878652679051</v>
      </c>
      <c r="GF203" s="60">
        <f t="shared" si="212"/>
        <v>327.26339199235406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>
        <f>EXP(-LN(2)/35)*GL202+(1-EXP(-LN(2)/35))/(LN(2)/35)*GH203*GI203*VLOOKUP('Données projet'!$B$17,Paramètres!$A$1:$I$89,3,0)*0.475*44/12</f>
        <v>0</v>
      </c>
      <c r="GM203" s="23">
        <f>EXP(-LN(2)/25)*GM202+(1-EXP(-LN(2)/25))/(LN(2)/25)*Calculateur!GH203*Calculateur!GJ203*VLOOKUP('Données projet'!$B$17,Paramètres!$A$1:$I$89,3,0)*0.475*44/12</f>
        <v>0</v>
      </c>
      <c r="GN203" s="23">
        <f>EXP(-LN(2)/2)*GN202+(1-EXP(-LN(2)/2))/(LN(2)/2)*GH203*GK203*VLOOKUP('Données projet'!$B$17,Paramètres!$A$1:$I$89,3,0)*0.475*44/12</f>
        <v>0</v>
      </c>
      <c r="GO203" s="23">
        <f t="shared" si="187"/>
        <v>0</v>
      </c>
      <c r="GP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-1.1368683772161603E-13</v>
      </c>
      <c r="GV203" s="18">
        <f>GU203*VLOOKUP('Données projet'!$B$18,Paramètres!$A$1:$I$89,3,0)*VLOOKUP('Données projet'!$B$18,Paramètres!$A$1:$I$89,5,0)</f>
        <v>-9.2222762759774927E-14</v>
      </c>
      <c r="GW203" s="14" t="e">
        <f t="shared" si="188"/>
        <v>#NUM!</v>
      </c>
      <c r="GX203" s="22" t="e">
        <f t="shared" si="189"/>
        <v>#NUM!</v>
      </c>
      <c r="GY203" s="60" t="e">
        <f t="shared" si="201"/>
        <v>#NUM!</v>
      </c>
      <c r="GZ203" s="60">
        <f ca="1">AVERAGE(OFFSET($GY$3,0,0,'Données projet'!$E$18+1,1))-AVERAGE(OFFSET($H$3,0,0,'Données projet'!$E$18+1,1))</f>
        <v>272.69564942740931</v>
      </c>
      <c r="HA203" s="60">
        <f t="shared" si="213"/>
        <v>316.57989180609252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>
        <f>EXP(-LN(2)/35)*HG202+(1-EXP(-LN(2)/35))/(LN(2)/35)*HC203*HD203*VLOOKUP('Données projet'!$B$18,Paramètres!$A$1:$I$89,3,0)*0.475*44/12</f>
        <v>0</v>
      </c>
      <c r="HH203" s="23">
        <f>EXP(-LN(2)/25)*HH202+(1-EXP(-LN(2)/25))/(LN(2)/25)*Calculateur!HC203*Calculateur!HE203*VLOOKUP('Données projet'!$B$18,Paramètres!$A$1:$I$89,3,0)*0.475*44/12</f>
        <v>0</v>
      </c>
      <c r="HI203" s="23">
        <f>EXP(-LN(2)/2)*HI202+(1-EXP(-LN(2)/2))/(LN(2)/2)*HC203*HF203*VLOOKUP('Données projet'!$B$18,Paramètres!$A$1:$I$89,3,0)*0.475*44/12</f>
        <v>0</v>
      </c>
      <c r="HJ203" s="24">
        <f t="shared" si="190"/>
        <v>0</v>
      </c>
    </row>
    <row r="204" spans="1:218" ht="15.75" thickBot="1" x14ac:dyDescent="0.3">
      <c r="B204" s="81"/>
      <c r="C204" s="79"/>
      <c r="D204" s="80"/>
      <c r="E204" s="80"/>
      <c r="F204" s="80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9"/>
      <c r="I204" s="79"/>
      <c r="J204" s="79"/>
      <c r="K204" s="88" t="s">
        <v>293</v>
      </c>
      <c r="L204" s="82"/>
      <c r="M204" s="82"/>
      <c r="N204" s="82"/>
      <c r="O204" s="79"/>
      <c r="P204" s="79"/>
      <c r="Q204" s="80"/>
      <c r="R204" s="83"/>
      <c r="S204" s="83"/>
      <c r="T204" s="83"/>
      <c r="U204" s="82"/>
      <c r="V204" s="82"/>
      <c r="W204" s="84"/>
      <c r="X204" s="84"/>
      <c r="Y204" s="84"/>
      <c r="Z204" s="79"/>
      <c r="AA204" s="79"/>
      <c r="AB204" s="79"/>
      <c r="AC204" s="79"/>
      <c r="AD204" s="79"/>
      <c r="AE204" s="79"/>
      <c r="AF204" s="85" t="s">
        <v>293</v>
      </c>
      <c r="BA204" s="85" t="s">
        <v>293</v>
      </c>
      <c r="BV204" s="85" t="s">
        <v>293</v>
      </c>
      <c r="CQ204" s="85" t="s">
        <v>293</v>
      </c>
      <c r="DL204" s="85" t="s">
        <v>293</v>
      </c>
      <c r="EG204" s="85" t="s">
        <v>293</v>
      </c>
      <c r="FB204" s="85" t="s">
        <v>293</v>
      </c>
      <c r="FW204" s="85" t="s">
        <v>293</v>
      </c>
      <c r="GR204" s="85" t="s">
        <v>293</v>
      </c>
    </row>
    <row r="205" spans="1:218" ht="15.75" thickBot="1" x14ac:dyDescent="0.3">
      <c r="B205" s="81"/>
      <c r="C205" s="79"/>
      <c r="D205" s="80"/>
      <c r="E205" s="80"/>
      <c r="F205" s="80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9"/>
      <c r="I205" s="79"/>
      <c r="J205" s="79"/>
      <c r="K205" s="86">
        <f>EXP(LN('Données projet'!B36)/'Données projet'!A36)</f>
        <v>1.2392705892426346</v>
      </c>
      <c r="L205" s="82"/>
      <c r="M205" s="82"/>
      <c r="N205" s="82"/>
      <c r="O205" s="79"/>
      <c r="P205" s="79"/>
      <c r="Q205" s="80"/>
      <c r="R205" s="83"/>
      <c r="S205" s="83"/>
      <c r="T205" s="83"/>
      <c r="U205" s="82"/>
      <c r="V205" s="82"/>
      <c r="W205" s="84"/>
      <c r="X205" s="84"/>
      <c r="Y205" s="84"/>
      <c r="Z205" s="79"/>
      <c r="AA205" s="79"/>
      <c r="AB205" s="79"/>
      <c r="AC205" s="79"/>
      <c r="AD205" s="79"/>
      <c r="AE205" s="79"/>
      <c r="AF205" s="87">
        <f>EXP(LN('Données projet'!B62)/'Données projet'!A62)</f>
        <v>1.2721323532877689</v>
      </c>
      <c r="BA205" s="86">
        <f>EXP(LN('Données projet'!B88)/'Données projet'!A88)</f>
        <v>1.2730870686066207</v>
      </c>
      <c r="BV205" s="86">
        <f>EXP(LN('Données projet'!B114)/'Données projet'!A114)</f>
        <v>1.2934226882877784</v>
      </c>
      <c r="CQ205" s="86">
        <f>EXP(LN('Données projet'!B140)/'Données projet'!A140)</f>
        <v>1.2721323532877689</v>
      </c>
      <c r="DL205" s="86">
        <f>EXP(LN('Données projet'!B166)/'Données projet'!A166)</f>
        <v>1.2788040393997409</v>
      </c>
      <c r="EG205" s="86">
        <f>EXP(LN('Données projet'!B192)/'Données projet'!A192)</f>
        <v>1.1745459910013509</v>
      </c>
      <c r="FB205" s="86">
        <f>EXP(LN('Données projet'!B218)/'Données projet'!A218)</f>
        <v>1.2392705892426346</v>
      </c>
      <c r="FW205" s="86">
        <f>EXP(LN('Données projet'!B244)/'Données projet'!A244)</f>
        <v>1.4172437739267318</v>
      </c>
      <c r="GR205" s="86">
        <f>EXP(LN('Données projet'!B270)/'Données projet'!A270)</f>
        <v>1.2457309396155174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18" t="s">
        <v>0</v>
      </c>
      <c r="B1" s="119" t="s">
        <v>106</v>
      </c>
      <c r="C1" s="120" t="s">
        <v>144</v>
      </c>
      <c r="D1" s="119" t="s">
        <v>100</v>
      </c>
      <c r="E1" s="120" t="s">
        <v>145</v>
      </c>
      <c r="F1" s="120" t="s">
        <v>100</v>
      </c>
      <c r="G1" s="120" t="s">
        <v>146</v>
      </c>
      <c r="H1" s="120" t="s">
        <v>100</v>
      </c>
      <c r="I1" s="121" t="s">
        <v>147</v>
      </c>
      <c r="J1" s="98"/>
      <c r="K1" s="98"/>
      <c r="L1" s="98"/>
      <c r="M1" s="98"/>
      <c r="N1" s="98"/>
    </row>
    <row r="2" spans="1:16" x14ac:dyDescent="0.25">
      <c r="A2" s="122" t="s">
        <v>1</v>
      </c>
      <c r="B2" s="123" t="s">
        <v>53</v>
      </c>
      <c r="C2" s="124">
        <v>0.62</v>
      </c>
      <c r="D2" s="124" t="s">
        <v>161</v>
      </c>
      <c r="E2" s="124">
        <v>1.56</v>
      </c>
      <c r="F2" s="124" t="s">
        <v>274</v>
      </c>
      <c r="G2" s="125">
        <v>0.43</v>
      </c>
      <c r="H2" s="126" t="s">
        <v>278</v>
      </c>
      <c r="I2" s="127">
        <v>0.25</v>
      </c>
      <c r="J2" s="98"/>
      <c r="K2" s="98"/>
      <c r="L2" s="98"/>
      <c r="M2" s="98"/>
      <c r="N2" s="98"/>
      <c r="O2" s="315" t="s">
        <v>238</v>
      </c>
      <c r="P2" s="128">
        <v>0</v>
      </c>
    </row>
    <row r="3" spans="1:16" ht="15.75" thickBot="1" x14ac:dyDescent="0.3">
      <c r="A3" s="129" t="s">
        <v>2</v>
      </c>
      <c r="B3" s="130" t="s">
        <v>54</v>
      </c>
      <c r="C3" s="131">
        <v>0.64</v>
      </c>
      <c r="D3" s="131" t="s">
        <v>161</v>
      </c>
      <c r="E3" s="131">
        <v>1.56</v>
      </c>
      <c r="F3" s="132" t="s">
        <v>274</v>
      </c>
      <c r="G3" s="133">
        <v>0.43</v>
      </c>
      <c r="H3" s="131" t="s">
        <v>278</v>
      </c>
      <c r="I3" s="134">
        <v>0.25</v>
      </c>
      <c r="J3" s="98"/>
      <c r="K3" s="98"/>
      <c r="L3" s="98"/>
      <c r="M3" s="98"/>
      <c r="N3" s="98"/>
      <c r="O3" s="316"/>
      <c r="P3" s="135">
        <v>0.2</v>
      </c>
    </row>
    <row r="4" spans="1:16" ht="15.75" thickBot="1" x14ac:dyDescent="0.3">
      <c r="A4" s="129" t="s">
        <v>98</v>
      </c>
      <c r="B4" s="130" t="s">
        <v>99</v>
      </c>
      <c r="C4" s="131">
        <v>0.42</v>
      </c>
      <c r="D4" s="131" t="s">
        <v>161</v>
      </c>
      <c r="E4" s="131">
        <v>1.56</v>
      </c>
      <c r="F4" s="132" t="s">
        <v>274</v>
      </c>
      <c r="G4" s="133">
        <v>0.43</v>
      </c>
      <c r="H4" s="131" t="s">
        <v>278</v>
      </c>
      <c r="I4" s="134">
        <v>0.25</v>
      </c>
      <c r="J4" s="98"/>
      <c r="K4" s="98"/>
      <c r="L4" s="98"/>
      <c r="M4" s="98"/>
      <c r="N4" s="98"/>
    </row>
    <row r="5" spans="1:16" x14ac:dyDescent="0.25">
      <c r="A5" s="129" t="s">
        <v>4</v>
      </c>
      <c r="B5" s="130" t="s">
        <v>55</v>
      </c>
      <c r="C5" s="131">
        <v>0.42</v>
      </c>
      <c r="D5" s="131" t="s">
        <v>161</v>
      </c>
      <c r="E5" s="131">
        <v>1.56</v>
      </c>
      <c r="F5" s="132" t="s">
        <v>274</v>
      </c>
      <c r="G5" s="133">
        <v>0.43</v>
      </c>
      <c r="H5" s="131" t="s">
        <v>278</v>
      </c>
      <c r="I5" s="134">
        <v>0.25</v>
      </c>
      <c r="J5" s="98"/>
      <c r="K5" s="98"/>
      <c r="L5" s="98"/>
      <c r="M5" s="98"/>
      <c r="N5" s="98"/>
      <c r="O5" s="315" t="s">
        <v>237</v>
      </c>
      <c r="P5" s="128">
        <v>0</v>
      </c>
    </row>
    <row r="6" spans="1:16" x14ac:dyDescent="0.25">
      <c r="A6" s="129" t="s">
        <v>3</v>
      </c>
      <c r="B6" s="130" t="s">
        <v>97</v>
      </c>
      <c r="C6" s="131">
        <v>0.42</v>
      </c>
      <c r="D6" s="131" t="s">
        <v>161</v>
      </c>
      <c r="E6" s="131">
        <v>1.56</v>
      </c>
      <c r="F6" s="132" t="s">
        <v>274</v>
      </c>
      <c r="G6" s="133">
        <v>0.43</v>
      </c>
      <c r="H6" s="131" t="s">
        <v>278</v>
      </c>
      <c r="I6" s="134">
        <v>0.25</v>
      </c>
      <c r="J6" s="98"/>
      <c r="K6" s="98"/>
      <c r="L6" s="98"/>
      <c r="M6" s="98"/>
      <c r="N6" s="98"/>
      <c r="O6" s="317"/>
      <c r="P6" s="136">
        <v>0.05</v>
      </c>
    </row>
    <row r="7" spans="1:16" x14ac:dyDescent="0.25">
      <c r="A7" s="129" t="s">
        <v>5</v>
      </c>
      <c r="B7" s="130" t="s">
        <v>56</v>
      </c>
      <c r="C7" s="131">
        <v>0.52</v>
      </c>
      <c r="D7" s="131" t="s">
        <v>161</v>
      </c>
      <c r="E7" s="131">
        <v>1.56</v>
      </c>
      <c r="F7" s="132" t="s">
        <v>274</v>
      </c>
      <c r="G7" s="133">
        <v>0.43</v>
      </c>
      <c r="H7" s="131" t="s">
        <v>278</v>
      </c>
      <c r="I7" s="134">
        <v>0.25</v>
      </c>
      <c r="J7" s="98"/>
      <c r="K7" s="98"/>
      <c r="L7" s="98"/>
      <c r="M7" s="98"/>
      <c r="N7" s="98"/>
      <c r="O7" s="317"/>
      <c r="P7" s="136">
        <v>0.1</v>
      </c>
    </row>
    <row r="8" spans="1:16" ht="15.75" thickBot="1" x14ac:dyDescent="0.3">
      <c r="A8" s="129" t="s">
        <v>164</v>
      </c>
      <c r="B8" s="130" t="s">
        <v>57</v>
      </c>
      <c r="C8" s="131">
        <v>0.36</v>
      </c>
      <c r="D8" s="131" t="s">
        <v>161</v>
      </c>
      <c r="E8" s="131">
        <v>1.3</v>
      </c>
      <c r="F8" s="132" t="s">
        <v>274</v>
      </c>
      <c r="G8" s="133">
        <v>0.55000000000000004</v>
      </c>
      <c r="H8" s="131" t="s">
        <v>153</v>
      </c>
      <c r="I8" s="134">
        <v>0.43</v>
      </c>
      <c r="J8" s="98"/>
      <c r="K8" s="98"/>
      <c r="L8" s="98"/>
      <c r="M8" s="98"/>
      <c r="N8" s="98"/>
      <c r="O8" s="316"/>
      <c r="P8" s="135">
        <v>0.15</v>
      </c>
    </row>
    <row r="9" spans="1:16" ht="15.75" thickBot="1" x14ac:dyDescent="0.3">
      <c r="A9" s="129" t="s">
        <v>6</v>
      </c>
      <c r="B9" s="130" t="s">
        <v>58</v>
      </c>
      <c r="C9" s="131">
        <v>0.61</v>
      </c>
      <c r="D9" s="131" t="s">
        <v>161</v>
      </c>
      <c r="E9" s="131">
        <v>1.56</v>
      </c>
      <c r="F9" s="132" t="s">
        <v>274</v>
      </c>
      <c r="G9" s="133">
        <v>0.43</v>
      </c>
      <c r="H9" s="131" t="s">
        <v>278</v>
      </c>
      <c r="I9" s="134">
        <v>0.25</v>
      </c>
      <c r="J9" s="98"/>
      <c r="K9" s="98"/>
      <c r="L9" s="98"/>
      <c r="M9" s="98"/>
      <c r="N9" s="98"/>
    </row>
    <row r="10" spans="1:16" x14ac:dyDescent="0.25">
      <c r="A10" s="129" t="s">
        <v>7</v>
      </c>
      <c r="B10" s="130" t="s">
        <v>59</v>
      </c>
      <c r="C10" s="131">
        <v>0.66</v>
      </c>
      <c r="D10" s="131" t="s">
        <v>161</v>
      </c>
      <c r="E10" s="131">
        <v>1.56</v>
      </c>
      <c r="F10" s="132" t="s">
        <v>274</v>
      </c>
      <c r="G10" s="133">
        <v>0.43</v>
      </c>
      <c r="H10" s="131" t="s">
        <v>278</v>
      </c>
      <c r="I10" s="134">
        <v>0.25</v>
      </c>
      <c r="J10" s="98"/>
      <c r="K10" s="98"/>
      <c r="L10" s="98"/>
      <c r="M10" s="98"/>
      <c r="N10" s="98"/>
      <c r="O10" s="315" t="s">
        <v>236</v>
      </c>
      <c r="P10" s="128">
        <v>0</v>
      </c>
    </row>
    <row r="11" spans="1:16" ht="15.75" thickBot="1" x14ac:dyDescent="0.3">
      <c r="A11" s="129" t="s">
        <v>8</v>
      </c>
      <c r="B11" s="130" t="s">
        <v>60</v>
      </c>
      <c r="C11" s="131">
        <v>0.47</v>
      </c>
      <c r="D11" s="131" t="s">
        <v>161</v>
      </c>
      <c r="E11" s="131">
        <v>1.56</v>
      </c>
      <c r="F11" s="132" t="s">
        <v>274</v>
      </c>
      <c r="G11" s="133">
        <v>0.43</v>
      </c>
      <c r="H11" s="131" t="s">
        <v>278</v>
      </c>
      <c r="I11" s="134">
        <v>0.25</v>
      </c>
      <c r="J11" s="98"/>
      <c r="K11" s="98"/>
      <c r="L11" s="98"/>
      <c r="M11" s="98"/>
      <c r="N11" s="98"/>
      <c r="O11" s="316"/>
      <c r="P11" s="135">
        <v>0.1</v>
      </c>
    </row>
    <row r="12" spans="1:16" x14ac:dyDescent="0.25">
      <c r="A12" s="129" t="s">
        <v>9</v>
      </c>
      <c r="B12" s="130" t="s">
        <v>61</v>
      </c>
      <c r="C12" s="131">
        <v>0.67</v>
      </c>
      <c r="D12" s="131" t="s">
        <v>161</v>
      </c>
      <c r="E12" s="131">
        <v>1.56</v>
      </c>
      <c r="F12" s="132" t="s">
        <v>274</v>
      </c>
      <c r="G12" s="133">
        <v>0.43</v>
      </c>
      <c r="H12" s="131" t="s">
        <v>152</v>
      </c>
      <c r="I12" s="134">
        <v>0.25</v>
      </c>
      <c r="J12" s="98"/>
      <c r="K12" s="98"/>
      <c r="L12" s="98"/>
      <c r="M12" s="98"/>
      <c r="N12" s="98"/>
    </row>
    <row r="13" spans="1:16" x14ac:dyDescent="0.25">
      <c r="A13" s="129" t="s">
        <v>10</v>
      </c>
      <c r="B13" s="130" t="s">
        <v>62</v>
      </c>
      <c r="C13" s="131">
        <v>0.7</v>
      </c>
      <c r="D13" s="131" t="s">
        <v>161</v>
      </c>
      <c r="E13" s="131">
        <v>1.56</v>
      </c>
      <c r="F13" s="132" t="s">
        <v>274</v>
      </c>
      <c r="G13" s="133">
        <v>0.43</v>
      </c>
      <c r="H13" s="131" t="s">
        <v>152</v>
      </c>
      <c r="I13" s="134">
        <v>0.25</v>
      </c>
      <c r="J13" s="98"/>
      <c r="K13" s="98"/>
      <c r="L13" s="98"/>
      <c r="M13" s="98"/>
      <c r="N13" s="98"/>
    </row>
    <row r="14" spans="1:16" x14ac:dyDescent="0.25">
      <c r="A14" s="129" t="s">
        <v>11</v>
      </c>
      <c r="B14" s="130" t="s">
        <v>63</v>
      </c>
      <c r="C14" s="131">
        <v>0.54</v>
      </c>
      <c r="D14" s="131" t="s">
        <v>161</v>
      </c>
      <c r="E14" s="131">
        <v>1.56</v>
      </c>
      <c r="F14" s="132" t="s">
        <v>274</v>
      </c>
      <c r="G14" s="133">
        <v>0.43</v>
      </c>
      <c r="H14" s="131" t="s">
        <v>152</v>
      </c>
      <c r="I14" s="134">
        <v>0.25</v>
      </c>
      <c r="J14" s="98"/>
      <c r="K14" s="98"/>
      <c r="L14" s="98"/>
      <c r="M14" s="98"/>
      <c r="N14" s="98"/>
    </row>
    <row r="15" spans="1:16" x14ac:dyDescent="0.25">
      <c r="A15" s="129" t="s">
        <v>12</v>
      </c>
      <c r="B15" s="130" t="s">
        <v>64</v>
      </c>
      <c r="C15" s="131">
        <v>0.65</v>
      </c>
      <c r="D15" s="131" t="s">
        <v>161</v>
      </c>
      <c r="E15" s="131">
        <v>1.56</v>
      </c>
      <c r="F15" s="132" t="s">
        <v>274</v>
      </c>
      <c r="G15" s="133">
        <v>0.43</v>
      </c>
      <c r="H15" s="131" t="s">
        <v>152</v>
      </c>
      <c r="I15" s="134">
        <v>0.25</v>
      </c>
      <c r="J15" s="98"/>
      <c r="K15" s="98"/>
      <c r="L15" s="98"/>
      <c r="M15" s="98"/>
      <c r="N15" s="98"/>
    </row>
    <row r="16" spans="1:16" x14ac:dyDescent="0.25">
      <c r="A16" s="129" t="s">
        <v>13</v>
      </c>
      <c r="B16" s="130" t="s">
        <v>65</v>
      </c>
      <c r="C16" s="131">
        <v>0.56000000000000005</v>
      </c>
      <c r="D16" s="131" t="s">
        <v>161</v>
      </c>
      <c r="E16" s="131">
        <v>1.56</v>
      </c>
      <c r="F16" s="132" t="s">
        <v>274</v>
      </c>
      <c r="G16" s="133">
        <v>0.43</v>
      </c>
      <c r="H16" s="131" t="s">
        <v>152</v>
      </c>
      <c r="I16" s="134">
        <v>0.25</v>
      </c>
      <c r="J16" s="98"/>
      <c r="K16" s="98"/>
      <c r="L16" s="98"/>
      <c r="M16" s="98"/>
      <c r="N16" s="98"/>
    </row>
    <row r="17" spans="1:14" x14ac:dyDescent="0.25">
      <c r="A17" s="129" t="s">
        <v>14</v>
      </c>
      <c r="B17" s="130" t="s">
        <v>66</v>
      </c>
      <c r="C17" s="131">
        <v>0.57999999999999996</v>
      </c>
      <c r="D17" s="131" t="s">
        <v>161</v>
      </c>
      <c r="E17" s="131">
        <v>1.56</v>
      </c>
      <c r="F17" s="132" t="s">
        <v>274</v>
      </c>
      <c r="G17" s="133">
        <v>0.43</v>
      </c>
      <c r="H17" s="131" t="s">
        <v>152</v>
      </c>
      <c r="I17" s="134">
        <v>0.25</v>
      </c>
      <c r="J17" s="98"/>
      <c r="K17" s="98"/>
      <c r="L17" s="98"/>
      <c r="M17" s="98"/>
      <c r="N17" s="98"/>
    </row>
    <row r="18" spans="1:14" x14ac:dyDescent="0.25">
      <c r="A18" s="129" t="s">
        <v>15</v>
      </c>
      <c r="B18" s="130" t="s">
        <v>67</v>
      </c>
      <c r="C18" s="131">
        <v>0.64</v>
      </c>
      <c r="D18" s="131" t="s">
        <v>161</v>
      </c>
      <c r="E18" s="131">
        <v>1.56</v>
      </c>
      <c r="F18" s="132" t="s">
        <v>274</v>
      </c>
      <c r="G18" s="133">
        <v>0.43</v>
      </c>
      <c r="H18" s="131" t="s">
        <v>152</v>
      </c>
      <c r="I18" s="134">
        <v>0.25</v>
      </c>
      <c r="J18" s="98"/>
      <c r="K18" s="98"/>
      <c r="L18" s="98"/>
      <c r="M18" s="98"/>
      <c r="N18" s="98"/>
    </row>
    <row r="19" spans="1:14" x14ac:dyDescent="0.25">
      <c r="A19" s="129" t="s">
        <v>16</v>
      </c>
      <c r="B19" s="130" t="s">
        <v>68</v>
      </c>
      <c r="C19" s="131">
        <v>0.73</v>
      </c>
      <c r="D19" s="131" t="s">
        <v>161</v>
      </c>
      <c r="E19" s="131">
        <v>1.56</v>
      </c>
      <c r="F19" s="132" t="s">
        <v>274</v>
      </c>
      <c r="G19" s="133">
        <v>0.43</v>
      </c>
      <c r="H19" s="131" t="s">
        <v>152</v>
      </c>
      <c r="I19" s="134">
        <v>0.25</v>
      </c>
      <c r="J19" s="98"/>
      <c r="K19" s="98"/>
      <c r="L19" s="98"/>
      <c r="M19" s="98"/>
      <c r="N19" s="98"/>
    </row>
    <row r="20" spans="1:14" x14ac:dyDescent="0.25">
      <c r="A20" s="129" t="s">
        <v>52</v>
      </c>
      <c r="B20" s="130" t="s">
        <v>69</v>
      </c>
      <c r="C20" s="131">
        <v>0.69</v>
      </c>
      <c r="D20" s="131" t="s">
        <v>131</v>
      </c>
      <c r="E20" s="131">
        <v>1.56</v>
      </c>
      <c r="F20" s="132" t="s">
        <v>274</v>
      </c>
      <c r="G20" s="133">
        <v>0.43</v>
      </c>
      <c r="H20" s="131" t="s">
        <v>282</v>
      </c>
      <c r="I20" s="134">
        <v>0.25</v>
      </c>
      <c r="J20" s="98"/>
      <c r="K20" s="98"/>
      <c r="L20" s="98"/>
      <c r="M20" s="98"/>
      <c r="N20" s="98"/>
    </row>
    <row r="21" spans="1:14" x14ac:dyDescent="0.25">
      <c r="A21" s="129" t="s">
        <v>154</v>
      </c>
      <c r="B21" s="130" t="s">
        <v>155</v>
      </c>
      <c r="C21" s="131">
        <v>0.36</v>
      </c>
      <c r="D21" s="131" t="s">
        <v>161</v>
      </c>
      <c r="E21" s="131">
        <v>1.3</v>
      </c>
      <c r="F21" s="132" t="s">
        <v>274</v>
      </c>
      <c r="G21" s="133">
        <v>0.55000000000000004</v>
      </c>
      <c r="H21" s="131" t="s">
        <v>153</v>
      </c>
      <c r="I21" s="134">
        <v>0.43</v>
      </c>
      <c r="J21" s="98"/>
      <c r="K21" s="98"/>
      <c r="L21" s="98"/>
      <c r="M21" s="98"/>
      <c r="N21" s="98"/>
    </row>
    <row r="22" spans="1:14" x14ac:dyDescent="0.25">
      <c r="A22" s="129" t="s">
        <v>17</v>
      </c>
      <c r="B22" s="130" t="s">
        <v>70</v>
      </c>
      <c r="C22" s="131">
        <v>0.4</v>
      </c>
      <c r="D22" s="131" t="s">
        <v>161</v>
      </c>
      <c r="E22" s="131">
        <v>1.3</v>
      </c>
      <c r="F22" s="132" t="s">
        <v>274</v>
      </c>
      <c r="G22" s="133">
        <v>0.55000000000000004</v>
      </c>
      <c r="H22" s="131" t="s">
        <v>153</v>
      </c>
      <c r="I22" s="134">
        <v>0.43</v>
      </c>
      <c r="J22" s="98"/>
      <c r="K22" s="98"/>
      <c r="L22" s="98"/>
      <c r="M22" s="98"/>
      <c r="N22" s="98"/>
    </row>
    <row r="23" spans="1:14" x14ac:dyDescent="0.25">
      <c r="A23" s="129" t="s">
        <v>18</v>
      </c>
      <c r="B23" s="130" t="s">
        <v>71</v>
      </c>
      <c r="C23" s="131">
        <v>0.43</v>
      </c>
      <c r="D23" s="131" t="s">
        <v>161</v>
      </c>
      <c r="E23" s="131">
        <v>1.3</v>
      </c>
      <c r="F23" s="132" t="s">
        <v>274</v>
      </c>
      <c r="G23" s="133">
        <v>0.55000000000000004</v>
      </c>
      <c r="H23" s="131" t="s">
        <v>153</v>
      </c>
      <c r="I23" s="134">
        <v>0.43</v>
      </c>
      <c r="J23" s="98"/>
      <c r="K23" s="98"/>
      <c r="L23" s="98"/>
      <c r="M23" s="98"/>
      <c r="N23" s="98"/>
    </row>
    <row r="24" spans="1:14" x14ac:dyDescent="0.25">
      <c r="A24" s="129" t="s">
        <v>19</v>
      </c>
      <c r="B24" s="130" t="s">
        <v>72</v>
      </c>
      <c r="C24" s="131">
        <v>0.37</v>
      </c>
      <c r="D24" s="131" t="s">
        <v>161</v>
      </c>
      <c r="E24" s="131">
        <v>1.3</v>
      </c>
      <c r="F24" s="132" t="s">
        <v>274</v>
      </c>
      <c r="G24" s="133">
        <v>0.55000000000000004</v>
      </c>
      <c r="H24" s="131" t="s">
        <v>152</v>
      </c>
      <c r="I24" s="134">
        <v>0.43</v>
      </c>
      <c r="J24" s="98"/>
      <c r="K24" s="98"/>
      <c r="L24" s="98"/>
      <c r="M24" s="98"/>
      <c r="N24" s="98"/>
    </row>
    <row r="25" spans="1:14" x14ac:dyDescent="0.25">
      <c r="A25" s="129" t="s">
        <v>20</v>
      </c>
      <c r="B25" s="130" t="s">
        <v>73</v>
      </c>
      <c r="C25" s="131">
        <v>0.36</v>
      </c>
      <c r="D25" s="131" t="s">
        <v>161</v>
      </c>
      <c r="E25" s="131">
        <v>1.3</v>
      </c>
      <c r="F25" s="132" t="s">
        <v>274</v>
      </c>
      <c r="G25" s="133">
        <v>0.55000000000000004</v>
      </c>
      <c r="H25" s="131" t="s">
        <v>152</v>
      </c>
      <c r="I25" s="134">
        <v>0.43</v>
      </c>
      <c r="J25" s="98"/>
      <c r="K25" s="98"/>
      <c r="L25" s="98"/>
      <c r="M25" s="98"/>
      <c r="N25" s="98"/>
    </row>
    <row r="26" spans="1:14" x14ac:dyDescent="0.25">
      <c r="A26" s="129" t="s">
        <v>21</v>
      </c>
      <c r="B26" s="130" t="s">
        <v>74</v>
      </c>
      <c r="C26" s="131">
        <v>0.56000000000000005</v>
      </c>
      <c r="D26" s="131" t="s">
        <v>161</v>
      </c>
      <c r="E26" s="131">
        <v>1.56</v>
      </c>
      <c r="F26" s="132" t="s">
        <v>274</v>
      </c>
      <c r="G26" s="133">
        <v>0.53</v>
      </c>
      <c r="H26" s="131" t="s">
        <v>275</v>
      </c>
      <c r="I26" s="134">
        <v>0.25</v>
      </c>
      <c r="J26" s="98"/>
      <c r="K26" s="98"/>
      <c r="L26" s="98"/>
      <c r="M26" s="98"/>
      <c r="N26" s="98"/>
    </row>
    <row r="27" spans="1:14" x14ac:dyDescent="0.25">
      <c r="A27" s="129" t="s">
        <v>22</v>
      </c>
      <c r="B27" s="130" t="s">
        <v>75</v>
      </c>
      <c r="C27" s="131">
        <v>0.51</v>
      </c>
      <c r="D27" s="131" t="s">
        <v>161</v>
      </c>
      <c r="E27" s="131">
        <v>1.56</v>
      </c>
      <c r="F27" s="132" t="s">
        <v>274</v>
      </c>
      <c r="G27" s="133">
        <v>0.53</v>
      </c>
      <c r="H27" s="131" t="s">
        <v>275</v>
      </c>
      <c r="I27" s="134">
        <v>0.25</v>
      </c>
      <c r="J27" s="98"/>
      <c r="K27" s="98"/>
      <c r="L27" s="98"/>
      <c r="M27" s="98"/>
      <c r="N27" s="98"/>
    </row>
    <row r="28" spans="1:14" x14ac:dyDescent="0.25">
      <c r="A28" s="129" t="s">
        <v>23</v>
      </c>
      <c r="B28" s="130" t="s">
        <v>76</v>
      </c>
      <c r="C28" s="131">
        <v>0.51</v>
      </c>
      <c r="D28" s="131" t="s">
        <v>161</v>
      </c>
      <c r="E28" s="131">
        <v>1.56</v>
      </c>
      <c r="F28" s="132" t="s">
        <v>274</v>
      </c>
      <c r="G28" s="133">
        <v>0.53</v>
      </c>
      <c r="H28" s="131" t="s">
        <v>275</v>
      </c>
      <c r="I28" s="134">
        <v>0.25</v>
      </c>
      <c r="J28" s="98"/>
      <c r="K28" s="98"/>
      <c r="L28" s="98"/>
      <c r="M28" s="98"/>
      <c r="N28" s="98"/>
    </row>
    <row r="29" spans="1:14" x14ac:dyDescent="0.25">
      <c r="A29" s="129" t="s">
        <v>24</v>
      </c>
      <c r="B29" s="130" t="s">
        <v>24</v>
      </c>
      <c r="C29" s="131">
        <v>0.56000000000000005</v>
      </c>
      <c r="D29" s="131" t="s">
        <v>161</v>
      </c>
      <c r="E29" s="131">
        <v>1.56</v>
      </c>
      <c r="F29" s="132" t="s">
        <v>274</v>
      </c>
      <c r="G29" s="133">
        <v>0.53</v>
      </c>
      <c r="H29" s="131" t="s">
        <v>275</v>
      </c>
      <c r="I29" s="134">
        <v>0.25</v>
      </c>
      <c r="J29" s="98"/>
      <c r="K29" s="98"/>
      <c r="L29" s="98"/>
      <c r="M29" s="98"/>
      <c r="N29" s="98"/>
    </row>
    <row r="30" spans="1:14" x14ac:dyDescent="0.25">
      <c r="A30" s="129" t="s">
        <v>25</v>
      </c>
      <c r="B30" s="130" t="s">
        <v>77</v>
      </c>
      <c r="C30" s="131">
        <v>0.55000000000000004</v>
      </c>
      <c r="D30" s="131" t="s">
        <v>161</v>
      </c>
      <c r="E30" s="131">
        <v>1.56</v>
      </c>
      <c r="F30" s="132" t="s">
        <v>274</v>
      </c>
      <c r="G30" s="133">
        <v>0.53</v>
      </c>
      <c r="H30" s="131" t="s">
        <v>152</v>
      </c>
      <c r="I30" s="134">
        <v>0.25</v>
      </c>
      <c r="J30" s="98"/>
      <c r="K30" s="98"/>
      <c r="L30" s="98"/>
      <c r="M30" s="98"/>
      <c r="N30" s="98"/>
    </row>
    <row r="31" spans="1:14" x14ac:dyDescent="0.25">
      <c r="A31" s="129" t="s">
        <v>26</v>
      </c>
      <c r="B31" s="130" t="s">
        <v>78</v>
      </c>
      <c r="C31" s="131">
        <v>0.56000000000000005</v>
      </c>
      <c r="D31" s="131" t="s">
        <v>161</v>
      </c>
      <c r="E31" s="131">
        <v>1.56</v>
      </c>
      <c r="F31" s="132" t="s">
        <v>274</v>
      </c>
      <c r="G31" s="133">
        <v>0.43</v>
      </c>
      <c r="H31" s="131" t="s">
        <v>278</v>
      </c>
      <c r="I31" s="134">
        <v>0.25</v>
      </c>
      <c r="J31" s="98"/>
      <c r="K31" s="98"/>
      <c r="L31" s="98"/>
      <c r="M31" s="98"/>
      <c r="N31" s="98"/>
    </row>
    <row r="32" spans="1:14" x14ac:dyDescent="0.25">
      <c r="A32" s="129" t="s">
        <v>27</v>
      </c>
      <c r="B32" s="130" t="s">
        <v>79</v>
      </c>
      <c r="C32" s="131">
        <v>0.48</v>
      </c>
      <c r="D32" s="131" t="s">
        <v>161</v>
      </c>
      <c r="E32" s="131">
        <v>1.3</v>
      </c>
      <c r="F32" s="132" t="s">
        <v>274</v>
      </c>
      <c r="G32" s="133">
        <v>0.6</v>
      </c>
      <c r="H32" s="131" t="s">
        <v>281</v>
      </c>
      <c r="I32" s="134">
        <v>0.43</v>
      </c>
      <c r="J32" s="98"/>
      <c r="K32" s="98"/>
      <c r="L32" s="98"/>
      <c r="M32" s="98"/>
      <c r="N32" s="98"/>
    </row>
    <row r="33" spans="1:14" x14ac:dyDescent="0.25">
      <c r="A33" s="129" t="s">
        <v>28</v>
      </c>
      <c r="B33" s="130" t="s">
        <v>80</v>
      </c>
      <c r="C33" s="131">
        <v>0.42</v>
      </c>
      <c r="D33" s="131" t="s">
        <v>161</v>
      </c>
      <c r="E33" s="131">
        <v>1.3</v>
      </c>
      <c r="F33" s="132" t="s">
        <v>274</v>
      </c>
      <c r="G33" s="133">
        <v>0.6</v>
      </c>
      <c r="H33" s="131" t="s">
        <v>281</v>
      </c>
      <c r="I33" s="134">
        <v>0.43</v>
      </c>
      <c r="J33" s="98"/>
      <c r="K33" s="98"/>
      <c r="L33" s="98"/>
      <c r="M33" s="98"/>
      <c r="N33" s="98"/>
    </row>
    <row r="34" spans="1:14" x14ac:dyDescent="0.25">
      <c r="A34" s="129" t="s">
        <v>81</v>
      </c>
      <c r="B34" s="130" t="s">
        <v>163</v>
      </c>
      <c r="C34" s="131">
        <v>0.42</v>
      </c>
      <c r="D34" s="131" t="s">
        <v>103</v>
      </c>
      <c r="E34" s="131">
        <v>1.3</v>
      </c>
      <c r="F34" s="132" t="s">
        <v>274</v>
      </c>
      <c r="G34" s="133">
        <v>0.6</v>
      </c>
      <c r="H34" s="130" t="s">
        <v>280</v>
      </c>
      <c r="I34" s="134">
        <v>0.43</v>
      </c>
      <c r="J34" s="98"/>
      <c r="K34" s="98"/>
      <c r="L34" s="98"/>
      <c r="M34" s="98"/>
      <c r="N34" s="98"/>
    </row>
    <row r="35" spans="1:14" x14ac:dyDescent="0.25">
      <c r="A35" s="129" t="s">
        <v>29</v>
      </c>
      <c r="B35" s="130" t="s">
        <v>82</v>
      </c>
      <c r="C35" s="131">
        <v>0.5</v>
      </c>
      <c r="D35" s="131" t="s">
        <v>161</v>
      </c>
      <c r="E35" s="131">
        <v>1.56</v>
      </c>
      <c r="F35" s="132" t="s">
        <v>274</v>
      </c>
      <c r="G35" s="133">
        <v>0.43</v>
      </c>
      <c r="H35" s="131" t="s">
        <v>278</v>
      </c>
      <c r="I35" s="134">
        <v>0.25</v>
      </c>
      <c r="J35" s="98"/>
      <c r="K35" s="98"/>
      <c r="L35" s="98"/>
      <c r="M35" s="98"/>
      <c r="N35" s="98"/>
    </row>
    <row r="36" spans="1:14" x14ac:dyDescent="0.25">
      <c r="A36" s="129" t="s">
        <v>102</v>
      </c>
      <c r="B36" s="130" t="s">
        <v>101</v>
      </c>
      <c r="C36" s="131">
        <v>0.55000000000000004</v>
      </c>
      <c r="D36" s="131" t="s">
        <v>161</v>
      </c>
      <c r="E36" s="131">
        <v>1.56</v>
      </c>
      <c r="F36" s="132" t="s">
        <v>274</v>
      </c>
      <c r="G36" s="133">
        <v>0.53</v>
      </c>
      <c r="H36" s="131" t="s">
        <v>275</v>
      </c>
      <c r="I36" s="134">
        <v>0.25</v>
      </c>
      <c r="J36" s="98"/>
      <c r="K36" s="98"/>
      <c r="L36" s="98"/>
      <c r="M36" s="98"/>
      <c r="N36" s="98"/>
    </row>
    <row r="37" spans="1:14" x14ac:dyDescent="0.25">
      <c r="A37" s="129" t="s">
        <v>30</v>
      </c>
      <c r="B37" s="130" t="s">
        <v>104</v>
      </c>
      <c r="C37" s="131">
        <v>0.52</v>
      </c>
      <c r="D37" s="131" t="s">
        <v>161</v>
      </c>
      <c r="E37" s="131">
        <v>1.56</v>
      </c>
      <c r="F37" s="132" t="s">
        <v>274</v>
      </c>
      <c r="G37" s="133">
        <v>0.53</v>
      </c>
      <c r="H37" s="131" t="s">
        <v>275</v>
      </c>
      <c r="I37" s="134">
        <v>0.25</v>
      </c>
      <c r="J37" s="98"/>
      <c r="K37" s="98"/>
      <c r="L37" s="98"/>
      <c r="M37" s="98"/>
      <c r="N37" s="98"/>
    </row>
    <row r="38" spans="1:14" x14ac:dyDescent="0.25">
      <c r="A38" s="129" t="s">
        <v>31</v>
      </c>
      <c r="B38" s="130" t="s">
        <v>105</v>
      </c>
      <c r="C38" s="131">
        <v>0.52</v>
      </c>
      <c r="D38" s="131" t="s">
        <v>161</v>
      </c>
      <c r="E38" s="131">
        <v>1.56</v>
      </c>
      <c r="F38" s="132" t="s">
        <v>274</v>
      </c>
      <c r="G38" s="133">
        <v>0.43</v>
      </c>
      <c r="H38" s="131" t="s">
        <v>278</v>
      </c>
      <c r="I38" s="134">
        <v>0.25</v>
      </c>
      <c r="J38" s="98"/>
      <c r="K38" s="98"/>
      <c r="L38" s="98"/>
      <c r="M38" s="98"/>
      <c r="N38" s="98"/>
    </row>
    <row r="39" spans="1:14" x14ac:dyDescent="0.25">
      <c r="A39" s="129" t="s">
        <v>107</v>
      </c>
      <c r="B39" s="130" t="s">
        <v>132</v>
      </c>
      <c r="C39" s="131">
        <v>0.313</v>
      </c>
      <c r="D39" s="131" t="s">
        <v>130</v>
      </c>
      <c r="E39" s="131">
        <v>1.56</v>
      </c>
      <c r="F39" s="132" t="s">
        <v>274</v>
      </c>
      <c r="G39" s="133">
        <v>0.6</v>
      </c>
      <c r="H39" s="131" t="s">
        <v>283</v>
      </c>
      <c r="I39" s="134">
        <v>1.03</v>
      </c>
      <c r="J39" s="98"/>
      <c r="K39" s="98"/>
      <c r="L39" s="98"/>
      <c r="M39" s="98"/>
      <c r="N39" s="98"/>
    </row>
    <row r="40" spans="1:14" x14ac:dyDescent="0.25">
      <c r="A40" s="129" t="s">
        <v>108</v>
      </c>
      <c r="B40" s="130" t="s">
        <v>132</v>
      </c>
      <c r="C40" s="131">
        <v>0.35199999999999998</v>
      </c>
      <c r="D40" s="131" t="s">
        <v>130</v>
      </c>
      <c r="E40" s="131">
        <v>1.56</v>
      </c>
      <c r="F40" s="132" t="s">
        <v>274</v>
      </c>
      <c r="G40" s="133">
        <v>0.6</v>
      </c>
      <c r="H40" s="131" t="s">
        <v>283</v>
      </c>
      <c r="I40" s="134">
        <v>1.03</v>
      </c>
      <c r="J40" s="98"/>
      <c r="K40" s="98"/>
      <c r="L40" s="98"/>
      <c r="M40" s="98"/>
      <c r="N40" s="98"/>
    </row>
    <row r="41" spans="1:14" x14ac:dyDescent="0.25">
      <c r="A41" s="129" t="s">
        <v>121</v>
      </c>
      <c r="B41" s="130" t="s">
        <v>132</v>
      </c>
      <c r="C41" s="131">
        <v>0.32200000000000001</v>
      </c>
      <c r="D41" s="131" t="s">
        <v>130</v>
      </c>
      <c r="E41" s="131">
        <v>1.56</v>
      </c>
      <c r="F41" s="132" t="s">
        <v>274</v>
      </c>
      <c r="G41" s="133">
        <v>0.6</v>
      </c>
      <c r="H41" s="131" t="s">
        <v>283</v>
      </c>
      <c r="I41" s="134">
        <v>1.03</v>
      </c>
      <c r="J41" s="98"/>
      <c r="K41" s="98"/>
      <c r="L41" s="98"/>
      <c r="M41" s="98"/>
      <c r="N41" s="98"/>
    </row>
    <row r="42" spans="1:14" x14ac:dyDescent="0.25">
      <c r="A42" s="129" t="s">
        <v>122</v>
      </c>
      <c r="B42" s="130" t="s">
        <v>132</v>
      </c>
      <c r="C42" s="131">
        <v>0.311</v>
      </c>
      <c r="D42" s="131" t="s">
        <v>130</v>
      </c>
      <c r="E42" s="131">
        <v>1.56</v>
      </c>
      <c r="F42" s="132" t="s">
        <v>274</v>
      </c>
      <c r="G42" s="133">
        <v>0.6</v>
      </c>
      <c r="H42" s="131" t="s">
        <v>283</v>
      </c>
      <c r="I42" s="134">
        <v>1.03</v>
      </c>
      <c r="J42" s="98"/>
      <c r="K42" s="98"/>
      <c r="L42" s="98"/>
      <c r="M42" s="98"/>
      <c r="N42" s="98"/>
    </row>
    <row r="43" spans="1:14" x14ac:dyDescent="0.25">
      <c r="A43" s="129" t="s">
        <v>109</v>
      </c>
      <c r="B43" s="130" t="s">
        <v>132</v>
      </c>
      <c r="C43" s="131">
        <v>0.33900000000000002</v>
      </c>
      <c r="D43" s="131" t="s">
        <v>130</v>
      </c>
      <c r="E43" s="131">
        <v>1.56</v>
      </c>
      <c r="F43" s="132" t="s">
        <v>274</v>
      </c>
      <c r="G43" s="133">
        <v>0.6</v>
      </c>
      <c r="H43" s="131" t="s">
        <v>283</v>
      </c>
      <c r="I43" s="134">
        <v>1.03</v>
      </c>
      <c r="J43" s="98"/>
      <c r="K43" s="98"/>
      <c r="L43" s="98"/>
      <c r="M43" s="98"/>
      <c r="N43" s="98"/>
    </row>
    <row r="44" spans="1:14" x14ac:dyDescent="0.25">
      <c r="A44" s="129" t="s">
        <v>123</v>
      </c>
      <c r="B44" s="130" t="s">
        <v>132</v>
      </c>
      <c r="C44" s="131">
        <v>0.33600000000000002</v>
      </c>
      <c r="D44" s="131" t="s">
        <v>130</v>
      </c>
      <c r="E44" s="131">
        <v>1.56</v>
      </c>
      <c r="F44" s="132" t="s">
        <v>274</v>
      </c>
      <c r="G44" s="133">
        <v>0.6</v>
      </c>
      <c r="H44" s="131" t="s">
        <v>283</v>
      </c>
      <c r="I44" s="134">
        <v>1.03</v>
      </c>
      <c r="J44" s="98"/>
      <c r="K44" s="98"/>
      <c r="L44" s="98"/>
      <c r="M44" s="98"/>
      <c r="N44" s="98"/>
    </row>
    <row r="45" spans="1:14" x14ac:dyDescent="0.25">
      <c r="A45" s="129" t="s">
        <v>110</v>
      </c>
      <c r="B45" s="130" t="s">
        <v>132</v>
      </c>
      <c r="C45" s="131">
        <v>0.32900000000000001</v>
      </c>
      <c r="D45" s="131" t="s">
        <v>130</v>
      </c>
      <c r="E45" s="131">
        <v>1.56</v>
      </c>
      <c r="F45" s="132" t="s">
        <v>274</v>
      </c>
      <c r="G45" s="133">
        <v>0.6</v>
      </c>
      <c r="H45" s="131" t="s">
        <v>283</v>
      </c>
      <c r="I45" s="134">
        <v>1.03</v>
      </c>
      <c r="J45" s="98"/>
      <c r="K45" s="98"/>
      <c r="L45" s="98"/>
      <c r="M45" s="98"/>
      <c r="N45" s="98"/>
    </row>
    <row r="46" spans="1:14" x14ac:dyDescent="0.25">
      <c r="A46" s="129" t="s">
        <v>124</v>
      </c>
      <c r="B46" s="130" t="s">
        <v>132</v>
      </c>
      <c r="C46" s="131">
        <v>0.34300000000000003</v>
      </c>
      <c r="D46" s="131" t="s">
        <v>130</v>
      </c>
      <c r="E46" s="131">
        <v>1.56</v>
      </c>
      <c r="F46" s="132" t="s">
        <v>274</v>
      </c>
      <c r="G46" s="133">
        <v>0.6</v>
      </c>
      <c r="H46" s="131" t="s">
        <v>283</v>
      </c>
      <c r="I46" s="134">
        <v>1.03</v>
      </c>
      <c r="J46" s="98"/>
      <c r="K46" s="98"/>
      <c r="L46" s="98"/>
      <c r="M46" s="98"/>
      <c r="N46" s="98"/>
    </row>
    <row r="47" spans="1:14" x14ac:dyDescent="0.25">
      <c r="A47" s="129" t="s">
        <v>125</v>
      </c>
      <c r="B47" s="130" t="s">
        <v>132</v>
      </c>
      <c r="C47" s="131">
        <v>0.32500000000000001</v>
      </c>
      <c r="D47" s="131" t="s">
        <v>130</v>
      </c>
      <c r="E47" s="131">
        <v>1.56</v>
      </c>
      <c r="F47" s="132" t="s">
        <v>274</v>
      </c>
      <c r="G47" s="133">
        <v>0.6</v>
      </c>
      <c r="H47" s="131" t="s">
        <v>283</v>
      </c>
      <c r="I47" s="134">
        <v>1.03</v>
      </c>
      <c r="J47" s="98"/>
      <c r="K47" s="98"/>
      <c r="L47" s="98"/>
      <c r="M47" s="98"/>
      <c r="N47" s="98"/>
    </row>
    <row r="48" spans="1:14" x14ac:dyDescent="0.25">
      <c r="A48" s="129" t="s">
        <v>126</v>
      </c>
      <c r="B48" s="130" t="s">
        <v>132</v>
      </c>
      <c r="C48" s="131">
        <v>0.32</v>
      </c>
      <c r="D48" s="131" t="s">
        <v>130</v>
      </c>
      <c r="E48" s="131">
        <v>1.56</v>
      </c>
      <c r="F48" s="132" t="s">
        <v>274</v>
      </c>
      <c r="G48" s="133">
        <v>0.6</v>
      </c>
      <c r="H48" s="131" t="s">
        <v>283</v>
      </c>
      <c r="I48" s="134">
        <v>1.03</v>
      </c>
      <c r="J48" s="98"/>
      <c r="K48" s="98"/>
      <c r="L48" s="98"/>
      <c r="M48" s="98"/>
      <c r="N48" s="98"/>
    </row>
    <row r="49" spans="1:14" x14ac:dyDescent="0.25">
      <c r="A49" s="129" t="s">
        <v>111</v>
      </c>
      <c r="B49" s="130" t="s">
        <v>132</v>
      </c>
      <c r="C49" s="131">
        <v>0.28199999999999997</v>
      </c>
      <c r="D49" s="131" t="s">
        <v>130</v>
      </c>
      <c r="E49" s="131">
        <v>1.56</v>
      </c>
      <c r="F49" s="132" t="s">
        <v>274</v>
      </c>
      <c r="G49" s="133">
        <v>0.6</v>
      </c>
      <c r="H49" s="131" t="s">
        <v>283</v>
      </c>
      <c r="I49" s="134">
        <v>1.03</v>
      </c>
      <c r="J49" s="98"/>
      <c r="K49" s="98"/>
      <c r="L49" s="98"/>
      <c r="M49" s="98"/>
      <c r="N49" s="98"/>
    </row>
    <row r="50" spans="1:14" x14ac:dyDescent="0.25">
      <c r="A50" s="129" t="s">
        <v>127</v>
      </c>
      <c r="B50" s="130" t="s">
        <v>132</v>
      </c>
      <c r="C50" s="131">
        <v>0.32800000000000001</v>
      </c>
      <c r="D50" s="131" t="s">
        <v>130</v>
      </c>
      <c r="E50" s="131">
        <v>1.56</v>
      </c>
      <c r="F50" s="132" t="s">
        <v>274</v>
      </c>
      <c r="G50" s="133">
        <v>0.6</v>
      </c>
      <c r="H50" s="131" t="s">
        <v>283</v>
      </c>
      <c r="I50" s="134">
        <v>1.03</v>
      </c>
      <c r="J50" s="98"/>
      <c r="K50" s="98"/>
      <c r="L50" s="98"/>
      <c r="M50" s="98"/>
      <c r="N50" s="98"/>
    </row>
    <row r="51" spans="1:14" x14ac:dyDescent="0.25">
      <c r="A51" s="129" t="s">
        <v>112</v>
      </c>
      <c r="B51" s="130" t="s">
        <v>132</v>
      </c>
      <c r="C51" s="131">
        <v>0.32600000000000001</v>
      </c>
      <c r="D51" s="131" t="s">
        <v>130</v>
      </c>
      <c r="E51" s="131">
        <v>1.56</v>
      </c>
      <c r="F51" s="132" t="s">
        <v>274</v>
      </c>
      <c r="G51" s="133">
        <v>0.6</v>
      </c>
      <c r="H51" s="131" t="s">
        <v>283</v>
      </c>
      <c r="I51" s="134">
        <v>1.03</v>
      </c>
      <c r="J51" s="98"/>
      <c r="K51" s="98"/>
      <c r="L51" s="98"/>
      <c r="M51" s="98"/>
      <c r="N51" s="98"/>
    </row>
    <row r="52" spans="1:14" x14ac:dyDescent="0.25">
      <c r="A52" s="129" t="s">
        <v>113</v>
      </c>
      <c r="B52" s="130" t="s">
        <v>132</v>
      </c>
      <c r="C52" s="131">
        <v>0.35899999999999999</v>
      </c>
      <c r="D52" s="131" t="s">
        <v>130</v>
      </c>
      <c r="E52" s="131">
        <v>1.56</v>
      </c>
      <c r="F52" s="132" t="s">
        <v>274</v>
      </c>
      <c r="G52" s="133">
        <v>0.6</v>
      </c>
      <c r="H52" s="131" t="s">
        <v>283</v>
      </c>
      <c r="I52" s="134">
        <v>1.03</v>
      </c>
      <c r="J52" s="98"/>
      <c r="K52" s="98"/>
      <c r="L52" s="98"/>
      <c r="M52" s="98"/>
      <c r="N52" s="98"/>
    </row>
    <row r="53" spans="1:14" x14ac:dyDescent="0.25">
      <c r="A53" s="129" t="s">
        <v>114</v>
      </c>
      <c r="B53" s="130" t="s">
        <v>132</v>
      </c>
      <c r="C53" s="131">
        <v>0.34599999999999997</v>
      </c>
      <c r="D53" s="131" t="s">
        <v>130</v>
      </c>
      <c r="E53" s="131">
        <v>1.56</v>
      </c>
      <c r="F53" s="132" t="s">
        <v>274</v>
      </c>
      <c r="G53" s="133">
        <v>0.6</v>
      </c>
      <c r="H53" s="131" t="s">
        <v>283</v>
      </c>
      <c r="I53" s="134">
        <v>1.03</v>
      </c>
      <c r="J53" s="98"/>
      <c r="K53" s="98"/>
      <c r="L53" s="98"/>
      <c r="M53" s="98"/>
      <c r="N53" s="98"/>
    </row>
    <row r="54" spans="1:14" x14ac:dyDescent="0.25">
      <c r="A54" s="129" t="s">
        <v>115</v>
      </c>
      <c r="B54" s="130" t="s">
        <v>132</v>
      </c>
      <c r="C54" s="131">
        <v>0.32600000000000001</v>
      </c>
      <c r="D54" s="131" t="s">
        <v>130</v>
      </c>
      <c r="E54" s="131">
        <v>1.56</v>
      </c>
      <c r="F54" s="132" t="s">
        <v>274</v>
      </c>
      <c r="G54" s="133">
        <v>0.6</v>
      </c>
      <c r="H54" s="131" t="s">
        <v>283</v>
      </c>
      <c r="I54" s="134">
        <v>1.03</v>
      </c>
      <c r="J54" s="98"/>
      <c r="K54" s="98"/>
      <c r="L54" s="98"/>
      <c r="M54" s="98"/>
      <c r="N54" s="98"/>
    </row>
    <row r="55" spans="1:14" x14ac:dyDescent="0.25">
      <c r="A55" s="129" t="s">
        <v>116</v>
      </c>
      <c r="B55" s="130" t="s">
        <v>132</v>
      </c>
      <c r="C55" s="131">
        <v>0.30499999999999999</v>
      </c>
      <c r="D55" s="131" t="s">
        <v>130</v>
      </c>
      <c r="E55" s="131">
        <v>1.56</v>
      </c>
      <c r="F55" s="132" t="s">
        <v>274</v>
      </c>
      <c r="G55" s="133">
        <v>0.6</v>
      </c>
      <c r="H55" s="131" t="s">
        <v>283</v>
      </c>
      <c r="I55" s="134">
        <v>1.03</v>
      </c>
      <c r="J55" s="98"/>
      <c r="K55" s="98"/>
      <c r="L55" s="98"/>
      <c r="M55" s="98"/>
      <c r="N55" s="98"/>
    </row>
    <row r="56" spans="1:14" x14ac:dyDescent="0.25">
      <c r="A56" s="129" t="s">
        <v>128</v>
      </c>
      <c r="B56" s="130" t="s">
        <v>132</v>
      </c>
      <c r="C56" s="131">
        <v>0.32300000000000001</v>
      </c>
      <c r="D56" s="131" t="s">
        <v>130</v>
      </c>
      <c r="E56" s="131">
        <v>1.56</v>
      </c>
      <c r="F56" s="132" t="s">
        <v>274</v>
      </c>
      <c r="G56" s="133">
        <v>0.6</v>
      </c>
      <c r="H56" s="131" t="s">
        <v>283</v>
      </c>
      <c r="I56" s="134">
        <v>1.03</v>
      </c>
      <c r="J56" s="98"/>
      <c r="K56" s="98"/>
      <c r="L56" s="98"/>
      <c r="M56" s="98"/>
      <c r="N56" s="98"/>
    </row>
    <row r="57" spans="1:14" x14ac:dyDescent="0.25">
      <c r="A57" s="129" t="s">
        <v>129</v>
      </c>
      <c r="B57" s="130" t="s">
        <v>132</v>
      </c>
      <c r="C57" s="131">
        <v>0.36699999999999999</v>
      </c>
      <c r="D57" s="131" t="s">
        <v>130</v>
      </c>
      <c r="E57" s="131">
        <v>1.56</v>
      </c>
      <c r="F57" s="132" t="s">
        <v>274</v>
      </c>
      <c r="G57" s="133">
        <v>0.6</v>
      </c>
      <c r="H57" s="131" t="s">
        <v>283</v>
      </c>
      <c r="I57" s="134">
        <v>1.03</v>
      </c>
      <c r="J57" s="98"/>
      <c r="K57" s="98"/>
      <c r="L57" s="98"/>
      <c r="M57" s="98"/>
      <c r="N57" s="98"/>
    </row>
    <row r="58" spans="1:14" x14ac:dyDescent="0.25">
      <c r="A58" s="129" t="s">
        <v>117</v>
      </c>
      <c r="B58" s="130" t="s">
        <v>132</v>
      </c>
      <c r="C58" s="131">
        <v>0.36</v>
      </c>
      <c r="D58" s="131" t="s">
        <v>130</v>
      </c>
      <c r="E58" s="131">
        <v>1.56</v>
      </c>
      <c r="F58" s="132" t="s">
        <v>274</v>
      </c>
      <c r="G58" s="133">
        <v>0.6</v>
      </c>
      <c r="H58" s="131" t="s">
        <v>283</v>
      </c>
      <c r="I58" s="134">
        <v>1.03</v>
      </c>
      <c r="J58" s="98"/>
      <c r="K58" s="98"/>
      <c r="L58" s="98"/>
      <c r="M58" s="98"/>
      <c r="N58" s="98"/>
    </row>
    <row r="59" spans="1:14" x14ac:dyDescent="0.25">
      <c r="A59" s="129" t="s">
        <v>118</v>
      </c>
      <c r="B59" s="130" t="s">
        <v>132</v>
      </c>
      <c r="C59" s="131">
        <v>0.36799999999999999</v>
      </c>
      <c r="D59" s="131" t="s">
        <v>130</v>
      </c>
      <c r="E59" s="131">
        <v>1.56</v>
      </c>
      <c r="F59" s="132" t="s">
        <v>274</v>
      </c>
      <c r="G59" s="133">
        <v>0.6</v>
      </c>
      <c r="H59" s="131" t="s">
        <v>283</v>
      </c>
      <c r="I59" s="134">
        <v>1.03</v>
      </c>
      <c r="J59" s="98"/>
      <c r="K59" s="98"/>
      <c r="L59" s="98"/>
      <c r="M59" s="98"/>
      <c r="N59" s="98"/>
    </row>
    <row r="60" spans="1:14" x14ac:dyDescent="0.25">
      <c r="A60" s="129" t="s">
        <v>119</v>
      </c>
      <c r="B60" s="130" t="s">
        <v>132</v>
      </c>
      <c r="C60" s="131">
        <v>0.30599999999999999</v>
      </c>
      <c r="D60" s="131" t="s">
        <v>130</v>
      </c>
      <c r="E60" s="131">
        <v>1.56</v>
      </c>
      <c r="F60" s="132" t="s">
        <v>274</v>
      </c>
      <c r="G60" s="133">
        <v>0.6</v>
      </c>
      <c r="H60" s="131" t="s">
        <v>283</v>
      </c>
      <c r="I60" s="134">
        <v>1.03</v>
      </c>
      <c r="J60" s="98"/>
      <c r="K60" s="98"/>
      <c r="L60" s="98"/>
      <c r="M60" s="98"/>
      <c r="N60" s="98"/>
    </row>
    <row r="61" spans="1:14" x14ac:dyDescent="0.25">
      <c r="A61" s="129" t="s">
        <v>120</v>
      </c>
      <c r="B61" s="130" t="s">
        <v>132</v>
      </c>
      <c r="C61" s="131">
        <v>0.313</v>
      </c>
      <c r="D61" s="131" t="s">
        <v>130</v>
      </c>
      <c r="E61" s="131">
        <v>1.56</v>
      </c>
      <c r="F61" s="132" t="s">
        <v>274</v>
      </c>
      <c r="G61" s="133">
        <v>0.6</v>
      </c>
      <c r="H61" s="131" t="s">
        <v>283</v>
      </c>
      <c r="I61" s="134">
        <v>1.03</v>
      </c>
      <c r="J61" s="98"/>
      <c r="K61" s="98"/>
      <c r="L61" s="98"/>
      <c r="M61" s="98"/>
      <c r="N61" s="98"/>
    </row>
    <row r="62" spans="1:14" x14ac:dyDescent="0.25">
      <c r="A62" s="129" t="s">
        <v>32</v>
      </c>
      <c r="B62" s="130" t="s">
        <v>133</v>
      </c>
      <c r="C62" s="131">
        <v>0.37</v>
      </c>
      <c r="D62" s="131" t="s">
        <v>161</v>
      </c>
      <c r="E62" s="131">
        <v>1.56</v>
      </c>
      <c r="F62" s="132" t="s">
        <v>274</v>
      </c>
      <c r="G62" s="133">
        <v>0.6</v>
      </c>
      <c r="H62" s="131" t="s">
        <v>283</v>
      </c>
      <c r="I62" s="134">
        <v>1.03</v>
      </c>
      <c r="J62" s="98"/>
      <c r="K62" s="98"/>
      <c r="L62" s="98"/>
      <c r="M62" s="98"/>
      <c r="N62" s="98"/>
    </row>
    <row r="63" spans="1:14" x14ac:dyDescent="0.25">
      <c r="A63" s="129" t="s">
        <v>90</v>
      </c>
      <c r="B63" s="130" t="s">
        <v>83</v>
      </c>
      <c r="C63" s="131">
        <v>0.45</v>
      </c>
      <c r="D63" s="131" t="s">
        <v>161</v>
      </c>
      <c r="E63" s="131">
        <v>1.3</v>
      </c>
      <c r="F63" s="132" t="s">
        <v>274</v>
      </c>
      <c r="G63" s="133">
        <v>0.45</v>
      </c>
      <c r="H63" s="131" t="s">
        <v>276</v>
      </c>
      <c r="I63" s="134">
        <v>0.43</v>
      </c>
      <c r="J63" s="98"/>
      <c r="K63" s="98"/>
      <c r="L63" s="98"/>
      <c r="M63" s="98"/>
      <c r="N63" s="98"/>
    </row>
    <row r="64" spans="1:14" x14ac:dyDescent="0.25">
      <c r="A64" s="129" t="s">
        <v>33</v>
      </c>
      <c r="B64" s="130" t="s">
        <v>134</v>
      </c>
      <c r="C64" s="131">
        <v>0.39</v>
      </c>
      <c r="D64" s="131" t="s">
        <v>161</v>
      </c>
      <c r="E64" s="131">
        <v>1.3</v>
      </c>
      <c r="F64" s="132" t="s">
        <v>274</v>
      </c>
      <c r="G64" s="133">
        <v>0.45</v>
      </c>
      <c r="H64" s="131" t="s">
        <v>276</v>
      </c>
      <c r="I64" s="134">
        <v>0.43</v>
      </c>
      <c r="J64" s="98"/>
      <c r="K64" s="98"/>
      <c r="L64" s="98"/>
      <c r="M64" s="98"/>
      <c r="N64" s="98"/>
    </row>
    <row r="65" spans="1:14" x14ac:dyDescent="0.25">
      <c r="A65" s="129" t="s">
        <v>34</v>
      </c>
      <c r="B65" s="130" t="s">
        <v>135</v>
      </c>
      <c r="C65" s="131">
        <v>0.44</v>
      </c>
      <c r="D65" s="131" t="s">
        <v>161</v>
      </c>
      <c r="E65" s="131">
        <v>1.3</v>
      </c>
      <c r="F65" s="132" t="s">
        <v>274</v>
      </c>
      <c r="G65" s="133">
        <v>0.45</v>
      </c>
      <c r="H65" s="131" t="s">
        <v>276</v>
      </c>
      <c r="I65" s="134">
        <v>0.43</v>
      </c>
      <c r="J65" s="98"/>
      <c r="K65" s="98"/>
      <c r="L65" s="98"/>
      <c r="M65" s="98"/>
      <c r="N65" s="98"/>
    </row>
    <row r="66" spans="1:14" x14ac:dyDescent="0.25">
      <c r="A66" s="129" t="s">
        <v>35</v>
      </c>
      <c r="B66" s="130" t="s">
        <v>84</v>
      </c>
      <c r="C66" s="131">
        <v>0.46</v>
      </c>
      <c r="D66" s="131" t="s">
        <v>161</v>
      </c>
      <c r="E66" s="131">
        <v>1.3</v>
      </c>
      <c r="F66" s="132" t="s">
        <v>274</v>
      </c>
      <c r="G66" s="133">
        <v>0.45</v>
      </c>
      <c r="H66" s="131" t="s">
        <v>276</v>
      </c>
      <c r="I66" s="134">
        <v>0.43</v>
      </c>
      <c r="J66" s="98"/>
      <c r="K66" s="98"/>
      <c r="L66" s="98"/>
      <c r="M66" s="98"/>
      <c r="N66" s="98"/>
    </row>
    <row r="67" spans="1:14" x14ac:dyDescent="0.25">
      <c r="A67" s="129" t="s">
        <v>36</v>
      </c>
      <c r="B67" s="130" t="s">
        <v>85</v>
      </c>
      <c r="C67" s="131">
        <v>0.46</v>
      </c>
      <c r="D67" s="131" t="s">
        <v>161</v>
      </c>
      <c r="E67" s="131">
        <v>1.3</v>
      </c>
      <c r="F67" s="132" t="s">
        <v>274</v>
      </c>
      <c r="G67" s="133">
        <v>0.45</v>
      </c>
      <c r="H67" s="131" t="s">
        <v>152</v>
      </c>
      <c r="I67" s="134">
        <v>0.59</v>
      </c>
      <c r="J67" s="98"/>
      <c r="K67" s="98"/>
      <c r="L67" s="98"/>
      <c r="M67" s="98"/>
      <c r="N67" s="98"/>
    </row>
    <row r="68" spans="1:14" x14ac:dyDescent="0.25">
      <c r="A68" s="129" t="s">
        <v>37</v>
      </c>
      <c r="B68" s="130" t="s">
        <v>136</v>
      </c>
      <c r="C68" s="131">
        <v>0.44</v>
      </c>
      <c r="D68" s="131" t="s">
        <v>161</v>
      </c>
      <c r="E68" s="131">
        <v>1.3</v>
      </c>
      <c r="F68" s="132" t="s">
        <v>274</v>
      </c>
      <c r="G68" s="133">
        <v>0.45</v>
      </c>
      <c r="H68" s="131" t="s">
        <v>276</v>
      </c>
      <c r="I68" s="134">
        <v>0.43</v>
      </c>
      <c r="J68" s="98"/>
      <c r="K68" s="98"/>
      <c r="L68" s="98"/>
      <c r="M68" s="98"/>
      <c r="N68" s="98"/>
    </row>
    <row r="69" spans="1:14" x14ac:dyDescent="0.25">
      <c r="A69" s="129" t="s">
        <v>38</v>
      </c>
      <c r="B69" s="130" t="s">
        <v>86</v>
      </c>
      <c r="C69" s="131">
        <v>0.46</v>
      </c>
      <c r="D69" s="131" t="s">
        <v>161</v>
      </c>
      <c r="E69" s="131">
        <v>1.3</v>
      </c>
      <c r="F69" s="132" t="s">
        <v>274</v>
      </c>
      <c r="G69" s="133">
        <v>0.45</v>
      </c>
      <c r="H69" s="131" t="s">
        <v>276</v>
      </c>
      <c r="I69" s="134">
        <v>0.43</v>
      </c>
      <c r="J69" s="98"/>
      <c r="K69" s="98"/>
      <c r="L69" s="98"/>
      <c r="M69" s="98"/>
      <c r="N69" s="98"/>
    </row>
    <row r="70" spans="1:14" x14ac:dyDescent="0.25">
      <c r="A70" s="129" t="s">
        <v>39</v>
      </c>
      <c r="B70" s="130" t="s">
        <v>137</v>
      </c>
      <c r="C70" s="131">
        <v>0.48</v>
      </c>
      <c r="D70" s="131" t="s">
        <v>161</v>
      </c>
      <c r="E70" s="131">
        <v>2.4</v>
      </c>
      <c r="F70" s="131" t="s">
        <v>284</v>
      </c>
      <c r="G70" s="133">
        <v>0.45</v>
      </c>
      <c r="H70" s="131" t="s">
        <v>276</v>
      </c>
      <c r="I70" s="134">
        <v>0.43</v>
      </c>
      <c r="J70" s="98"/>
      <c r="K70" s="98"/>
      <c r="L70" s="98"/>
      <c r="M70" s="98"/>
      <c r="N70" s="98"/>
    </row>
    <row r="71" spans="1:14" x14ac:dyDescent="0.25">
      <c r="A71" s="129" t="s">
        <v>40</v>
      </c>
      <c r="B71" s="130" t="s">
        <v>87</v>
      </c>
      <c r="C71" s="131">
        <v>0.46</v>
      </c>
      <c r="D71" s="131" t="s">
        <v>150</v>
      </c>
      <c r="E71" s="131">
        <v>1.3</v>
      </c>
      <c r="F71" s="132" t="s">
        <v>274</v>
      </c>
      <c r="G71" s="133">
        <v>0.45</v>
      </c>
      <c r="H71" s="131" t="s">
        <v>276</v>
      </c>
      <c r="I71" s="134">
        <v>0.43</v>
      </c>
      <c r="J71" s="98"/>
      <c r="K71" s="98"/>
      <c r="L71" s="98"/>
      <c r="M71" s="98"/>
      <c r="N71" s="98"/>
    </row>
    <row r="72" spans="1:14" x14ac:dyDescent="0.25">
      <c r="A72" s="129" t="s">
        <v>41</v>
      </c>
      <c r="B72" s="130" t="s">
        <v>88</v>
      </c>
      <c r="C72" s="131">
        <v>0.44</v>
      </c>
      <c r="D72" s="131" t="s">
        <v>161</v>
      </c>
      <c r="E72" s="131">
        <v>1.3</v>
      </c>
      <c r="F72" s="132" t="s">
        <v>274</v>
      </c>
      <c r="G72" s="133">
        <v>0.45</v>
      </c>
      <c r="H72" s="131" t="s">
        <v>276</v>
      </c>
      <c r="I72" s="134">
        <v>0.43</v>
      </c>
      <c r="J72" s="98"/>
      <c r="K72" s="98"/>
      <c r="L72" s="98"/>
      <c r="M72" s="98"/>
      <c r="N72" s="98"/>
    </row>
    <row r="73" spans="1:14" x14ac:dyDescent="0.25">
      <c r="A73" s="129" t="s">
        <v>138</v>
      </c>
      <c r="B73" s="130" t="s">
        <v>140</v>
      </c>
      <c r="C73" s="131">
        <v>0.46</v>
      </c>
      <c r="D73" s="131" t="s">
        <v>151</v>
      </c>
      <c r="E73" s="131">
        <v>1.3</v>
      </c>
      <c r="F73" s="132" t="s">
        <v>274</v>
      </c>
      <c r="G73" s="133">
        <v>0.45</v>
      </c>
      <c r="H73" s="131" t="s">
        <v>276</v>
      </c>
      <c r="I73" s="134">
        <v>0.43</v>
      </c>
      <c r="J73" s="98"/>
      <c r="K73" s="98"/>
      <c r="L73" s="98"/>
      <c r="M73" s="98"/>
      <c r="N73" s="98"/>
    </row>
    <row r="74" spans="1:14" x14ac:dyDescent="0.25">
      <c r="A74" s="129" t="s">
        <v>42</v>
      </c>
      <c r="B74" s="130" t="s">
        <v>139</v>
      </c>
      <c r="C74" s="131">
        <v>0.34</v>
      </c>
      <c r="D74" s="131" t="s">
        <v>161</v>
      </c>
      <c r="E74" s="131">
        <v>1.3</v>
      </c>
      <c r="F74" s="132" t="s">
        <v>274</v>
      </c>
      <c r="G74" s="133">
        <v>0.45</v>
      </c>
      <c r="H74" s="131" t="s">
        <v>276</v>
      </c>
      <c r="I74" s="134">
        <v>0.43</v>
      </c>
      <c r="J74" s="98"/>
      <c r="K74" s="98"/>
      <c r="L74" s="98"/>
      <c r="M74" s="98"/>
      <c r="N74" s="98"/>
    </row>
    <row r="75" spans="1:14" x14ac:dyDescent="0.25">
      <c r="A75" s="129" t="s">
        <v>43</v>
      </c>
      <c r="B75" s="130" t="s">
        <v>162</v>
      </c>
      <c r="C75" s="131">
        <v>0.5</v>
      </c>
      <c r="D75" s="131" t="s">
        <v>161</v>
      </c>
      <c r="E75" s="131">
        <v>1.56</v>
      </c>
      <c r="F75" s="132" t="s">
        <v>274</v>
      </c>
      <c r="G75" s="133">
        <v>0.53</v>
      </c>
      <c r="H75" s="131" t="s">
        <v>275</v>
      </c>
      <c r="I75" s="134">
        <v>0.25</v>
      </c>
      <c r="J75" s="98"/>
      <c r="K75" s="98"/>
      <c r="L75" s="98"/>
      <c r="M75" s="98"/>
      <c r="N75" s="98"/>
    </row>
    <row r="76" spans="1:14" x14ac:dyDescent="0.25">
      <c r="A76" s="129" t="s">
        <v>44</v>
      </c>
      <c r="B76" s="130" t="s">
        <v>89</v>
      </c>
      <c r="C76" s="131">
        <v>0.57999999999999996</v>
      </c>
      <c r="D76" s="131" t="s">
        <v>161</v>
      </c>
      <c r="E76" s="131">
        <v>1.56</v>
      </c>
      <c r="F76" s="132" t="s">
        <v>274</v>
      </c>
      <c r="G76" s="133">
        <v>0.3</v>
      </c>
      <c r="H76" s="131" t="s">
        <v>277</v>
      </c>
      <c r="I76" s="134">
        <v>0.25</v>
      </c>
      <c r="J76" s="98"/>
      <c r="K76" s="98"/>
      <c r="L76" s="98"/>
      <c r="M76" s="98"/>
      <c r="N76" s="98"/>
    </row>
    <row r="77" spans="1:14" x14ac:dyDescent="0.25">
      <c r="A77" s="129" t="s">
        <v>47</v>
      </c>
      <c r="B77" s="130" t="s">
        <v>141</v>
      </c>
      <c r="C77" s="131">
        <v>0.37</v>
      </c>
      <c r="D77" s="131" t="s">
        <v>161</v>
      </c>
      <c r="E77" s="131">
        <v>1.3</v>
      </c>
      <c r="F77" s="132" t="s">
        <v>274</v>
      </c>
      <c r="G77" s="133">
        <v>0.55000000000000004</v>
      </c>
      <c r="H77" s="131" t="s">
        <v>152</v>
      </c>
      <c r="I77" s="134">
        <v>0.43</v>
      </c>
      <c r="J77" s="98"/>
      <c r="K77" s="98"/>
      <c r="L77" s="98"/>
      <c r="M77" s="98"/>
      <c r="N77" s="98"/>
    </row>
    <row r="78" spans="1:14" x14ac:dyDescent="0.25">
      <c r="A78" s="129" t="s">
        <v>45</v>
      </c>
      <c r="B78" s="130" t="s">
        <v>96</v>
      </c>
      <c r="C78" s="131">
        <v>0.37</v>
      </c>
      <c r="D78" s="131" t="s">
        <v>161</v>
      </c>
      <c r="E78" s="131">
        <v>1.3</v>
      </c>
      <c r="F78" s="132" t="s">
        <v>274</v>
      </c>
      <c r="G78" s="133">
        <v>0.55000000000000004</v>
      </c>
      <c r="H78" s="131" t="s">
        <v>152</v>
      </c>
      <c r="I78" s="134">
        <v>0.43</v>
      </c>
      <c r="J78" s="98"/>
      <c r="K78" s="98"/>
      <c r="L78" s="98"/>
      <c r="M78" s="98"/>
      <c r="N78" s="98"/>
    </row>
    <row r="79" spans="1:14" x14ac:dyDescent="0.25">
      <c r="A79" s="129" t="s">
        <v>46</v>
      </c>
      <c r="B79" s="130" t="s">
        <v>95</v>
      </c>
      <c r="C79" s="131">
        <v>0.38</v>
      </c>
      <c r="D79" s="131" t="s">
        <v>161</v>
      </c>
      <c r="E79" s="131">
        <v>1.3</v>
      </c>
      <c r="F79" s="132" t="s">
        <v>274</v>
      </c>
      <c r="G79" s="133">
        <v>0.55000000000000004</v>
      </c>
      <c r="H79" s="131" t="s">
        <v>153</v>
      </c>
      <c r="I79" s="134">
        <v>0.43</v>
      </c>
      <c r="J79" s="98"/>
      <c r="K79" s="98"/>
      <c r="L79" s="98"/>
      <c r="M79" s="98"/>
      <c r="N79" s="98"/>
    </row>
    <row r="80" spans="1:14" x14ac:dyDescent="0.25">
      <c r="A80" s="129" t="s">
        <v>48</v>
      </c>
      <c r="B80" s="130" t="s">
        <v>94</v>
      </c>
      <c r="C80" s="131">
        <v>0.36</v>
      </c>
      <c r="D80" s="131" t="s">
        <v>161</v>
      </c>
      <c r="E80" s="131">
        <v>1.3</v>
      </c>
      <c r="F80" s="132" t="s">
        <v>274</v>
      </c>
      <c r="G80" s="133">
        <v>0.55000000000000004</v>
      </c>
      <c r="H80" s="131" t="s">
        <v>153</v>
      </c>
      <c r="I80" s="134">
        <v>0.43</v>
      </c>
      <c r="J80" s="98"/>
      <c r="K80" s="98"/>
      <c r="L80" s="98"/>
      <c r="M80" s="98"/>
      <c r="N80" s="98"/>
    </row>
    <row r="81" spans="1:14" x14ac:dyDescent="0.25">
      <c r="A81" s="129" t="s">
        <v>49</v>
      </c>
      <c r="B81" s="130" t="s">
        <v>142</v>
      </c>
      <c r="C81" s="131">
        <v>0.37</v>
      </c>
      <c r="D81" s="131" t="s">
        <v>161</v>
      </c>
      <c r="E81" s="131">
        <v>1.56</v>
      </c>
      <c r="F81" s="132" t="s">
        <v>274</v>
      </c>
      <c r="G81" s="133">
        <v>0.43</v>
      </c>
      <c r="H81" s="131" t="s">
        <v>278</v>
      </c>
      <c r="I81" s="134">
        <v>0.25</v>
      </c>
      <c r="J81" s="98"/>
      <c r="K81" s="98"/>
      <c r="L81" s="98"/>
      <c r="M81" s="98"/>
      <c r="N81" s="98"/>
    </row>
    <row r="82" spans="1:14" x14ac:dyDescent="0.25">
      <c r="A82" s="129" t="s">
        <v>158</v>
      </c>
      <c r="B82" s="130" t="s">
        <v>159</v>
      </c>
      <c r="C82" s="131">
        <v>0.35</v>
      </c>
      <c r="D82" s="131" t="s">
        <v>160</v>
      </c>
      <c r="E82" s="131">
        <v>1.3</v>
      </c>
      <c r="F82" s="132" t="s">
        <v>274</v>
      </c>
      <c r="G82" s="133">
        <v>0.55000000000000004</v>
      </c>
      <c r="H82" s="131" t="s">
        <v>153</v>
      </c>
      <c r="I82" s="134">
        <v>0.43</v>
      </c>
      <c r="J82" s="98"/>
      <c r="K82" s="98"/>
      <c r="L82" s="98"/>
      <c r="M82" s="98"/>
      <c r="N82" s="98"/>
    </row>
    <row r="83" spans="1:14" x14ac:dyDescent="0.25">
      <c r="A83" s="129" t="s">
        <v>156</v>
      </c>
      <c r="B83" s="130" t="s">
        <v>157</v>
      </c>
      <c r="C83" s="131">
        <v>0.34</v>
      </c>
      <c r="D83" s="131" t="s">
        <v>161</v>
      </c>
      <c r="E83" s="131">
        <v>1.3</v>
      </c>
      <c r="F83" s="132" t="s">
        <v>274</v>
      </c>
      <c r="G83" s="133">
        <v>0.55000000000000004</v>
      </c>
      <c r="H83" s="131" t="s">
        <v>153</v>
      </c>
      <c r="I83" s="134">
        <v>0.43</v>
      </c>
      <c r="J83" s="98"/>
      <c r="K83" s="98"/>
      <c r="L83" s="98"/>
      <c r="M83" s="98"/>
      <c r="N83" s="98"/>
    </row>
    <row r="84" spans="1:14" x14ac:dyDescent="0.25">
      <c r="A84" s="129" t="s">
        <v>92</v>
      </c>
      <c r="B84" s="130" t="s">
        <v>93</v>
      </c>
      <c r="C84" s="131">
        <v>0.31</v>
      </c>
      <c r="D84" s="131" t="s">
        <v>161</v>
      </c>
      <c r="E84" s="131">
        <v>1.3</v>
      </c>
      <c r="F84" s="132" t="s">
        <v>274</v>
      </c>
      <c r="G84" s="133">
        <v>0.55000000000000004</v>
      </c>
      <c r="H84" s="131" t="s">
        <v>153</v>
      </c>
      <c r="I84" s="134">
        <v>0.43</v>
      </c>
      <c r="J84" s="98"/>
      <c r="K84" s="98"/>
      <c r="L84" s="98"/>
      <c r="M84" s="98"/>
      <c r="N84" s="98"/>
    </row>
    <row r="85" spans="1:14" x14ac:dyDescent="0.25">
      <c r="A85" s="129" t="s">
        <v>50</v>
      </c>
      <c r="B85" s="130" t="s">
        <v>143</v>
      </c>
      <c r="C85" s="131">
        <v>0.43</v>
      </c>
      <c r="D85" s="131" t="s">
        <v>161</v>
      </c>
      <c r="E85" s="131">
        <v>1.56</v>
      </c>
      <c r="F85" s="132" t="s">
        <v>274</v>
      </c>
      <c r="G85" s="133">
        <v>0.53</v>
      </c>
      <c r="H85" s="131" t="s">
        <v>275</v>
      </c>
      <c r="I85" s="134">
        <v>0.25</v>
      </c>
      <c r="J85" s="98"/>
      <c r="K85" s="98"/>
      <c r="L85" s="98"/>
      <c r="M85" s="98"/>
      <c r="N85" s="98"/>
    </row>
    <row r="86" spans="1:14" x14ac:dyDescent="0.25">
      <c r="A86" s="129" t="s">
        <v>51</v>
      </c>
      <c r="B86" s="130" t="s">
        <v>91</v>
      </c>
      <c r="C86" s="131">
        <v>0.38</v>
      </c>
      <c r="D86" s="131" t="s">
        <v>161</v>
      </c>
      <c r="E86" s="131">
        <v>1.56</v>
      </c>
      <c r="F86" s="132" t="s">
        <v>274</v>
      </c>
      <c r="G86" s="133">
        <v>0.6</v>
      </c>
      <c r="H86" s="131" t="s">
        <v>279</v>
      </c>
      <c r="I86" s="134">
        <v>0.25</v>
      </c>
      <c r="J86" s="98"/>
      <c r="K86" s="98"/>
      <c r="L86" s="98"/>
      <c r="M86" s="98"/>
      <c r="N86" s="98"/>
    </row>
    <row r="87" spans="1:14" x14ac:dyDescent="0.25">
      <c r="A87" s="284" t="s">
        <v>321</v>
      </c>
      <c r="B87" s="285" t="s">
        <v>322</v>
      </c>
      <c r="C87" s="286">
        <v>0.41</v>
      </c>
      <c r="D87" s="286" t="s">
        <v>323</v>
      </c>
      <c r="E87" s="286">
        <v>1.56</v>
      </c>
      <c r="F87" s="287" t="s">
        <v>274</v>
      </c>
      <c r="G87" s="288">
        <v>0.43</v>
      </c>
      <c r="H87" s="286" t="s">
        <v>278</v>
      </c>
      <c r="I87" s="289">
        <v>0.25</v>
      </c>
      <c r="J87" s="98"/>
      <c r="K87" s="98"/>
      <c r="L87" s="98"/>
      <c r="M87" s="98"/>
      <c r="N87" s="98"/>
    </row>
    <row r="88" spans="1:14" x14ac:dyDescent="0.25">
      <c r="A88" s="129" t="s">
        <v>148</v>
      </c>
      <c r="B88" s="137"/>
      <c r="C88" s="131">
        <v>0.42</v>
      </c>
      <c r="D88" s="131" t="s">
        <v>161</v>
      </c>
      <c r="E88" s="131">
        <v>1.3</v>
      </c>
      <c r="F88" s="132" t="s">
        <v>274</v>
      </c>
      <c r="G88" s="138"/>
      <c r="H88" s="137"/>
      <c r="I88" s="139"/>
    </row>
    <row r="89" spans="1:14" ht="15.75" thickBot="1" x14ac:dyDescent="0.3">
      <c r="A89" s="140" t="s">
        <v>149</v>
      </c>
      <c r="B89" s="141"/>
      <c r="C89" s="142">
        <v>0.56999999999999995</v>
      </c>
      <c r="D89" s="143" t="s">
        <v>161</v>
      </c>
      <c r="E89" s="142">
        <v>1.56</v>
      </c>
      <c r="F89" s="142" t="s">
        <v>274</v>
      </c>
      <c r="G89" s="141"/>
      <c r="H89" s="141"/>
      <c r="I89" s="144"/>
    </row>
    <row r="93" spans="1:14" x14ac:dyDescent="0.25">
      <c r="A93" s="129" t="s">
        <v>208</v>
      </c>
    </row>
    <row r="94" spans="1:14" x14ac:dyDescent="0.25">
      <c r="A94" s="129" t="s">
        <v>209</v>
      </c>
    </row>
    <row r="95" spans="1:14" x14ac:dyDescent="0.25">
      <c r="A95" s="129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opLeftCell="A5" zoomScaleNormal="100" workbookViewId="0">
      <selection activeCell="G14" sqref="G14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3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69"/>
      <c r="J1" s="69"/>
      <c r="K1" s="69"/>
      <c r="L1" s="69"/>
      <c r="M1" s="69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6" t="s">
        <v>271</v>
      </c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8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29"/>
      <c r="J3" s="229"/>
      <c r="K3" s="229"/>
      <c r="L3" s="229"/>
      <c r="M3" s="229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29"/>
      <c r="J4" s="229"/>
      <c r="K4" s="229"/>
      <c r="L4" s="229"/>
      <c r="M4" s="229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5" t="s">
        <v>207</v>
      </c>
      <c r="B5" s="146" t="s">
        <v>250</v>
      </c>
      <c r="C5" s="147" t="str">
        <f>Calculateur!S2</f>
        <v>ΔStock moyen de long terme (tCO₂/ha)</v>
      </c>
      <c r="D5" s="147" t="str">
        <f>Calculateur!T2</f>
        <v>Δstock CO₂ 30 ans (tCO₂/ha)</v>
      </c>
      <c r="E5" s="147" t="s">
        <v>228</v>
      </c>
      <c r="F5" s="147" t="s">
        <v>239</v>
      </c>
      <c r="G5" s="147" t="s">
        <v>240</v>
      </c>
      <c r="H5" s="148" t="s">
        <v>241</v>
      </c>
      <c r="I5" s="149" t="s">
        <v>242</v>
      </c>
      <c r="J5" s="150" t="s">
        <v>243</v>
      </c>
      <c r="K5" s="151" t="s">
        <v>244</v>
      </c>
      <c r="L5" s="88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2" t="str">
        <f>IF('Données projet'!$B$9="","",'Données projet'!$B$9)</f>
        <v>Chêne sessile</v>
      </c>
      <c r="B6" s="153">
        <f>'Données projet'!D9</f>
        <v>1.8202310000000002</v>
      </c>
      <c r="C6" s="154">
        <f ca="1">IF(OR('Données projet'!B9="",'Données projet'!C9="",'Données projet'!C9=0%),0,Calculateur!S3)</f>
        <v>570.08763950759544</v>
      </c>
      <c r="D6" s="154">
        <f>IF(OR('Données projet'!B9="",'Données projet'!C9="",'Données projet'!C9=0%),0,Calculateur!T3)</f>
        <v>297.32483725004136</v>
      </c>
      <c r="E6" s="154">
        <f ca="1">MIN(C6,D6)</f>
        <v>297.32483725004136</v>
      </c>
      <c r="F6" s="154">
        <f ca="1">E6*B6</f>
        <v>541.19988583248005</v>
      </c>
      <c r="G6" s="154">
        <f ca="1">F6*(100%-'Données projet'!$C$24)*(100%-'Données projet'!$C$25)*(100%-'Données projet'!$C$26)*(100%-'Données projet'!$C$27)</f>
        <v>487.07989724923203</v>
      </c>
      <c r="H6" s="155">
        <f>IF(OR('Données projet'!B9="",'Données projet'!C9="",'Données projet'!C9=0%),0,AVERAGE(Calculateur!$AC$3:$AC$33)*B6)</f>
        <v>0</v>
      </c>
      <c r="I6" s="156">
        <f>H6*(100%-'Données projet'!$C$24)*(100%-'Données projet'!$C$25)*(100%-'Données projet'!$C$26)*(100%-'Données projet'!$C$27)</f>
        <v>0</v>
      </c>
      <c r="J6" s="157">
        <f>IF(OR('Données projet'!B9="",'Données projet'!C9="",'Données projet'!C9=0%),0,SUM(Calculateur!$V$3:$V$33)*VLOOKUP('Données projet'!$B$9,Paramètres!$A$1:$I$89,9,0)*B6)</f>
        <v>15.471963500000001</v>
      </c>
      <c r="K6" s="158">
        <f>J6*(100%-'Données projet'!$C$24)*(100%-'Données projet'!$C$25)*(100%-'Données projet'!$C$26)*(100%-'Données projet'!$C$27)</f>
        <v>13.924767150000001</v>
      </c>
      <c r="L6" s="159">
        <f ca="1">G6+I6+K6</f>
        <v>501.00466439923201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0" t="str">
        <f>IF('Données projet'!$B$10="","",'Données projet'!$B$10)</f>
        <v>Erable plane</v>
      </c>
      <c r="B7" s="161">
        <f>'Données projet'!D10</f>
        <v>1.0509430000000002</v>
      </c>
      <c r="C7" s="154">
        <f ca="1">IF(OR('Données projet'!B10="",'Données projet'!C10="",'Données projet'!C10=0%),0,Calculateur!AN3)</f>
        <v>394.49874384716014</v>
      </c>
      <c r="D7" s="154">
        <f>IF(OR('Données projet'!B10="",'Données projet'!C10="",'Données projet'!C10=0%),0,Calculateur!AO3)</f>
        <v>423.72519584013378</v>
      </c>
      <c r="E7" s="154">
        <f t="shared" ref="E7:E15" ca="1" si="0">MIN(C7,D7)</f>
        <v>394.49874384716014</v>
      </c>
      <c r="F7" s="154">
        <f t="shared" ref="F7:F15" ca="1" si="1">E7*B7</f>
        <v>414.5956933549661</v>
      </c>
      <c r="G7" s="154">
        <f ca="1">F7*(100%-'Données projet'!$C$24)*(100%-'Données projet'!$C$25)*(100%-'Données projet'!$C$26)*(100%-'Données projet'!$C$27)</f>
        <v>373.13612401946949</v>
      </c>
      <c r="H7" s="162">
        <f>IF(OR('Données projet'!B10="",'Données projet'!C10="",'Données projet'!C10=0%),0,AVERAGE(Calculateur!$AX$3:$AX$33)*B7)</f>
        <v>0</v>
      </c>
      <c r="I7" s="156">
        <f>H7*(100%-'Données projet'!$C$24)*(100%-'Données projet'!$C$25)*(100%-'Données projet'!$C$26)*(100%-'Données projet'!$C$27)</f>
        <v>0</v>
      </c>
      <c r="J7" s="157">
        <f>IF(OR('Données projet'!B10="",'Données projet'!C10="",'Données projet'!C10=0%),0,SUM(Calculateur!$AQ$3:$AQ$33)*VLOOKUP('Données projet'!$B$10,Paramètres!$A$1:$I$89,9,0)*B7)</f>
        <v>35.863429875000008</v>
      </c>
      <c r="K7" s="158">
        <f>J7*(100%-'Données projet'!$C$24)*(100%-'Données projet'!$C$25)*(100%-'Données projet'!$C$26)*(100%-'Données projet'!$C$27)</f>
        <v>32.277086887500012</v>
      </c>
      <c r="L7" s="159">
        <f t="shared" ref="L7:L15" ca="1" si="2">G7+I7+K7</f>
        <v>405.41321090696948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0" t="str">
        <f>IF('Données projet'!$B$11="","",'Données projet'!$B$11)</f>
        <v>Erable champêtre</v>
      </c>
      <c r="B8" s="161">
        <f>'Données projet'!D11</f>
        <v>0.13883600000000001</v>
      </c>
      <c r="C8" s="154">
        <f ca="1">IF(OR('Données projet'!B11="",'Données projet'!C11="",'Données projet'!C11=0%),0,Calculateur!BI3)</f>
        <v>363.28611056308665</v>
      </c>
      <c r="D8" s="154">
        <f>IF(OR('Données projet'!B11="",'Données projet'!C11="",'Données projet'!C11=0%),0,Calculateur!BJ3)</f>
        <v>389.43647559455974</v>
      </c>
      <c r="E8" s="154">
        <f t="shared" ca="1" si="0"/>
        <v>363.28611056308665</v>
      </c>
      <c r="F8" s="154">
        <f t="shared" ca="1" si="1"/>
        <v>50.437190446136704</v>
      </c>
      <c r="G8" s="154">
        <f ca="1">F8*(100%-'Données projet'!$C$24)*(100%-'Données projet'!$C$25)*(100%-'Données projet'!$C$26)*(100%-'Données projet'!$C$27)</f>
        <v>45.393471401523037</v>
      </c>
      <c r="H8" s="162">
        <f>IF(OR('Données projet'!B11="",'Données projet'!C11="",'Données projet'!C11=0%),0,AVERAGE(Calculateur!$BS$3:$BS$33)*B8)</f>
        <v>0</v>
      </c>
      <c r="I8" s="156">
        <f>H8*(100%-'Données projet'!$C$24)*(100%-'Données projet'!$C$25)*(100%-'Données projet'!$C$26)*(100%-'Données projet'!$C$27)</f>
        <v>0</v>
      </c>
      <c r="J8" s="157">
        <f>IF(OR('Données projet'!B11="",'Données projet'!C11="",'Données projet'!C11=0%),0,SUM(Calculateur!$BL$3:$BL$33)*VLOOKUP('Données projet'!$B$11,Paramètres!$A$1:$I$89,9,0)*B8)</f>
        <v>3.4396619000000004</v>
      </c>
      <c r="K8" s="158">
        <f>J8*(100%-'Données projet'!$C$24)*(100%-'Données projet'!$C$25)*(100%-'Données projet'!$C$26)*(100%-'Données projet'!$C$27)</f>
        <v>3.0956957100000002</v>
      </c>
      <c r="L8" s="159">
        <f t="shared" ca="1" si="2"/>
        <v>48.489167111523038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0" t="str">
        <f>IF('Données projet'!$B$12="","",'Données projet'!$B$12)</f>
        <v>Charme</v>
      </c>
      <c r="B9" s="161">
        <f>'Données projet'!D12</f>
        <v>0.56900000000000006</v>
      </c>
      <c r="C9" s="154">
        <f ca="1">IF(OR('Données projet'!B12="",'Données projet'!C12="",'Données projet'!C12=0%),0,Calculateur!CD3)</f>
        <v>441.15969139782891</v>
      </c>
      <c r="D9" s="154">
        <f>IF(OR('Données projet'!B12="",'Données projet'!C12="",'Données projet'!C12=0%),0,Calculateur!CE3)</f>
        <v>315.06466790224783</v>
      </c>
      <c r="E9" s="154">
        <f t="shared" ca="1" si="0"/>
        <v>315.06466790224783</v>
      </c>
      <c r="F9" s="154">
        <f t="shared" ca="1" si="1"/>
        <v>179.27179603637904</v>
      </c>
      <c r="G9" s="154">
        <f ca="1">F9*(100%-'Données projet'!$C$24)*(100%-'Données projet'!$C$25)*(100%-'Données projet'!$C$26)*(100%-'Données projet'!$C$27)</f>
        <v>161.34461643274113</v>
      </c>
      <c r="H9" s="162">
        <f>IF(OR('Données projet'!B12="",'Données projet'!C12="",'Données projet'!C12=0%),0,AVERAGE(Calculateur!$CN$3:$CN$33)*B9)</f>
        <v>0</v>
      </c>
      <c r="I9" s="156">
        <f>H9*(100%-'Données projet'!$C$24)*(100%-'Données projet'!$C$25)*(100%-'Données projet'!$C$26)*(100%-'Données projet'!$C$27)</f>
        <v>0</v>
      </c>
      <c r="J9" s="157">
        <f>IF(OR('Données projet'!B12="",'Données projet'!C12="",'Données projet'!C12=0%),0,SUM(Calculateur!$CG$3:$CG$33)*VLOOKUP('Données projet'!$B$12,Paramètres!$A$1:$I$89,9,0)*B9)</f>
        <v>5.1064102564102569</v>
      </c>
      <c r="K9" s="158">
        <f>J9*(100%-'Données projet'!$C$24)*(100%-'Données projet'!$C$25)*(100%-'Données projet'!$C$26)*(100%-'Données projet'!$C$27)</f>
        <v>4.5957692307692311</v>
      </c>
      <c r="L9" s="159">
        <f t="shared" ca="1" si="2"/>
        <v>165.94038566351037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0" t="str">
        <f>IF('Données projet'!$B$13="","",'Données projet'!$B$13)</f>
        <v>Châtaignier</v>
      </c>
      <c r="B10" s="161">
        <f>'Données projet'!D13</f>
        <v>0.43642300000000006</v>
      </c>
      <c r="C10" s="154">
        <f ca="1">IF(OR('Données projet'!B13="",'Données projet'!C13="",'Données projet'!C13=0%),0,Calculateur!CY3)</f>
        <v>368.35775920359396</v>
      </c>
      <c r="D10" s="154">
        <f>IF(OR('Données projet'!B13="",'Données projet'!C13="",'Données projet'!C13=0%),0,Calculateur!CZ3)</f>
        <v>395.5218438652638</v>
      </c>
      <c r="E10" s="154">
        <f t="shared" ca="1" si="0"/>
        <v>368.35775920359396</v>
      </c>
      <c r="F10" s="154">
        <f t="shared" ca="1" si="1"/>
        <v>160.75979834491011</v>
      </c>
      <c r="G10" s="154">
        <f ca="1">F10*(100%-'Données projet'!$C$24)*(100%-'Données projet'!$C$25)*(100%-'Données projet'!$C$26)*(100%-'Données projet'!$C$27)</f>
        <v>144.68381851041912</v>
      </c>
      <c r="H10" s="162">
        <f>IF(OR('Données projet'!B13="",'Données projet'!C13="",'Données projet'!C13=0%),0,AVERAGE(Calculateur!$DI$3:$DI$33)*B10)</f>
        <v>0</v>
      </c>
      <c r="I10" s="156">
        <f>H10*(100%-'Données projet'!$C$24)*(100%-'Données projet'!$C$25)*(100%-'Données projet'!$C$26)*(100%-'Données projet'!$C$27)</f>
        <v>0</v>
      </c>
      <c r="J10" s="157">
        <f>IF(OR('Données projet'!B13="",'Données projet'!C13="",'Données projet'!C13=0%),0,SUM(Calculateur!$DB$3:$DB$33)*VLOOKUP('Données projet'!$B$13,Paramètres!$A$1:$I$89,9,0)*B10)</f>
        <v>14.892934875000002</v>
      </c>
      <c r="K10" s="158">
        <f>J10*(100%-'Données projet'!$C$24)*(100%-'Données projet'!$C$25)*(100%-'Données projet'!$C$26)*(100%-'Données projet'!$C$27)</f>
        <v>13.403641387500002</v>
      </c>
      <c r="L10" s="159">
        <f t="shared" ca="1" si="2"/>
        <v>158.08745989791913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0" t="str">
        <f>IF('Données projet'!$B$14="","",'Données projet'!$B$14)</f>
        <v>Merisier</v>
      </c>
      <c r="B11" s="161">
        <f>'Données projet'!D14</f>
        <v>0.349935</v>
      </c>
      <c r="C11" s="154">
        <f ca="1">IF(OR('Données projet'!B14="",'Données projet'!C14="",'Données projet'!C14=0%),0,Calculateur!DT3)</f>
        <v>312.59632808777332</v>
      </c>
      <c r="D11" s="154">
        <f>IF(OR('Données projet'!B14="",'Données projet'!C14="",'Données projet'!C14=0%),0,Calculateur!DU3)</f>
        <v>302.59481222418219</v>
      </c>
      <c r="E11" s="154">
        <f t="shared" ca="1" si="0"/>
        <v>302.59481222418219</v>
      </c>
      <c r="F11" s="154">
        <f t="shared" ca="1" si="1"/>
        <v>105.88851561566919</v>
      </c>
      <c r="G11" s="154">
        <f ca="1">F11*(100%-'Données projet'!$C$24)*(100%-'Données projet'!$C$25)*(100%-'Données projet'!$C$26)*(100%-'Données projet'!$C$27)</f>
        <v>95.29966405410228</v>
      </c>
      <c r="H11" s="162">
        <f>IF(OR('Données projet'!B14="",'Données projet'!C14="",'Données projet'!C14=0%),0,AVERAGE(Calculateur!$ED$3:$ED$33)*B11)</f>
        <v>0</v>
      </c>
      <c r="I11" s="156">
        <f>H11*(100%-'Données projet'!$C$24)*(100%-'Données projet'!$C$25)*(100%-'Données projet'!$C$26)*(100%-'Données projet'!$C$27)</f>
        <v>0</v>
      </c>
      <c r="J11" s="157">
        <f>IF(OR('Données projet'!B14="",'Données projet'!C14="",'Données projet'!C14=0%),0,SUM(Calculateur!$DW$3:$DW$33)*VLOOKUP('Données projet'!$B$14,Paramètres!$A$1:$I$89,9,0)*B11)</f>
        <v>4.8116062499999996</v>
      </c>
      <c r="K11" s="158">
        <f>J11*(100%-'Données projet'!$C$24)*(100%-'Données projet'!$C$25)*(100%-'Données projet'!$C$26)*(100%-'Données projet'!$C$27)</f>
        <v>4.3304456249999994</v>
      </c>
      <c r="L11" s="159">
        <f t="shared" ca="1" si="2"/>
        <v>99.630109679102276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0" t="str">
        <f>IF('Données projet'!$B$15="","",'Données projet'!$B$15)</f>
        <v>Hêtre</v>
      </c>
      <c r="B12" s="161">
        <f>'Données projet'!D15</f>
        <v>0.41252499999999998</v>
      </c>
      <c r="C12" s="154">
        <f ca="1">IF(OR('Données projet'!B15="",'Données projet'!C15="",'Données projet'!C15=0%),0,Calculateur!EO3)</f>
        <v>478.11504516179713</v>
      </c>
      <c r="D12" s="154">
        <f>IF(OR('Données projet'!B15="",'Données projet'!C15="",'Données projet'!C15=0%),0,Calculateur!EP3)</f>
        <v>249.93713224442419</v>
      </c>
      <c r="E12" s="154">
        <f t="shared" ca="1" si="0"/>
        <v>249.93713224442419</v>
      </c>
      <c r="F12" s="154">
        <f t="shared" ca="1" si="1"/>
        <v>103.10531547913108</v>
      </c>
      <c r="G12" s="154">
        <f ca="1">F12*(100%-'Données projet'!$C$24)*(100%-'Données projet'!$C$25)*(100%-'Données projet'!$C$26)*(100%-'Données projet'!$C$27)</f>
        <v>92.794783931217978</v>
      </c>
      <c r="H12" s="162">
        <f>IF(OR('Données projet'!B15="",'Données projet'!C15="",'Données projet'!C15=0%),0,AVERAGE(Calculateur!$EY$3:$EY$33)*B12)</f>
        <v>0</v>
      </c>
      <c r="I12" s="156">
        <f>H12*(100%-'Données projet'!$C$24)*(100%-'Données projet'!$C$25)*(100%-'Données projet'!$C$26)*(100%-'Données projet'!$C$27)</f>
        <v>0</v>
      </c>
      <c r="J12" s="157">
        <f>IF(OR('Données projet'!B15="",'Données projet'!C15="",'Données projet'!C15=0%),0,SUM(Calculateur!$ER$3:$ER$33)*VLOOKUP('Données projet'!$B$15,Paramètres!$A$1:$I$89,9,0)*B12)</f>
        <v>2.5782812499999999</v>
      </c>
      <c r="K12" s="158">
        <f>J12*(100%-'Données projet'!$C$24)*(100%-'Données projet'!$C$25)*(100%-'Données projet'!$C$26)*(100%-'Données projet'!$C$27)</f>
        <v>2.3204531249999998</v>
      </c>
      <c r="L12" s="159">
        <f t="shared" ca="1" si="2"/>
        <v>95.115237056217978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0" t="str">
        <f>IF('Données projet'!$B$16="","",'Données projet'!$B$16)</f>
        <v>Alisier torminal</v>
      </c>
      <c r="B13" s="161">
        <f>'Données projet'!D16</f>
        <v>0.28450000000000003</v>
      </c>
      <c r="C13" s="154">
        <f ca="1">IF(OR('Données projet'!B16="",'Données projet'!C16="",'Données projet'!C16=0%),0,Calculateur!FJ3)</f>
        <v>603.52431522262032</v>
      </c>
      <c r="D13" s="154">
        <f>IF(OR('Données projet'!B16="",'Données projet'!C16="",'Données projet'!C16=0%),0,Calculateur!FK3)</f>
        <v>313.56299786481338</v>
      </c>
      <c r="E13" s="154">
        <f t="shared" ca="1" si="0"/>
        <v>313.56299786481338</v>
      </c>
      <c r="F13" s="154">
        <f t="shared" ca="1" si="1"/>
        <v>89.208672892539411</v>
      </c>
      <c r="G13" s="154">
        <f ca="1">F13*(100%-'Données projet'!$C$24)*(100%-'Données projet'!$C$25)*(100%-'Données projet'!$C$26)*(100%-'Données projet'!$C$27)</f>
        <v>80.287805603285477</v>
      </c>
      <c r="H13" s="162">
        <f>IF(OR('Données projet'!B16="",'Données projet'!C16="",'Données projet'!C16=0%),0,AVERAGE(Calculateur!$FT$3:$FT$33)*B13)</f>
        <v>0</v>
      </c>
      <c r="I13" s="156">
        <f>H13*(100%-'Données projet'!$C$24)*(100%-'Données projet'!$C$25)*(100%-'Données projet'!$C$26)*(100%-'Données projet'!$C$27)</f>
        <v>0</v>
      </c>
      <c r="J13" s="157">
        <f>IF(OR('Données projet'!C16="",'Données projet'!C16=0%),0,SUM(Calculateur!$FM$3:$FM$33)*VLOOKUP('Données projet'!$B$16,Paramètres!$A$1:$I$89,9,0)*B13)</f>
        <v>2.4182500000000005</v>
      </c>
      <c r="K13" s="158">
        <f>J13*(100%-'Données projet'!$C$24)*(100%-'Données projet'!$C$25)*(100%-'Données projet'!$C$26)*(100%-'Données projet'!$C$27)</f>
        <v>2.1764250000000005</v>
      </c>
      <c r="L13" s="159">
        <f t="shared" ca="1" si="2"/>
        <v>82.464230603285472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0" t="str">
        <f>IF('Données projet'!$B$17="","",'Données projet'!$B$17)</f>
        <v>Tilleul</v>
      </c>
      <c r="B14" s="161">
        <f>'Données projet'!D17</f>
        <v>0.28450000000000003</v>
      </c>
      <c r="C14" s="154">
        <f ca="1">IF(OR('Données projet'!B17="",'Données projet'!C17="",'Données projet'!C17=0%),0,Calculateur!GE3)</f>
        <v>396.0878652679051</v>
      </c>
      <c r="D14" s="154">
        <f>IF(OR('Données projet'!B17="",'Données projet'!C17="",'Données projet'!C17=0%),0,Calculateur!GF3)</f>
        <v>327.26339199235406</v>
      </c>
      <c r="E14" s="154">
        <f t="shared" ca="1" si="0"/>
        <v>327.26339199235406</v>
      </c>
      <c r="F14" s="154">
        <f t="shared" ca="1" si="1"/>
        <v>93.106435021824737</v>
      </c>
      <c r="G14" s="154">
        <f ca="1">F14*(100%-'Données projet'!$C$24)*(100%-'Données projet'!$C$25)*(100%-'Données projet'!$C$26)*(100%-'Données projet'!$C$27)</f>
        <v>83.795791519642265</v>
      </c>
      <c r="H14" s="162">
        <f>IF(OR('Données projet'!B17="",'Données projet'!C17="",'Données projet'!C17=0%),0,AVERAGE(Calculateur!$GO$3:$GO$33)*B14)</f>
        <v>0</v>
      </c>
      <c r="I14" s="156">
        <f>H14*(100%-'Données projet'!$C$24)*(100%-'Données projet'!$C$25)*(100%-'Données projet'!$C$26)*(100%-'Données projet'!$C$27)</f>
        <v>0</v>
      </c>
      <c r="J14" s="157">
        <f>IF(OR('Données projet'!B17="",'Données projet'!C17="",'Données projet'!C17=0%),0,SUM(Calculateur!$GH$3:$GH$33)*VLOOKUP('Données projet'!$B$17,Paramètres!$A$1:$I$89,9,0)*B14)</f>
        <v>5.5623397435897441</v>
      </c>
      <c r="K14" s="158">
        <f>J14*(100%-'Données projet'!$C$24)*(100%-'Données projet'!$C$25)*(100%-'Données projet'!$C$26)*(100%-'Données projet'!$C$27)</f>
        <v>5.0061057692307696</v>
      </c>
      <c r="L14" s="159">
        <f t="shared" ca="1" si="2"/>
        <v>88.801897288873036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3" t="str">
        <f>IF('Données projet'!B18="","",'Données projet'!B18)</f>
        <v>Bouleau verruqueux</v>
      </c>
      <c r="B15" s="164">
        <f>'Données projet'!D18</f>
        <v>0.22646200000000002</v>
      </c>
      <c r="C15" s="165">
        <f ca="1">IF(OR('Données projet'!B18="",'Données projet'!C18="",'Données projet'!C18=0%),0,Calculateur!GZ3)</f>
        <v>272.69564942740931</v>
      </c>
      <c r="D15" s="165">
        <f>IF(OR('Données projet'!B18="",'Données projet'!C18="",'Données projet'!C18=0%),0,Calculateur!HA3)</f>
        <v>316.57989180609252</v>
      </c>
      <c r="E15" s="165">
        <f t="shared" ca="1" si="0"/>
        <v>272.69564942740931</v>
      </c>
      <c r="F15" s="166">
        <f t="shared" ca="1" si="1"/>
        <v>61.75520216062997</v>
      </c>
      <c r="G15" s="166">
        <f ca="1">F15*(100%-'Données projet'!$C$24)*(100%-'Données projet'!$C$25)*(100%-'Données projet'!$C$26)*(100%-'Données projet'!$C$27)</f>
        <v>55.579681944566971</v>
      </c>
      <c r="H15" s="167">
        <f>IF(OR('Données projet'!B18="",'Données projet'!C18="",'Données projet'!C18=0%),0,AVERAGE(Calculateur!$HJ$3:$HJ$33)*B15)</f>
        <v>0</v>
      </c>
      <c r="I15" s="168">
        <f>H15*(100%-'Données projet'!$C$24)*(100%-'Données projet'!$C$25)*(100%-'Données projet'!$C$26)*(100%-'Données projet'!$C$27)</f>
        <v>0</v>
      </c>
      <c r="J15" s="169">
        <f>IF(OR('Données projet'!B18="",'Données projet'!C18="",'Données projet'!C18=0%),0,SUM(Calculateur!$HC$3:$HC$33)*VLOOKUP('Données projet'!$B$18,Paramètres!$A$1:$I$89,9,0)*B15)</f>
        <v>2.2646200000000003</v>
      </c>
      <c r="K15" s="170">
        <f>J15*(100%-'Données projet'!$C$24)*(100%-'Données projet'!$C$25)*(100%-'Données projet'!$C$26)*(100%-'Données projet'!$C$27)</f>
        <v>2.0381580000000001</v>
      </c>
      <c r="L15" s="171">
        <f t="shared" ca="1" si="2"/>
        <v>57.617839944566974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4"/>
      <c r="B16" s="231"/>
      <c r="C16" s="232"/>
      <c r="D16" s="25"/>
      <c r="E16" s="25"/>
      <c r="F16" s="172">
        <f t="shared" ref="F16:L16" ca="1" si="3">SUM(F6:F15)</f>
        <v>1799.3285051846667</v>
      </c>
      <c r="G16" s="173">
        <f t="shared" ca="1" si="3"/>
        <v>1619.3956546662</v>
      </c>
      <c r="H16" s="174">
        <f t="shared" si="3"/>
        <v>0</v>
      </c>
      <c r="I16" s="174">
        <f t="shared" si="3"/>
        <v>0</v>
      </c>
      <c r="J16" s="175">
        <f t="shared" si="3"/>
        <v>92.409497650000006</v>
      </c>
      <c r="K16" s="175">
        <f t="shared" si="3"/>
        <v>83.16854788500001</v>
      </c>
      <c r="L16" s="176">
        <f t="shared" ca="1" si="3"/>
        <v>1702.5642025511995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4"/>
      <c r="B17" s="231"/>
      <c r="C17" s="232"/>
      <c r="D17" s="229"/>
      <c r="E17" s="229"/>
      <c r="F17" s="318" t="s">
        <v>246</v>
      </c>
      <c r="G17" s="319"/>
      <c r="H17" s="319"/>
      <c r="I17" s="319"/>
      <c r="J17" s="319"/>
      <c r="K17" s="319"/>
      <c r="L17" s="319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4"/>
      <c r="B18" s="231"/>
      <c r="C18" s="232"/>
      <c r="D18" s="229"/>
      <c r="E18" s="229"/>
      <c r="F18" s="320"/>
      <c r="G18" s="320"/>
      <c r="H18" s="320"/>
      <c r="I18" s="320"/>
      <c r="J18" s="320"/>
      <c r="K18" s="320"/>
      <c r="L18" s="320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29"/>
      <c r="J19" s="229"/>
      <c r="K19" s="229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29"/>
      <c r="J20" s="229"/>
      <c r="K20" s="229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7" t="str">
        <f>A6</f>
        <v>Chêne sessile</v>
      </c>
      <c r="B21" s="5"/>
      <c r="C21" s="5"/>
      <c r="D21" s="5"/>
      <c r="E21" s="5"/>
      <c r="F21" s="5"/>
      <c r="G21" s="5"/>
      <c r="H21" s="5"/>
      <c r="I21" s="229"/>
      <c r="J21" s="229"/>
      <c r="K21" s="229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29"/>
      <c r="J22" s="229"/>
      <c r="K22" s="229"/>
      <c r="L22" s="229"/>
      <c r="M22" s="229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29"/>
      <c r="J23" s="229"/>
      <c r="K23" s="229"/>
      <c r="L23" s="229"/>
      <c r="M23" s="229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29"/>
      <c r="J24" s="229"/>
      <c r="K24" s="229"/>
      <c r="L24" s="229"/>
      <c r="M24" s="229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29"/>
      <c r="J25" s="229"/>
      <c r="K25" s="229"/>
      <c r="L25" s="229"/>
      <c r="M25" s="229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29"/>
      <c r="J26" s="229"/>
      <c r="K26" s="229"/>
      <c r="L26" s="229"/>
      <c r="M26" s="229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29"/>
      <c r="J27" s="229"/>
      <c r="K27" s="229"/>
      <c r="L27" s="229"/>
      <c r="M27" s="229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29"/>
      <c r="J28" s="229"/>
      <c r="K28" s="229"/>
      <c r="L28" s="229"/>
      <c r="M28" s="229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29"/>
      <c r="J29" s="229"/>
      <c r="K29" s="229"/>
      <c r="L29" s="229"/>
      <c r="M29" s="229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29"/>
      <c r="J30" s="229"/>
      <c r="K30" s="229"/>
      <c r="L30" s="229"/>
      <c r="M30" s="229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29"/>
      <c r="J31" s="229"/>
      <c r="K31" s="229"/>
      <c r="L31" s="229"/>
      <c r="M31" s="229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29"/>
      <c r="J32" s="229"/>
      <c r="K32" s="229"/>
      <c r="L32" s="229"/>
      <c r="M32" s="229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29"/>
      <c r="J33" s="229"/>
      <c r="K33" s="229"/>
      <c r="L33" s="229"/>
      <c r="M33" s="229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29"/>
      <c r="J34" s="229"/>
      <c r="K34" s="229"/>
      <c r="L34" s="229"/>
      <c r="M34" s="229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29"/>
      <c r="J35" s="229"/>
      <c r="K35" s="229"/>
      <c r="L35" s="229"/>
      <c r="M35" s="229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29"/>
      <c r="J36" s="229"/>
      <c r="K36" s="229"/>
      <c r="L36" s="229"/>
      <c r="M36" s="229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29"/>
      <c r="J37" s="229"/>
      <c r="K37" s="229"/>
      <c r="L37" s="229"/>
      <c r="M37" s="229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29"/>
      <c r="J38" s="229"/>
      <c r="K38" s="229"/>
      <c r="L38" s="229"/>
      <c r="M38" s="229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7" t="str">
        <f>A7</f>
        <v>Erable plane</v>
      </c>
      <c r="B39" s="5"/>
      <c r="C39" s="5"/>
      <c r="D39" s="5"/>
      <c r="E39" s="5"/>
      <c r="F39" s="5"/>
      <c r="G39" s="5"/>
      <c r="H39" s="5"/>
      <c r="I39" s="229"/>
      <c r="J39" s="229"/>
      <c r="K39" s="229"/>
      <c r="L39" s="229"/>
      <c r="M39" s="229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29"/>
      <c r="J40" s="229"/>
      <c r="K40" s="229"/>
      <c r="L40" s="229"/>
      <c r="M40" s="229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29"/>
      <c r="J41" s="229"/>
      <c r="K41" s="229"/>
      <c r="L41" s="229"/>
      <c r="M41" s="229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29"/>
      <c r="J42" s="229"/>
      <c r="K42" s="229"/>
      <c r="L42" s="229"/>
      <c r="M42" s="229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29"/>
      <c r="J43" s="229"/>
      <c r="K43" s="229"/>
      <c r="L43" s="229"/>
      <c r="M43" s="229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29"/>
      <c r="J44" s="229"/>
      <c r="K44" s="229"/>
      <c r="L44" s="229"/>
      <c r="M44" s="229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29"/>
      <c r="J45" s="229"/>
      <c r="K45" s="229"/>
      <c r="L45" s="229"/>
      <c r="M45" s="229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29"/>
      <c r="J46" s="229"/>
      <c r="K46" s="229"/>
      <c r="L46" s="229"/>
      <c r="M46" s="229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29"/>
      <c r="J47" s="229"/>
      <c r="K47" s="229"/>
      <c r="L47" s="229"/>
      <c r="M47" s="229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29"/>
      <c r="J48" s="229"/>
      <c r="K48" s="229"/>
      <c r="L48" s="229"/>
      <c r="M48" s="229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29"/>
      <c r="J49" s="229"/>
      <c r="K49" s="229"/>
      <c r="L49" s="229"/>
      <c r="M49" s="229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29"/>
      <c r="J50" s="229"/>
      <c r="K50" s="229"/>
      <c r="L50" s="229"/>
      <c r="M50" s="229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29"/>
      <c r="J51" s="229"/>
      <c r="K51" s="229"/>
      <c r="L51" s="229"/>
      <c r="M51" s="229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29"/>
      <c r="J52" s="229"/>
      <c r="K52" s="229"/>
      <c r="L52" s="229"/>
      <c r="M52" s="229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29"/>
      <c r="J53" s="229"/>
      <c r="K53" s="229"/>
      <c r="L53" s="229"/>
      <c r="M53" s="229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29"/>
      <c r="J54" s="229"/>
      <c r="K54" s="229"/>
      <c r="L54" s="229"/>
      <c r="M54" s="229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29"/>
      <c r="J55" s="229"/>
      <c r="K55" s="229"/>
      <c r="L55" s="229"/>
      <c r="M55" s="229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29"/>
      <c r="J56" s="229"/>
      <c r="K56" s="229"/>
      <c r="L56" s="229"/>
      <c r="M56" s="229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7" t="str">
        <f>A8</f>
        <v>Erable champêtre</v>
      </c>
      <c r="B57" s="5"/>
      <c r="C57" s="5"/>
      <c r="D57" s="5"/>
      <c r="E57" s="5"/>
      <c r="F57" s="5"/>
      <c r="G57" s="5"/>
      <c r="H57" s="5"/>
      <c r="I57" s="229"/>
      <c r="J57" s="229"/>
      <c r="K57" s="229"/>
      <c r="L57" s="229"/>
      <c r="M57" s="229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29"/>
      <c r="J58" s="229"/>
      <c r="K58" s="229"/>
      <c r="L58" s="229"/>
      <c r="M58" s="229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29"/>
      <c r="J59" s="229"/>
      <c r="K59" s="229"/>
      <c r="L59" s="229"/>
      <c r="M59" s="229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29"/>
      <c r="J60" s="229"/>
      <c r="K60" s="229"/>
      <c r="L60" s="229"/>
      <c r="M60" s="229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29"/>
      <c r="J61" s="229"/>
      <c r="K61" s="229"/>
      <c r="L61" s="229"/>
      <c r="M61" s="229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29"/>
      <c r="J62" s="229"/>
      <c r="K62" s="229"/>
      <c r="L62" s="229"/>
      <c r="M62" s="229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29"/>
      <c r="J63" s="229"/>
      <c r="K63" s="229"/>
      <c r="L63" s="229"/>
      <c r="M63" s="229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29"/>
      <c r="J64" s="229"/>
      <c r="K64" s="229"/>
      <c r="L64" s="229"/>
      <c r="M64" s="229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29"/>
      <c r="J65" s="229"/>
      <c r="K65" s="229"/>
      <c r="L65" s="229"/>
      <c r="M65" s="229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29"/>
      <c r="J66" s="229"/>
      <c r="K66" s="229"/>
      <c r="L66" s="229"/>
      <c r="M66" s="229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29"/>
      <c r="J67" s="229"/>
      <c r="K67" s="229"/>
      <c r="L67" s="229"/>
      <c r="M67" s="229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29"/>
      <c r="J68" s="229"/>
      <c r="K68" s="229"/>
      <c r="L68" s="229"/>
      <c r="M68" s="229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29"/>
      <c r="J69" s="229"/>
      <c r="K69" s="229"/>
      <c r="L69" s="229"/>
      <c r="M69" s="229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29"/>
      <c r="J70" s="229"/>
      <c r="K70" s="229"/>
      <c r="L70" s="229"/>
      <c r="M70" s="229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29"/>
      <c r="J71" s="229"/>
      <c r="K71" s="229"/>
      <c r="L71" s="229"/>
      <c r="M71" s="229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29"/>
      <c r="J72" s="229"/>
      <c r="K72" s="229"/>
      <c r="L72" s="229"/>
      <c r="M72" s="229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29"/>
      <c r="J73" s="229"/>
      <c r="K73" s="229"/>
      <c r="L73" s="229"/>
      <c r="M73" s="229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29"/>
      <c r="J74" s="229"/>
      <c r="K74" s="229"/>
      <c r="L74" s="229"/>
      <c r="M74" s="229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29"/>
      <c r="J75" s="229"/>
      <c r="K75" s="229"/>
      <c r="L75" s="229"/>
      <c r="M75" s="229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7" t="str">
        <f>A9</f>
        <v>Charme</v>
      </c>
      <c r="B76" s="5"/>
      <c r="C76" s="5"/>
      <c r="D76" s="5"/>
      <c r="E76" s="5"/>
      <c r="F76" s="5"/>
      <c r="G76" s="5"/>
      <c r="H76" s="5"/>
      <c r="I76" s="229"/>
      <c r="J76" s="229"/>
      <c r="K76" s="229"/>
      <c r="L76" s="229"/>
      <c r="M76" s="229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29"/>
      <c r="J77" s="229"/>
      <c r="K77" s="229"/>
      <c r="L77" s="229"/>
      <c r="M77" s="229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29"/>
      <c r="J78" s="229"/>
      <c r="K78" s="229"/>
      <c r="L78" s="229"/>
      <c r="M78" s="229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29"/>
      <c r="J79" s="229"/>
      <c r="K79" s="229"/>
      <c r="L79" s="229"/>
      <c r="M79" s="229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29"/>
      <c r="J80" s="229"/>
      <c r="K80" s="229"/>
      <c r="L80" s="229"/>
      <c r="M80" s="229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29"/>
      <c r="J81" s="229"/>
      <c r="K81" s="229"/>
      <c r="L81" s="229"/>
      <c r="M81" s="229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29"/>
      <c r="J82" s="229"/>
      <c r="K82" s="229"/>
      <c r="L82" s="229"/>
      <c r="M82" s="229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29"/>
      <c r="J83" s="229"/>
      <c r="K83" s="229"/>
      <c r="L83" s="229"/>
      <c r="M83" s="229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29"/>
      <c r="J84" s="229"/>
      <c r="K84" s="229"/>
      <c r="L84" s="229"/>
      <c r="M84" s="229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29"/>
      <c r="J85" s="229"/>
      <c r="K85" s="229"/>
      <c r="L85" s="229"/>
      <c r="M85" s="229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29"/>
      <c r="J86" s="229"/>
      <c r="K86" s="229"/>
      <c r="L86" s="229"/>
      <c r="M86" s="229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29"/>
      <c r="J87" s="229"/>
      <c r="K87" s="229"/>
      <c r="L87" s="229"/>
      <c r="M87" s="229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29"/>
      <c r="J88" s="229"/>
      <c r="K88" s="229"/>
      <c r="L88" s="229"/>
      <c r="M88" s="229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29"/>
      <c r="J89" s="229"/>
      <c r="K89" s="229"/>
      <c r="L89" s="229"/>
      <c r="M89" s="229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29"/>
      <c r="J90" s="229"/>
      <c r="K90" s="229"/>
      <c r="L90" s="229"/>
      <c r="M90" s="229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29"/>
      <c r="J91" s="229"/>
      <c r="K91" s="229"/>
      <c r="L91" s="229"/>
      <c r="M91" s="229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29"/>
      <c r="J92" s="229"/>
      <c r="K92" s="229"/>
      <c r="L92" s="229"/>
      <c r="M92" s="229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29"/>
      <c r="J93" s="229"/>
      <c r="K93" s="229"/>
      <c r="L93" s="229"/>
      <c r="M93" s="229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7" t="str">
        <f>A10</f>
        <v>Châtaignier</v>
      </c>
      <c r="B94" s="5"/>
      <c r="C94" s="5"/>
      <c r="D94" s="5"/>
      <c r="E94" s="5"/>
      <c r="F94" s="5"/>
      <c r="G94" s="5"/>
      <c r="H94" s="5"/>
      <c r="I94" s="229"/>
      <c r="J94" s="229"/>
      <c r="K94" s="229"/>
      <c r="L94" s="229"/>
      <c r="M94" s="229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29"/>
      <c r="J95" s="229"/>
      <c r="K95" s="229"/>
      <c r="L95" s="229"/>
      <c r="M95" s="229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29"/>
      <c r="J96" s="229"/>
      <c r="K96" s="229"/>
      <c r="L96" s="229"/>
      <c r="M96" s="229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29"/>
      <c r="J97" s="229"/>
      <c r="K97" s="229"/>
      <c r="L97" s="229"/>
      <c r="M97" s="229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29"/>
      <c r="J98" s="229"/>
      <c r="K98" s="229"/>
      <c r="L98" s="229"/>
      <c r="M98" s="229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29"/>
      <c r="J99" s="229"/>
      <c r="K99" s="229"/>
      <c r="L99" s="229"/>
      <c r="M99" s="229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29"/>
      <c r="J100" s="229"/>
      <c r="K100" s="229"/>
      <c r="L100" s="229"/>
      <c r="M100" s="229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29"/>
      <c r="J101" s="229"/>
      <c r="K101" s="229"/>
      <c r="L101" s="229"/>
      <c r="M101" s="229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29"/>
      <c r="J102" s="229"/>
      <c r="K102" s="229"/>
      <c r="L102" s="229"/>
      <c r="M102" s="229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29"/>
      <c r="J103" s="229"/>
      <c r="K103" s="229"/>
      <c r="L103" s="229"/>
      <c r="M103" s="229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29"/>
      <c r="J104" s="229"/>
      <c r="K104" s="229"/>
      <c r="L104" s="229"/>
      <c r="M104" s="229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29"/>
      <c r="J105" s="229"/>
      <c r="K105" s="229"/>
      <c r="L105" s="229"/>
      <c r="M105" s="229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29"/>
      <c r="J106" s="229"/>
      <c r="K106" s="229"/>
      <c r="L106" s="229"/>
      <c r="M106" s="229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29"/>
      <c r="J107" s="229"/>
      <c r="K107" s="229"/>
      <c r="L107" s="229"/>
      <c r="M107" s="229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29"/>
      <c r="J108" s="229"/>
      <c r="K108" s="229"/>
      <c r="L108" s="229"/>
      <c r="M108" s="229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29"/>
      <c r="J109" s="229"/>
      <c r="K109" s="229"/>
      <c r="L109" s="229"/>
      <c r="M109" s="229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29"/>
      <c r="J110" s="229"/>
      <c r="K110" s="229"/>
      <c r="L110" s="229"/>
      <c r="M110" s="229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29"/>
      <c r="J111" s="229"/>
      <c r="K111" s="229"/>
      <c r="L111" s="229"/>
      <c r="M111" s="229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7" t="str">
        <f>A11</f>
        <v>Merisier</v>
      </c>
      <c r="B112" s="5"/>
      <c r="C112" s="5"/>
      <c r="D112" s="5"/>
      <c r="E112" s="5"/>
      <c r="F112" s="5"/>
      <c r="G112" s="5"/>
      <c r="H112" s="5"/>
      <c r="I112" s="229"/>
      <c r="J112" s="229"/>
      <c r="K112" s="229"/>
      <c r="L112" s="229"/>
      <c r="M112" s="229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29"/>
      <c r="J113" s="229"/>
      <c r="K113" s="229"/>
      <c r="L113" s="229"/>
      <c r="M113" s="229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29"/>
      <c r="J114" s="229"/>
      <c r="K114" s="229"/>
      <c r="L114" s="229"/>
      <c r="M114" s="229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29"/>
      <c r="J115" s="229"/>
      <c r="K115" s="229"/>
      <c r="L115" s="229"/>
      <c r="M115" s="229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29"/>
      <c r="J116" s="229"/>
      <c r="K116" s="229"/>
      <c r="L116" s="229"/>
      <c r="M116" s="229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29"/>
      <c r="J117" s="229"/>
      <c r="K117" s="229"/>
      <c r="L117" s="229"/>
      <c r="M117" s="229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29"/>
      <c r="J118" s="229"/>
      <c r="K118" s="229"/>
      <c r="L118" s="229"/>
      <c r="M118" s="229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29"/>
      <c r="J119" s="229"/>
      <c r="K119" s="229"/>
      <c r="L119" s="229"/>
      <c r="M119" s="229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29"/>
      <c r="J120" s="229"/>
      <c r="K120" s="229"/>
      <c r="L120" s="229"/>
      <c r="M120" s="229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29"/>
      <c r="J121" s="229"/>
      <c r="K121" s="229"/>
      <c r="L121" s="229"/>
      <c r="M121" s="229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29"/>
      <c r="J122" s="229"/>
      <c r="K122" s="229"/>
      <c r="L122" s="229"/>
      <c r="M122" s="229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29"/>
      <c r="J123" s="229"/>
      <c r="K123" s="229"/>
      <c r="L123" s="229"/>
      <c r="M123" s="229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29"/>
      <c r="J124" s="229"/>
      <c r="K124" s="229"/>
      <c r="L124" s="229"/>
      <c r="M124" s="229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29"/>
      <c r="J125" s="229"/>
      <c r="K125" s="229"/>
      <c r="L125" s="229"/>
      <c r="M125" s="229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29"/>
      <c r="J126" s="229"/>
      <c r="K126" s="229"/>
      <c r="L126" s="229"/>
      <c r="M126" s="229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29"/>
      <c r="J127" s="229"/>
      <c r="K127" s="229"/>
      <c r="L127" s="229"/>
      <c r="M127" s="229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29"/>
      <c r="J128" s="229"/>
      <c r="K128" s="229"/>
      <c r="L128" s="229"/>
      <c r="M128" s="229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29"/>
      <c r="J129" s="229"/>
      <c r="K129" s="229"/>
      <c r="L129" s="229"/>
      <c r="M129" s="229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7" t="str">
        <f>A12</f>
        <v>Hêtre</v>
      </c>
      <c r="B130" s="5"/>
      <c r="C130" s="5"/>
      <c r="D130" s="5"/>
      <c r="E130" s="5"/>
      <c r="F130" s="5"/>
      <c r="G130" s="5"/>
      <c r="H130" s="5"/>
      <c r="I130" s="229"/>
      <c r="J130" s="229"/>
      <c r="K130" s="229"/>
      <c r="L130" s="229"/>
      <c r="M130" s="229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29"/>
      <c r="J131" s="229"/>
      <c r="K131" s="229"/>
      <c r="L131" s="229"/>
      <c r="M131" s="229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29"/>
      <c r="J132" s="229"/>
      <c r="K132" s="229"/>
      <c r="L132" s="229"/>
      <c r="M132" s="229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29"/>
      <c r="J133" s="229"/>
      <c r="K133" s="229"/>
      <c r="L133" s="229"/>
      <c r="M133" s="229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29"/>
      <c r="J134" s="229"/>
      <c r="K134" s="229"/>
      <c r="L134" s="229"/>
      <c r="M134" s="229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29"/>
      <c r="J135" s="229"/>
      <c r="K135" s="229"/>
      <c r="L135" s="229"/>
      <c r="M135" s="229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29"/>
      <c r="J136" s="229"/>
      <c r="K136" s="229"/>
      <c r="L136" s="229"/>
      <c r="M136" s="229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29"/>
      <c r="J137" s="229"/>
      <c r="K137" s="229"/>
      <c r="L137" s="229"/>
      <c r="M137" s="229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29"/>
      <c r="J138" s="229"/>
      <c r="K138" s="229"/>
      <c r="L138" s="229"/>
      <c r="M138" s="229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29"/>
      <c r="J139" s="229"/>
      <c r="K139" s="229"/>
      <c r="L139" s="229"/>
      <c r="M139" s="229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29"/>
      <c r="J140" s="229"/>
      <c r="K140" s="229"/>
      <c r="L140" s="229"/>
      <c r="M140" s="229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29"/>
      <c r="J141" s="229"/>
      <c r="K141" s="229"/>
      <c r="L141" s="229"/>
      <c r="M141" s="229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29"/>
      <c r="J142" s="229"/>
      <c r="K142" s="229"/>
      <c r="L142" s="229"/>
      <c r="M142" s="229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29"/>
      <c r="J143" s="229"/>
      <c r="K143" s="229"/>
      <c r="L143" s="229"/>
      <c r="M143" s="229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29"/>
      <c r="J144" s="229"/>
      <c r="K144" s="229"/>
      <c r="L144" s="229"/>
      <c r="M144" s="229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29"/>
      <c r="J145" s="229"/>
      <c r="K145" s="229"/>
      <c r="L145" s="229"/>
      <c r="M145" s="229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29"/>
      <c r="J146" s="229"/>
      <c r="K146" s="229"/>
      <c r="L146" s="229"/>
      <c r="M146" s="229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29"/>
      <c r="J147" s="229"/>
      <c r="K147" s="229"/>
      <c r="L147" s="229"/>
      <c r="M147" s="229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7" t="str">
        <f>A13</f>
        <v>Alisier torminal</v>
      </c>
      <c r="B148" s="5"/>
      <c r="C148" s="5"/>
      <c r="D148" s="5"/>
      <c r="E148" s="5"/>
      <c r="F148" s="5"/>
      <c r="G148" s="5"/>
      <c r="H148" s="5"/>
      <c r="I148" s="229"/>
      <c r="J148" s="229"/>
      <c r="K148" s="229"/>
      <c r="L148" s="229"/>
      <c r="M148" s="229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29"/>
      <c r="J149" s="229"/>
      <c r="K149" s="229"/>
      <c r="L149" s="229"/>
      <c r="M149" s="229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29"/>
      <c r="J150" s="229"/>
      <c r="K150" s="229"/>
      <c r="L150" s="229"/>
      <c r="M150" s="229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29"/>
      <c r="J151" s="229"/>
      <c r="K151" s="229"/>
      <c r="L151" s="229"/>
      <c r="M151" s="229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29"/>
      <c r="J152" s="229"/>
      <c r="K152" s="229"/>
      <c r="L152" s="229"/>
      <c r="M152" s="229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29"/>
      <c r="J153" s="229"/>
      <c r="K153" s="229"/>
      <c r="L153" s="229"/>
      <c r="M153" s="229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29"/>
      <c r="J154" s="229"/>
      <c r="K154" s="229"/>
      <c r="L154" s="229"/>
      <c r="M154" s="229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29"/>
      <c r="J155" s="229"/>
      <c r="K155" s="229"/>
      <c r="L155" s="229"/>
      <c r="M155" s="229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29"/>
      <c r="J156" s="229"/>
      <c r="K156" s="229"/>
      <c r="L156" s="229"/>
      <c r="M156" s="229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29"/>
      <c r="J157" s="229"/>
      <c r="K157" s="229"/>
      <c r="L157" s="229"/>
      <c r="M157" s="229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29"/>
      <c r="J158" s="229"/>
      <c r="K158" s="229"/>
      <c r="L158" s="229"/>
      <c r="M158" s="229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29"/>
      <c r="J159" s="229"/>
      <c r="K159" s="229"/>
      <c r="L159" s="229"/>
      <c r="M159" s="229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29"/>
      <c r="J160" s="229"/>
      <c r="K160" s="229"/>
      <c r="L160" s="229"/>
      <c r="M160" s="229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29"/>
      <c r="J161" s="229"/>
      <c r="K161" s="229"/>
      <c r="L161" s="229"/>
      <c r="M161" s="229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29"/>
      <c r="J162" s="229"/>
      <c r="K162" s="229"/>
      <c r="L162" s="229"/>
      <c r="M162" s="229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29"/>
      <c r="J163" s="229"/>
      <c r="K163" s="229"/>
      <c r="L163" s="229"/>
      <c r="M163" s="229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29"/>
      <c r="J164" s="229"/>
      <c r="K164" s="229"/>
      <c r="L164" s="229"/>
      <c r="M164" s="229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29"/>
      <c r="J165" s="229"/>
      <c r="K165" s="229"/>
      <c r="L165" s="229"/>
      <c r="M165" s="229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7" t="str">
        <f>A14</f>
        <v>Tilleul</v>
      </c>
      <c r="B166" s="5"/>
      <c r="C166" s="5"/>
      <c r="D166" s="5"/>
      <c r="E166" s="5"/>
      <c r="F166" s="5"/>
      <c r="G166" s="5"/>
      <c r="H166" s="5"/>
      <c r="I166" s="229"/>
      <c r="J166" s="229"/>
      <c r="K166" s="229"/>
      <c r="L166" s="229"/>
      <c r="M166" s="229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29"/>
      <c r="J167" s="229"/>
      <c r="K167" s="229"/>
      <c r="L167" s="229"/>
      <c r="M167" s="229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29"/>
      <c r="J168" s="229"/>
      <c r="K168" s="229"/>
      <c r="L168" s="229"/>
      <c r="M168" s="229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29"/>
      <c r="J169" s="229"/>
      <c r="K169" s="229"/>
      <c r="L169" s="229"/>
      <c r="M169" s="229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29"/>
      <c r="J170" s="229"/>
      <c r="K170" s="229"/>
      <c r="L170" s="229"/>
      <c r="M170" s="229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29"/>
      <c r="J171" s="229"/>
      <c r="K171" s="229"/>
      <c r="L171" s="229"/>
      <c r="M171" s="229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29"/>
      <c r="J172" s="229"/>
      <c r="K172" s="229"/>
      <c r="L172" s="229"/>
      <c r="M172" s="229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29"/>
      <c r="J173" s="229"/>
      <c r="K173" s="229"/>
      <c r="L173" s="229"/>
      <c r="M173" s="229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29"/>
      <c r="J174" s="229"/>
      <c r="K174" s="229"/>
      <c r="L174" s="229"/>
      <c r="M174" s="229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29"/>
      <c r="J175" s="229"/>
      <c r="K175" s="229"/>
      <c r="L175" s="229"/>
      <c r="M175" s="229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29"/>
      <c r="J176" s="229"/>
      <c r="K176" s="229"/>
      <c r="L176" s="229"/>
      <c r="M176" s="229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29"/>
      <c r="J177" s="229"/>
      <c r="K177" s="229"/>
      <c r="L177" s="229"/>
      <c r="M177" s="229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29"/>
      <c r="J178" s="229"/>
      <c r="K178" s="229"/>
      <c r="L178" s="229"/>
      <c r="M178" s="229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29"/>
      <c r="J179" s="229"/>
      <c r="K179" s="229"/>
      <c r="L179" s="229"/>
      <c r="M179" s="229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29"/>
      <c r="J180" s="229"/>
      <c r="K180" s="229"/>
      <c r="L180" s="229"/>
      <c r="M180" s="229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29"/>
      <c r="J181" s="229"/>
      <c r="K181" s="229"/>
      <c r="L181" s="229"/>
      <c r="M181" s="229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29"/>
      <c r="J182" s="229"/>
      <c r="K182" s="229"/>
      <c r="L182" s="229"/>
      <c r="M182" s="229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29"/>
      <c r="J183" s="229"/>
      <c r="K183" s="229"/>
      <c r="L183" s="229"/>
      <c r="M183" s="229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7" t="str">
        <f>A15</f>
        <v>Bouleau verruqueux</v>
      </c>
      <c r="B184" s="5"/>
      <c r="C184" s="5"/>
      <c r="D184" s="5"/>
      <c r="E184" s="5"/>
      <c r="F184" s="5"/>
      <c r="G184" s="5"/>
      <c r="H184" s="5"/>
      <c r="I184" s="229"/>
      <c r="J184" s="229"/>
      <c r="K184" s="229"/>
      <c r="L184" s="229"/>
      <c r="M184" s="229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29"/>
      <c r="J185" s="229"/>
      <c r="K185" s="229"/>
      <c r="L185" s="229"/>
      <c r="M185" s="229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29"/>
      <c r="J186" s="229"/>
      <c r="K186" s="229"/>
      <c r="L186" s="229"/>
      <c r="M186" s="229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29"/>
      <c r="J187" s="229"/>
      <c r="K187" s="229"/>
      <c r="L187" s="229"/>
      <c r="M187" s="229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29"/>
      <c r="J188" s="229"/>
      <c r="K188" s="229"/>
      <c r="L188" s="229"/>
      <c r="M188" s="229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29"/>
      <c r="J189" s="229"/>
      <c r="K189" s="229"/>
      <c r="L189" s="229"/>
      <c r="M189" s="229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29"/>
      <c r="J190" s="229"/>
      <c r="K190" s="229"/>
      <c r="L190" s="229"/>
      <c r="M190" s="229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29"/>
      <c r="J191" s="229"/>
      <c r="K191" s="229"/>
      <c r="L191" s="229"/>
      <c r="M191" s="229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29"/>
      <c r="J192" s="229"/>
      <c r="K192" s="229"/>
      <c r="L192" s="229"/>
      <c r="M192" s="229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29"/>
      <c r="J193" s="229"/>
      <c r="K193" s="229"/>
      <c r="L193" s="229"/>
      <c r="M193" s="229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29"/>
      <c r="J194" s="229"/>
      <c r="K194" s="229"/>
      <c r="L194" s="229"/>
      <c r="M194" s="229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29"/>
      <c r="J195" s="229"/>
      <c r="K195" s="229"/>
      <c r="L195" s="229"/>
      <c r="M195" s="229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29"/>
      <c r="J196" s="229"/>
      <c r="K196" s="229"/>
      <c r="L196" s="229"/>
      <c r="M196" s="229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29"/>
      <c r="J197" s="229"/>
      <c r="K197" s="229"/>
      <c r="L197" s="229"/>
      <c r="M197" s="229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29"/>
      <c r="J198" s="229"/>
      <c r="K198" s="229"/>
      <c r="L198" s="229"/>
      <c r="M198" s="229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29"/>
      <c r="J199" s="229"/>
      <c r="K199" s="229"/>
      <c r="L199" s="229"/>
      <c r="M199" s="229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29"/>
      <c r="J200" s="229"/>
      <c r="K200" s="229"/>
      <c r="L200" s="229"/>
      <c r="M200" s="229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29"/>
      <c r="J201" s="229"/>
      <c r="K201" s="229"/>
      <c r="L201" s="229"/>
      <c r="M201" s="229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29"/>
      <c r="J202" s="229"/>
      <c r="K202" s="229"/>
      <c r="L202" s="229"/>
      <c r="M202" s="229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69"/>
      <c r="J203" s="69"/>
      <c r="K203" s="69"/>
      <c r="L203" s="69"/>
      <c r="M203" s="229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69"/>
      <c r="J204" s="69"/>
      <c r="K204" s="69"/>
      <c r="L204" s="69"/>
      <c r="M204" s="69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69"/>
      <c r="J205" s="69"/>
      <c r="K205" s="69"/>
      <c r="L205" s="69"/>
      <c r="M205" s="69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69"/>
      <c r="J206" s="69"/>
      <c r="K206" s="69"/>
      <c r="L206" s="69"/>
      <c r="M206" s="69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69"/>
      <c r="J207" s="69"/>
      <c r="K207" s="69"/>
      <c r="L207" s="69"/>
      <c r="M207" s="69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69"/>
      <c r="J208" s="69"/>
      <c r="K208" s="69"/>
      <c r="L208" s="69"/>
      <c r="M208" s="69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69"/>
      <c r="J209" s="69"/>
      <c r="K209" s="69"/>
      <c r="L209" s="69"/>
      <c r="M209" s="69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69"/>
      <c r="J210" s="69"/>
      <c r="K210" s="69"/>
      <c r="L210" s="69"/>
      <c r="M210" s="69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69"/>
      <c r="J211" s="69"/>
      <c r="K211" s="69"/>
      <c r="L211" s="69"/>
      <c r="M211" s="69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69"/>
      <c r="J212" s="69"/>
      <c r="K212" s="69"/>
      <c r="L212" s="69"/>
      <c r="M212" s="69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69"/>
      <c r="J213" s="69"/>
      <c r="K213" s="69"/>
      <c r="L213" s="69"/>
      <c r="M213" s="69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69"/>
      <c r="J214" s="69"/>
      <c r="K214" s="69"/>
      <c r="L214" s="69"/>
      <c r="M214" s="69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69"/>
      <c r="J215" s="69"/>
      <c r="K215" s="69"/>
      <c r="L215" s="69"/>
      <c r="M215" s="69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69"/>
      <c r="J216" s="69"/>
      <c r="K216" s="69"/>
      <c r="L216" s="69"/>
      <c r="M216" s="69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69"/>
      <c r="J217" s="69"/>
      <c r="K217" s="69"/>
      <c r="L217" s="69"/>
      <c r="M217" s="69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69"/>
      <c r="J218" s="69"/>
      <c r="K218" s="69"/>
      <c r="L218" s="69"/>
      <c r="M218" s="69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69"/>
      <c r="J219" s="69"/>
      <c r="K219" s="69"/>
      <c r="L219" s="69"/>
      <c r="M219" s="69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69"/>
      <c r="J220" s="69"/>
      <c r="K220" s="69"/>
      <c r="L220" s="69"/>
      <c r="M220" s="69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69"/>
      <c r="J221" s="69"/>
      <c r="K221" s="69"/>
      <c r="L221" s="69"/>
      <c r="M221" s="69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69"/>
      <c r="J222" s="69"/>
      <c r="K222" s="69"/>
      <c r="L222" s="69"/>
      <c r="M222" s="69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69"/>
      <c r="J223" s="69"/>
      <c r="K223" s="69"/>
      <c r="L223" s="69"/>
      <c r="M223" s="69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69"/>
      <c r="J224" s="69"/>
      <c r="K224" s="69"/>
      <c r="L224" s="69"/>
      <c r="M224" s="69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69"/>
      <c r="J225" s="69"/>
      <c r="K225" s="69"/>
      <c r="L225" s="69"/>
      <c r="M225" s="69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69"/>
      <c r="J226" s="69"/>
      <c r="K226" s="69"/>
      <c r="L226" s="69"/>
      <c r="M226" s="69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69"/>
      <c r="J227" s="69"/>
      <c r="K227" s="69"/>
      <c r="L227" s="69"/>
      <c r="M227" s="69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69"/>
      <c r="J228" s="69"/>
      <c r="K228" s="69"/>
      <c r="L228" s="69"/>
      <c r="M228" s="69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69"/>
      <c r="J229" s="69"/>
      <c r="K229" s="69"/>
      <c r="L229" s="69"/>
      <c r="M229" s="69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69"/>
      <c r="J230" s="69"/>
      <c r="K230" s="69"/>
      <c r="L230" s="69"/>
      <c r="M230" s="69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69"/>
      <c r="J231" s="69"/>
      <c r="K231" s="69"/>
      <c r="L231" s="69"/>
      <c r="M231" s="69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69"/>
      <c r="J232" s="69"/>
      <c r="K232" s="69"/>
      <c r="L232" s="69"/>
      <c r="M232" s="69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69"/>
      <c r="J233" s="69"/>
      <c r="K233" s="69"/>
      <c r="L233" s="69"/>
      <c r="M233" s="69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69"/>
      <c r="J234" s="69"/>
      <c r="K234" s="69"/>
      <c r="L234" s="69"/>
      <c r="M234" s="69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69"/>
      <c r="J235" s="69"/>
      <c r="K235" s="69"/>
      <c r="L235" s="69"/>
      <c r="M235" s="69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69"/>
      <c r="J236" s="69"/>
      <c r="K236" s="69"/>
      <c r="L236" s="69"/>
      <c r="M236" s="69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69"/>
      <c r="J237" s="69"/>
      <c r="K237" s="69"/>
      <c r="L237" s="69"/>
      <c r="M237" s="69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69"/>
      <c r="J238" s="69"/>
      <c r="K238" s="69"/>
      <c r="L238" s="69"/>
      <c r="M238" s="69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69"/>
      <c r="J239" s="69"/>
      <c r="K239" s="69"/>
      <c r="L239" s="69"/>
      <c r="M239" s="69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69"/>
      <c r="J240" s="69"/>
      <c r="K240" s="69"/>
      <c r="L240" s="69"/>
      <c r="M240" s="69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69"/>
      <c r="J241" s="69"/>
      <c r="K241" s="69"/>
      <c r="L241" s="69"/>
      <c r="M241" s="69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69"/>
      <c r="J242" s="69"/>
      <c r="K242" s="69"/>
      <c r="L242" s="69"/>
      <c r="M242" s="69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69"/>
      <c r="J243" s="69"/>
      <c r="K243" s="69"/>
      <c r="L243" s="69"/>
      <c r="M243" s="69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69"/>
      <c r="J244" s="69"/>
      <c r="K244" s="69"/>
      <c r="L244" s="69"/>
      <c r="M244" s="69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69"/>
      <c r="J245" s="69"/>
      <c r="K245" s="69"/>
      <c r="L245" s="69"/>
      <c r="M245" s="69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69"/>
      <c r="J246" s="69"/>
      <c r="K246" s="69"/>
      <c r="L246" s="69"/>
      <c r="M246" s="69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69"/>
      <c r="J247" s="69"/>
      <c r="K247" s="69"/>
      <c r="L247" s="69"/>
      <c r="M247" s="69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69"/>
      <c r="J248" s="69"/>
      <c r="K248" s="69"/>
      <c r="L248" s="69"/>
      <c r="M248" s="69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69"/>
      <c r="J249" s="69"/>
      <c r="K249" s="69"/>
      <c r="L249" s="69"/>
      <c r="M249" s="69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69"/>
      <c r="J250" s="69"/>
      <c r="K250" s="69"/>
      <c r="L250" s="69"/>
      <c r="M250" s="69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69"/>
      <c r="J251" s="69"/>
      <c r="K251" s="69"/>
      <c r="L251" s="69"/>
      <c r="M251" s="69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69"/>
      <c r="J252" s="69"/>
      <c r="K252" s="69"/>
      <c r="L252" s="69"/>
      <c r="M252" s="69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69"/>
      <c r="J253" s="69"/>
      <c r="K253" s="69"/>
      <c r="L253" s="69"/>
      <c r="M253" s="69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69"/>
      <c r="J254" s="69"/>
      <c r="K254" s="69"/>
      <c r="L254" s="69"/>
      <c r="M254" s="69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69"/>
      <c r="J255" s="69"/>
      <c r="K255" s="69"/>
      <c r="L255" s="69"/>
      <c r="M255" s="69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69"/>
      <c r="J256" s="69"/>
      <c r="K256" s="69"/>
      <c r="L256" s="69"/>
      <c r="M256" s="69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69"/>
      <c r="J257" s="69"/>
      <c r="K257" s="69"/>
      <c r="L257" s="69"/>
      <c r="M257" s="69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69"/>
      <c r="J258" s="69"/>
      <c r="K258" s="69"/>
      <c r="L258" s="69"/>
      <c r="M258" s="69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69"/>
      <c r="J259" s="69"/>
      <c r="K259" s="69"/>
      <c r="L259" s="69"/>
      <c r="M259" s="69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69"/>
      <c r="J260" s="69"/>
      <c r="K260" s="69"/>
      <c r="L260" s="69"/>
      <c r="M260" s="69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69"/>
      <c r="J261" s="69"/>
      <c r="K261" s="69"/>
      <c r="L261" s="69"/>
      <c r="M261" s="69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69"/>
      <c r="J262" s="69"/>
      <c r="K262" s="69"/>
      <c r="L262" s="69"/>
      <c r="M262" s="69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69"/>
      <c r="J263" s="69"/>
      <c r="K263" s="69"/>
      <c r="L263" s="69"/>
      <c r="M263" s="69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69"/>
      <c r="J264" s="69"/>
      <c r="K264" s="69"/>
      <c r="L264" s="69"/>
      <c r="M264" s="69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69"/>
      <c r="J265" s="69"/>
      <c r="K265" s="69"/>
      <c r="L265" s="69"/>
      <c r="M265" s="69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69"/>
      <c r="J266" s="69"/>
      <c r="K266" s="69"/>
      <c r="L266" s="69"/>
      <c r="M266" s="69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69"/>
      <c r="J267" s="69"/>
      <c r="K267" s="69"/>
      <c r="L267" s="69"/>
      <c r="M267" s="69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69"/>
      <c r="J268" s="69"/>
      <c r="K268" s="69"/>
      <c r="L268" s="69"/>
      <c r="M268" s="69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69"/>
      <c r="J269" s="69"/>
      <c r="K269" s="69"/>
      <c r="L269" s="69"/>
      <c r="M269" s="69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69"/>
      <c r="J270" s="69"/>
      <c r="K270" s="69"/>
      <c r="L270" s="69"/>
      <c r="M270" s="69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69"/>
      <c r="J271" s="69"/>
      <c r="K271" s="69"/>
      <c r="L271" s="69"/>
      <c r="M271" s="69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69"/>
      <c r="J272" s="69"/>
      <c r="K272" s="69"/>
      <c r="L272" s="69"/>
      <c r="M272" s="69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69"/>
      <c r="J273" s="69"/>
      <c r="K273" s="69"/>
      <c r="L273" s="69"/>
      <c r="M273" s="69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69"/>
      <c r="J274" s="69"/>
      <c r="K274" s="69"/>
      <c r="L274" s="69"/>
      <c r="M274" s="69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69"/>
      <c r="J275" s="69"/>
      <c r="K275" s="69"/>
      <c r="L275" s="69"/>
      <c r="M275" s="69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69"/>
      <c r="J276" s="69"/>
      <c r="K276" s="69"/>
      <c r="L276" s="69"/>
      <c r="M276" s="69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69"/>
      <c r="J277" s="69"/>
      <c r="K277" s="69"/>
      <c r="L277" s="69"/>
      <c r="M277" s="69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69"/>
      <c r="J278" s="69"/>
      <c r="K278" s="69"/>
      <c r="L278" s="69"/>
      <c r="M278" s="69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69"/>
      <c r="J279" s="69"/>
      <c r="K279" s="69"/>
      <c r="L279" s="69"/>
      <c r="M279" s="69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69"/>
      <c r="J280" s="69"/>
      <c r="K280" s="69"/>
      <c r="L280" s="69"/>
      <c r="M280" s="69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69"/>
      <c r="J281" s="69"/>
      <c r="K281" s="69"/>
      <c r="L281" s="69"/>
      <c r="M281" s="69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69"/>
      <c r="J282" s="69"/>
      <c r="K282" s="69"/>
      <c r="L282" s="69"/>
      <c r="M282" s="69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69"/>
      <c r="J283" s="69"/>
      <c r="K283" s="69"/>
      <c r="L283" s="69"/>
      <c r="M283" s="69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69"/>
      <c r="J284" s="69"/>
      <c r="K284" s="69"/>
      <c r="L284" s="69"/>
      <c r="M284" s="69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69"/>
      <c r="J285" s="69"/>
      <c r="K285" s="69"/>
      <c r="L285" s="69"/>
      <c r="M285" s="69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69"/>
      <c r="J286" s="69"/>
      <c r="K286" s="69"/>
      <c r="L286" s="69"/>
      <c r="M286" s="69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69"/>
      <c r="J287" s="69"/>
      <c r="K287" s="69"/>
      <c r="L287" s="69"/>
      <c r="M287" s="69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69"/>
      <c r="J288" s="69"/>
      <c r="K288" s="69"/>
      <c r="L288" s="69"/>
      <c r="M288" s="69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69"/>
      <c r="J289" s="69"/>
      <c r="K289" s="69"/>
      <c r="L289" s="69"/>
      <c r="M289" s="69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69"/>
      <c r="J290" s="69"/>
      <c r="K290" s="69"/>
      <c r="L290" s="69"/>
      <c r="M290" s="69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69"/>
      <c r="J291" s="69"/>
      <c r="K291" s="69"/>
      <c r="L291" s="69"/>
      <c r="M291" s="69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69"/>
      <c r="J292" s="69"/>
      <c r="K292" s="69"/>
      <c r="L292" s="69"/>
      <c r="M292" s="69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69"/>
      <c r="J293" s="69"/>
      <c r="K293" s="69"/>
      <c r="L293" s="69"/>
      <c r="M293" s="69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69"/>
      <c r="J294" s="69"/>
      <c r="K294" s="69"/>
      <c r="L294" s="69"/>
      <c r="M294" s="69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69"/>
      <c r="J295" s="69"/>
      <c r="K295" s="69"/>
      <c r="L295" s="69"/>
      <c r="M295" s="69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69"/>
      <c r="J296" s="69"/>
      <c r="K296" s="69"/>
      <c r="L296" s="69"/>
      <c r="M296" s="69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69"/>
      <c r="J297" s="69"/>
      <c r="K297" s="69"/>
      <c r="L297" s="69"/>
      <c r="M297" s="69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69"/>
      <c r="J298" s="69"/>
      <c r="K298" s="69"/>
      <c r="L298" s="69"/>
      <c r="M298" s="69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69"/>
      <c r="J299" s="69"/>
      <c r="K299" s="69"/>
      <c r="L299" s="69"/>
      <c r="M299" s="69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69"/>
      <c r="J300" s="69"/>
      <c r="K300" s="69"/>
      <c r="L300" s="69"/>
      <c r="M300" s="69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69"/>
      <c r="J301" s="69"/>
      <c r="K301" s="69"/>
      <c r="L301" s="69"/>
      <c r="M301" s="69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69"/>
      <c r="J302" s="69"/>
      <c r="K302" s="69"/>
      <c r="L302" s="69"/>
      <c r="M302" s="69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69"/>
      <c r="J303" s="69"/>
      <c r="K303" s="69"/>
      <c r="L303" s="69"/>
      <c r="M303" s="69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69"/>
      <c r="J304" s="69"/>
      <c r="K304" s="69"/>
      <c r="L304" s="69"/>
      <c r="M304" s="69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69"/>
      <c r="J305" s="69"/>
      <c r="K305" s="69"/>
      <c r="L305" s="69"/>
      <c r="M305" s="69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69"/>
      <c r="J306" s="69"/>
      <c r="K306" s="69"/>
      <c r="L306" s="69"/>
      <c r="M306" s="69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69"/>
      <c r="J307" s="69"/>
      <c r="K307" s="69"/>
      <c r="L307" s="69"/>
      <c r="M307" s="69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69"/>
      <c r="J308" s="69"/>
      <c r="K308" s="69"/>
      <c r="L308" s="69"/>
      <c r="M308" s="69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69"/>
      <c r="J309" s="69"/>
      <c r="K309" s="69"/>
      <c r="L309" s="69"/>
      <c r="M309" s="69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69"/>
      <c r="J310" s="69"/>
      <c r="K310" s="69"/>
      <c r="L310" s="69"/>
      <c r="M310" s="69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69"/>
      <c r="J311" s="69"/>
      <c r="K311" s="69"/>
      <c r="L311" s="69"/>
      <c r="M311" s="69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69"/>
      <c r="J312" s="69"/>
      <c r="K312" s="69"/>
      <c r="L312" s="69"/>
      <c r="M312" s="69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69"/>
      <c r="J313" s="69"/>
      <c r="K313" s="69"/>
      <c r="L313" s="69"/>
      <c r="M313" s="69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69"/>
      <c r="J314" s="69"/>
      <c r="K314" s="69"/>
      <c r="L314" s="69"/>
      <c r="M314" s="69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69"/>
      <c r="J315" s="69"/>
      <c r="K315" s="69"/>
      <c r="L315" s="69"/>
      <c r="M315" s="69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69"/>
      <c r="J316" s="69"/>
      <c r="K316" s="69"/>
      <c r="L316" s="69"/>
      <c r="M316" s="69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69"/>
      <c r="J317" s="69"/>
      <c r="K317" s="69"/>
      <c r="L317" s="69"/>
      <c r="M317" s="69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69"/>
      <c r="J318" s="69"/>
      <c r="K318" s="69"/>
      <c r="L318" s="69"/>
      <c r="M318" s="69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69"/>
      <c r="J319" s="69"/>
      <c r="K319" s="69"/>
      <c r="L319" s="69"/>
      <c r="M319" s="69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69"/>
      <c r="J320" s="69"/>
      <c r="K320" s="69"/>
      <c r="L320" s="69"/>
      <c r="M320" s="69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69"/>
      <c r="J321" s="69"/>
      <c r="K321" s="69"/>
      <c r="L321" s="69"/>
      <c r="M321" s="69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69"/>
      <c r="J322" s="69"/>
      <c r="K322" s="69"/>
      <c r="L322" s="69"/>
      <c r="M322" s="69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69"/>
      <c r="J323" s="69"/>
      <c r="K323" s="69"/>
      <c r="L323" s="69"/>
      <c r="M323" s="69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69"/>
      <c r="J324" s="69"/>
      <c r="K324" s="69"/>
      <c r="L324" s="69"/>
      <c r="M324" s="69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69"/>
      <c r="J325" s="69"/>
      <c r="K325" s="69"/>
      <c r="L325" s="69"/>
      <c r="M325" s="69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69"/>
      <c r="J326" s="69"/>
      <c r="K326" s="69"/>
      <c r="L326" s="69"/>
      <c r="M326" s="69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69"/>
      <c r="J327" s="69"/>
      <c r="K327" s="69"/>
      <c r="L327" s="69"/>
      <c r="M327" s="69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69"/>
      <c r="J328" s="69"/>
      <c r="K328" s="69"/>
      <c r="L328" s="69"/>
      <c r="M328" s="69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69"/>
      <c r="J329" s="69"/>
      <c r="K329" s="69"/>
      <c r="L329" s="69"/>
      <c r="M329" s="69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69"/>
      <c r="J330" s="69"/>
      <c r="K330" s="69"/>
      <c r="L330" s="69"/>
      <c r="M330" s="69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69"/>
      <c r="J331" s="69"/>
      <c r="K331" s="69"/>
      <c r="L331" s="69"/>
      <c r="M331" s="69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69"/>
      <c r="J332" s="69"/>
      <c r="K332" s="69"/>
      <c r="L332" s="69"/>
      <c r="M332" s="69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69"/>
      <c r="J333" s="69"/>
      <c r="K333" s="69"/>
      <c r="L333" s="69"/>
      <c r="M333" s="69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69"/>
      <c r="J334" s="69"/>
      <c r="K334" s="69"/>
      <c r="L334" s="69"/>
      <c r="M334" s="69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69"/>
      <c r="J335" s="69"/>
      <c r="K335" s="69"/>
      <c r="L335" s="69"/>
      <c r="M335" s="69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69"/>
      <c r="J336" s="69"/>
      <c r="K336" s="69"/>
      <c r="L336" s="69"/>
      <c r="M336" s="69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69"/>
      <c r="J337" s="69"/>
      <c r="K337" s="69"/>
      <c r="L337" s="69"/>
      <c r="M337" s="69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69"/>
      <c r="J338" s="69"/>
      <c r="K338" s="69"/>
      <c r="L338" s="69"/>
      <c r="M338" s="69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69"/>
      <c r="J339" s="69"/>
      <c r="K339" s="69"/>
      <c r="L339" s="69"/>
      <c r="M339" s="69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69"/>
      <c r="J340" s="69"/>
      <c r="K340" s="69"/>
      <c r="L340" s="69"/>
      <c r="M340" s="69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69"/>
      <c r="J341" s="69"/>
      <c r="K341" s="69"/>
      <c r="L341" s="69"/>
      <c r="M341" s="69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69"/>
      <c r="J342" s="69"/>
      <c r="K342" s="69"/>
      <c r="L342" s="69"/>
      <c r="M342" s="69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69"/>
      <c r="J343" s="69"/>
      <c r="K343" s="69"/>
      <c r="L343" s="69"/>
      <c r="M343" s="69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69"/>
      <c r="J344" s="69"/>
      <c r="K344" s="69"/>
      <c r="L344" s="69"/>
      <c r="M344" s="69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69"/>
      <c r="J345" s="69"/>
      <c r="K345" s="69"/>
      <c r="L345" s="69"/>
      <c r="M345" s="69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69"/>
      <c r="J346" s="69"/>
      <c r="K346" s="69"/>
      <c r="L346" s="69"/>
      <c r="M346" s="69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69"/>
      <c r="J347" s="69"/>
      <c r="K347" s="69"/>
      <c r="L347" s="69"/>
      <c r="M347" s="69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69"/>
      <c r="J348" s="69"/>
      <c r="K348" s="69"/>
      <c r="L348" s="69"/>
      <c r="M348" s="69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69"/>
      <c r="J349" s="69"/>
      <c r="K349" s="69"/>
      <c r="L349" s="69"/>
      <c r="M349" s="69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69"/>
      <c r="J350" s="69"/>
      <c r="K350" s="69"/>
      <c r="L350" s="69"/>
      <c r="M350" s="69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69"/>
      <c r="J351" s="69"/>
      <c r="K351" s="69"/>
      <c r="L351" s="69"/>
      <c r="M351" s="69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69"/>
      <c r="J352" s="69"/>
      <c r="K352" s="69"/>
      <c r="L352" s="69"/>
      <c r="M352" s="69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69"/>
      <c r="J353" s="69"/>
      <c r="K353" s="69"/>
      <c r="L353" s="69"/>
      <c r="M353" s="69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69"/>
      <c r="J354" s="69"/>
      <c r="K354" s="69"/>
      <c r="L354" s="69"/>
      <c r="M354" s="69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69"/>
      <c r="J355" s="69"/>
      <c r="K355" s="69"/>
      <c r="L355" s="69"/>
      <c r="M355" s="69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69"/>
      <c r="J356" s="69"/>
      <c r="K356" s="69"/>
      <c r="L356" s="69"/>
      <c r="M356" s="69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abSelected="1" zoomScale="80" zoomScaleNormal="80" workbookViewId="0">
      <selection activeCell="I20" sqref="I20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69"/>
      <c r="G1" s="69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6" t="s">
        <v>272</v>
      </c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307"/>
      <c r="P2" s="308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0" customFormat="1" x14ac:dyDescent="0.25">
      <c r="A3" s="97"/>
      <c r="B3" s="97"/>
      <c r="C3" s="97"/>
      <c r="D3" s="97"/>
      <c r="E3" s="97"/>
      <c r="F3" s="178"/>
      <c r="G3" s="178"/>
      <c r="H3" s="179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</row>
    <row r="4" spans="1:42" s="200" customFormat="1" x14ac:dyDescent="0.25">
      <c r="A4" s="97"/>
      <c r="B4" s="97"/>
      <c r="C4" s="97"/>
      <c r="D4" s="97"/>
      <c r="E4" s="97"/>
      <c r="G4" s="178"/>
      <c r="H4" s="324" t="s">
        <v>315</v>
      </c>
      <c r="I4" s="324"/>
      <c r="K4" s="321" t="s">
        <v>253</v>
      </c>
      <c r="L4" s="322"/>
      <c r="M4" s="266">
        <v>4.4999999999999998E-2</v>
      </c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</row>
    <row r="5" spans="1:42" s="200" customFormat="1" x14ac:dyDescent="0.25">
      <c r="A5" s="97"/>
      <c r="B5" s="97"/>
      <c r="C5" s="97"/>
      <c r="D5" s="97"/>
      <c r="E5" s="97"/>
      <c r="G5" s="178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</row>
    <row r="6" spans="1:42" s="200" customFormat="1" ht="15.75" thickBot="1" x14ac:dyDescent="0.3">
      <c r="A6" s="97"/>
      <c r="B6" s="97"/>
      <c r="C6" s="97"/>
      <c r="D6" s="97"/>
      <c r="E6" s="97"/>
      <c r="F6" s="227"/>
      <c r="G6" s="178"/>
      <c r="H6" s="180"/>
      <c r="I6" s="180"/>
      <c r="J6" s="180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</row>
    <row r="7" spans="1:42" s="200" customFormat="1" ht="27.75" customHeight="1" thickBot="1" x14ac:dyDescent="0.45">
      <c r="A7" s="273"/>
      <c r="B7" s="274"/>
      <c r="C7" s="274"/>
      <c r="D7" s="274"/>
      <c r="E7" s="275"/>
      <c r="F7" s="275" t="s">
        <v>192</v>
      </c>
      <c r="G7" s="276"/>
      <c r="H7" s="274"/>
      <c r="I7" s="274"/>
      <c r="J7" s="277"/>
      <c r="K7" s="271"/>
      <c r="L7" s="272"/>
      <c r="M7" s="272"/>
      <c r="N7" s="278" t="s">
        <v>191</v>
      </c>
      <c r="O7" s="278"/>
      <c r="P7" s="279"/>
      <c r="Q7" s="280"/>
      <c r="R7" s="332" t="s">
        <v>310</v>
      </c>
      <c r="S7" s="333"/>
      <c r="T7" s="333"/>
      <c r="U7" s="333"/>
      <c r="V7" s="334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</row>
    <row r="8" spans="1:42" x14ac:dyDescent="0.25">
      <c r="A8" s="25"/>
      <c r="C8" s="25"/>
      <c r="D8" s="25"/>
      <c r="E8" s="25"/>
      <c r="F8" s="219"/>
      <c r="G8" s="219"/>
      <c r="H8" s="5"/>
      <c r="I8" s="5"/>
      <c r="J8" s="212"/>
      <c r="K8" s="223"/>
      <c r="L8" s="25"/>
      <c r="M8" s="25"/>
      <c r="N8" s="25"/>
      <c r="O8" s="25"/>
      <c r="P8" s="25"/>
      <c r="Q8" s="263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58" t="s">
        <v>311</v>
      </c>
      <c r="C9" s="25"/>
      <c r="D9" s="25"/>
      <c r="E9" s="25"/>
      <c r="F9" s="259"/>
      <c r="G9" s="258" t="s">
        <v>314</v>
      </c>
      <c r="J9" s="212"/>
      <c r="K9" s="223"/>
      <c r="O9" s="25"/>
      <c r="P9" s="25"/>
      <c r="Q9" s="263"/>
      <c r="R9" s="25"/>
      <c r="S9" s="5"/>
      <c r="T9" s="183" t="s">
        <v>262</v>
      </c>
      <c r="U9" s="186" t="s">
        <v>249</v>
      </c>
      <c r="V9" s="183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58" t="s">
        <v>317</v>
      </c>
      <c r="C10" s="25"/>
      <c r="D10" s="25"/>
      <c r="E10" s="25"/>
      <c r="F10" s="259"/>
      <c r="G10" s="258" t="s">
        <v>316</v>
      </c>
      <c r="J10" s="212"/>
      <c r="K10" s="223"/>
      <c r="O10" s="25"/>
      <c r="P10" s="25"/>
      <c r="Q10" s="263"/>
      <c r="R10" s="25"/>
      <c r="S10" s="183" t="str">
        <f>B14</f>
        <v>Chêne sessile</v>
      </c>
      <c r="T10" s="18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858.81620207483456</v>
      </c>
      <c r="U10" s="188">
        <f>'Données projet'!D9</f>
        <v>1.8202310000000002</v>
      </c>
      <c r="V10" s="187">
        <f>U10*T10</f>
        <v>1563.2438743188784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58" t="s">
        <v>312</v>
      </c>
      <c r="B11" s="25"/>
      <c r="C11" s="25"/>
      <c r="D11" s="25"/>
      <c r="E11" s="25"/>
      <c r="F11" s="259"/>
      <c r="G11" s="258" t="s">
        <v>313</v>
      </c>
      <c r="J11" s="212"/>
      <c r="K11" s="223"/>
      <c r="M11" s="5"/>
      <c r="N11" s="5"/>
      <c r="O11" s="25"/>
      <c r="P11" s="25"/>
      <c r="Q11" s="263"/>
      <c r="R11" s="25"/>
      <c r="S11" s="183" t="str">
        <f>B45</f>
        <v>Erable plane</v>
      </c>
      <c r="T11" s="270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2094.3643226198092</v>
      </c>
      <c r="U11" s="188">
        <f>'Données projet'!D10</f>
        <v>1.0509430000000002</v>
      </c>
      <c r="V11" s="187">
        <f t="shared" ref="V11" si="0">U11*T11</f>
        <v>2201.0575243070307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59"/>
      <c r="G12" s="1"/>
      <c r="J12" s="212"/>
      <c r="K12" s="223"/>
      <c r="L12" s="215"/>
      <c r="M12" s="25"/>
      <c r="N12" s="25"/>
      <c r="O12" s="25"/>
      <c r="P12" s="25"/>
      <c r="Q12" s="263"/>
      <c r="R12" s="25"/>
      <c r="S12" s="183" t="str">
        <f>B76</f>
        <v>Erable champêtre</v>
      </c>
      <c r="T12" s="270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1347.344278972181</v>
      </c>
      <c r="U12" s="188">
        <f>'Données projet'!D11</f>
        <v>0.13883600000000001</v>
      </c>
      <c r="V12" s="187">
        <f t="shared" ref="V12:V19" si="1">U12*T12</f>
        <v>187.05989031538175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59"/>
      <c r="J13" s="25"/>
      <c r="K13" s="223"/>
      <c r="L13" s="182" t="s">
        <v>257</v>
      </c>
      <c r="M13" s="25"/>
      <c r="N13" s="25"/>
      <c r="O13" s="25"/>
      <c r="P13" s="25"/>
      <c r="Q13" s="263"/>
      <c r="R13" s="25"/>
      <c r="S13" s="183" t="str">
        <f>B107</f>
        <v>Charme</v>
      </c>
      <c r="T13" s="270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509.58934385645489</v>
      </c>
      <c r="U13" s="188">
        <f>'Données projet'!D12</f>
        <v>0.56900000000000006</v>
      </c>
      <c r="V13" s="187">
        <f t="shared" si="1"/>
        <v>289.95633665432285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4" t="str">
        <f>IF('Données projet'!$B$9="","",'Données projet'!$B$9)</f>
        <v>Chêne sessile</v>
      </c>
      <c r="C14" s="5"/>
      <c r="D14" s="5"/>
      <c r="E14" s="5"/>
      <c r="F14" s="259"/>
      <c r="G14" s="219"/>
      <c r="H14" s="183" t="s">
        <v>178</v>
      </c>
      <c r="I14" s="183" t="s">
        <v>290</v>
      </c>
      <c r="J14" s="213"/>
      <c r="K14" s="181"/>
      <c r="L14" s="215"/>
      <c r="M14" s="25"/>
      <c r="N14" s="25"/>
      <c r="O14" s="5"/>
      <c r="P14" s="5"/>
      <c r="Q14" s="264"/>
      <c r="R14" s="5"/>
      <c r="S14" s="183" t="str">
        <f>B138</f>
        <v>Châtaignier</v>
      </c>
      <c r="T14" s="270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2094.3643226198092</v>
      </c>
      <c r="U14" s="188">
        <f>'Données projet'!D13</f>
        <v>0.43642300000000006</v>
      </c>
      <c r="V14" s="187">
        <f t="shared" si="1"/>
        <v>914.02876077070516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59"/>
      <c r="G15" s="325" t="s">
        <v>318</v>
      </c>
      <c r="H15" s="201">
        <v>0</v>
      </c>
      <c r="I15" s="202">
        <v>0</v>
      </c>
      <c r="J15" s="214"/>
      <c r="K15" s="223"/>
      <c r="L15" s="215"/>
      <c r="M15" s="25"/>
      <c r="N15" s="25"/>
      <c r="O15" s="25"/>
      <c r="P15" s="25"/>
      <c r="Q15" s="263"/>
      <c r="R15" s="25"/>
      <c r="S15" s="183" t="str">
        <f>B169</f>
        <v>Merisier</v>
      </c>
      <c r="T15" s="270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2391.8740279249419</v>
      </c>
      <c r="U15" s="188">
        <f>'Données projet'!D14</f>
        <v>0.349935</v>
      </c>
      <c r="V15" s="187">
        <f t="shared" si="1"/>
        <v>837.00043796191449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5" t="s">
        <v>180</v>
      </c>
      <c r="B16" s="51" t="s">
        <v>256</v>
      </c>
      <c r="C16" s="51" t="s">
        <v>255</v>
      </c>
      <c r="D16" s="255" t="s">
        <v>252</v>
      </c>
      <c r="E16" s="255" t="s">
        <v>320</v>
      </c>
      <c r="F16" s="259"/>
      <c r="G16" s="325"/>
      <c r="H16" s="201"/>
      <c r="I16" s="202"/>
      <c r="J16" s="214"/>
      <c r="K16" s="223"/>
      <c r="L16" s="321" t="s">
        <v>254</v>
      </c>
      <c r="M16" s="322"/>
      <c r="N16" s="2"/>
      <c r="O16" s="25"/>
      <c r="P16" s="25"/>
      <c r="Q16" s="263"/>
      <c r="R16" s="25"/>
      <c r="S16" s="183" t="str">
        <f>B200</f>
        <v>Hêtre</v>
      </c>
      <c r="T16" s="270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1225.1437350061908</v>
      </c>
      <c r="U16" s="188">
        <f>'Données projet'!D15</f>
        <v>0.41252499999999998</v>
      </c>
      <c r="V16" s="187">
        <f t="shared" si="1"/>
        <v>505.40241928342886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08">
        <v>0</v>
      </c>
      <c r="B17" s="211" t="s">
        <v>132</v>
      </c>
      <c r="C17" s="210" t="s">
        <v>132</v>
      </c>
      <c r="D17" s="209" t="s">
        <v>132</v>
      </c>
      <c r="E17" s="204"/>
      <c r="F17" s="259"/>
      <c r="G17" s="325"/>
      <c r="J17" s="214"/>
      <c r="K17" s="223"/>
      <c r="L17" s="292" t="s">
        <v>289</v>
      </c>
      <c r="M17" s="294"/>
      <c r="N17" s="185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3"/>
      <c r="R17" s="25"/>
      <c r="S17" s="183" t="str">
        <f>B231</f>
        <v>Alisier torminal</v>
      </c>
      <c r="T17" s="270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858.81620207483456</v>
      </c>
      <c r="U17" s="188">
        <f>'Données projet'!D16</f>
        <v>0.28450000000000003</v>
      </c>
      <c r="V17" s="187">
        <f t="shared" si="1"/>
        <v>244.33320949029047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08">
        <v>1</v>
      </c>
      <c r="B18" s="211" t="s">
        <v>132</v>
      </c>
      <c r="C18" s="210" t="s">
        <v>132</v>
      </c>
      <c r="D18" s="209" t="s">
        <v>132</v>
      </c>
      <c r="E18" s="204"/>
      <c r="F18" s="259"/>
      <c r="G18" s="325"/>
      <c r="J18" s="214"/>
      <c r="K18" s="223"/>
      <c r="L18" s="292" t="s">
        <v>255</v>
      </c>
      <c r="M18" s="294"/>
      <c r="N18" s="203"/>
      <c r="O18" s="25"/>
      <c r="P18" s="25"/>
      <c r="Q18" s="263"/>
      <c r="R18" s="25"/>
      <c r="S18" s="183" t="str">
        <f>B262</f>
        <v>Tilleul</v>
      </c>
      <c r="T18" s="270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721.52809522880659</v>
      </c>
      <c r="U18" s="188">
        <f>'Données projet'!D17</f>
        <v>0.28450000000000003</v>
      </c>
      <c r="V18" s="187">
        <f t="shared" si="1"/>
        <v>205.27474309259549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08">
        <v>2</v>
      </c>
      <c r="B19" s="211" t="s">
        <v>132</v>
      </c>
      <c r="C19" s="210" t="s">
        <v>132</v>
      </c>
      <c r="D19" s="209" t="s">
        <v>132</v>
      </c>
      <c r="E19" s="204"/>
      <c r="F19" s="259"/>
      <c r="G19" s="325"/>
      <c r="H19" s="230" t="s">
        <v>178</v>
      </c>
      <c r="I19" s="230" t="s">
        <v>287</v>
      </c>
      <c r="J19" s="258"/>
      <c r="K19" s="181"/>
      <c r="L19" s="321" t="s">
        <v>288</v>
      </c>
      <c r="M19" s="322"/>
      <c r="N19" s="189">
        <f>N17*N18</f>
        <v>0</v>
      </c>
      <c r="O19" s="25"/>
      <c r="P19" s="5"/>
      <c r="Q19" s="264"/>
      <c r="R19" s="5"/>
      <c r="S19" s="183" t="str">
        <f>B293</f>
        <v>Bouleau verruqueux</v>
      </c>
      <c r="T19" s="270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1192.7133000494639</v>
      </c>
      <c r="U19" s="188">
        <f>'Données projet'!D18</f>
        <v>0.22646200000000002</v>
      </c>
      <c r="V19" s="187">
        <f t="shared" si="1"/>
        <v>270.10423935580172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08">
        <v>3</v>
      </c>
      <c r="B20" s="211" t="s">
        <v>132</v>
      </c>
      <c r="C20" s="210" t="s">
        <v>132</v>
      </c>
      <c r="D20" s="209" t="s">
        <v>132</v>
      </c>
      <c r="E20" s="204"/>
      <c r="F20" s="259"/>
      <c r="G20" s="325"/>
      <c r="H20" s="201">
        <v>0</v>
      </c>
      <c r="I20" s="202">
        <v>8017</v>
      </c>
      <c r="J20" s="5"/>
      <c r="K20" s="181"/>
      <c r="O20" s="25"/>
      <c r="P20" s="5"/>
      <c r="Q20" s="264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08">
        <v>4</v>
      </c>
      <c r="B21" s="211" t="s">
        <v>132</v>
      </c>
      <c r="C21" s="210" t="s">
        <v>132</v>
      </c>
      <c r="D21" s="209" t="s">
        <v>132</v>
      </c>
      <c r="E21" s="204"/>
      <c r="F21" s="259"/>
      <c r="H21" s="201"/>
      <c r="I21" s="202"/>
      <c r="K21" s="181"/>
      <c r="O21" s="25"/>
      <c r="P21" s="5"/>
      <c r="Q21" s="264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08">
        <v>5</v>
      </c>
      <c r="B22" s="211" t="s">
        <v>132</v>
      </c>
      <c r="C22" s="210" t="s">
        <v>132</v>
      </c>
      <c r="D22" s="209" t="s">
        <v>132</v>
      </c>
      <c r="E22" s="204"/>
      <c r="F22" s="259"/>
      <c r="H22" s="201"/>
      <c r="I22" s="202"/>
      <c r="K22" s="181"/>
      <c r="O22" s="25"/>
      <c r="P22" s="5"/>
      <c r="Q22" s="264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0">
        <f>'Données projet'!A36</f>
        <v>20</v>
      </c>
      <c r="B23" s="191">
        <f>'Données projet'!D36</f>
        <v>0</v>
      </c>
      <c r="C23" s="204"/>
      <c r="D23" s="192">
        <f>B23*C23</f>
        <v>0</v>
      </c>
      <c r="E23" s="204"/>
      <c r="F23" s="259"/>
      <c r="H23" s="201"/>
      <c r="I23" s="202"/>
      <c r="K23" s="223"/>
      <c r="L23" s="323" t="s">
        <v>260</v>
      </c>
      <c r="M23" s="323"/>
      <c r="N23" s="323"/>
      <c r="O23" s="25"/>
      <c r="P23" s="25"/>
      <c r="Q23" s="263"/>
      <c r="R23" s="25"/>
      <c r="S23" s="183" t="s">
        <v>264</v>
      </c>
      <c r="T23" s="33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-38399.268564449652</v>
      </c>
      <c r="U23" s="337"/>
      <c r="V23" s="337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0">
        <f>'Données projet'!A37</f>
        <v>25</v>
      </c>
      <c r="B24" s="191">
        <f>'Données projet'!D37</f>
        <v>34</v>
      </c>
      <c r="C24" s="204">
        <v>10</v>
      </c>
      <c r="D24" s="192">
        <f t="shared" ref="D24:D42" si="2">B24*C24</f>
        <v>340</v>
      </c>
      <c r="E24" s="204"/>
      <c r="F24" s="262"/>
      <c r="H24" s="201"/>
      <c r="I24" s="202"/>
      <c r="K24" s="223"/>
      <c r="O24" s="25"/>
      <c r="P24" s="25"/>
      <c r="Q24" s="263"/>
      <c r="R24" s="25"/>
      <c r="S24" s="183" t="s">
        <v>261</v>
      </c>
      <c r="T24" s="338">
        <f ca="1">'Scénario référence'!$B$8*$M$30*'Données projet'!$C$5+('Scénario référence'!B9+'Scénario référence'!B10+'Scénario référence'!F8+'Scénario référence'!F9)*$N$19/(1+M4)^N16*'Données projet'!$C$5</f>
        <v>32011.289803321724</v>
      </c>
      <c r="U24" s="338"/>
      <c r="V24" s="338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0">
        <f>'Données projet'!A38</f>
        <v>30</v>
      </c>
      <c r="B25" s="191">
        <f>'Données projet'!D38</f>
        <v>0</v>
      </c>
      <c r="C25" s="204"/>
      <c r="D25" s="192">
        <f t="shared" si="2"/>
        <v>0</v>
      </c>
      <c r="E25" s="204"/>
      <c r="F25" s="262"/>
      <c r="G25" s="1"/>
      <c r="H25" s="201"/>
      <c r="I25" s="202"/>
      <c r="K25" s="223"/>
      <c r="L25" s="269" t="s">
        <v>285</v>
      </c>
      <c r="M25" s="269"/>
      <c r="N25" s="269"/>
      <c r="O25" s="269"/>
      <c r="P25" s="203">
        <v>260</v>
      </c>
      <c r="Q25" s="263"/>
      <c r="R25" s="25"/>
      <c r="S25" s="196" t="s">
        <v>266</v>
      </c>
      <c r="T25" s="339">
        <f ca="1">T23-T24</f>
        <v>-70410.558367771373</v>
      </c>
      <c r="U25" s="339"/>
      <c r="V25" s="339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0">
        <f>'Données projet'!A39</f>
        <v>35</v>
      </c>
      <c r="B26" s="191">
        <f>'Données projet'!D39</f>
        <v>56</v>
      </c>
      <c r="C26" s="204">
        <v>10</v>
      </c>
      <c r="D26" s="192">
        <f t="shared" si="2"/>
        <v>560</v>
      </c>
      <c r="E26" s="204"/>
      <c r="F26" s="262"/>
      <c r="G26" s="257"/>
      <c r="H26" s="201"/>
      <c r="I26" s="202"/>
      <c r="K26" s="223"/>
      <c r="L26" s="326" t="s">
        <v>258</v>
      </c>
      <c r="M26" s="327"/>
      <c r="N26" s="327"/>
      <c r="O26" s="327"/>
      <c r="P26" s="328"/>
      <c r="Q26" s="263"/>
      <c r="R26" s="25"/>
      <c r="S26" s="196" t="s">
        <v>265</v>
      </c>
      <c r="T26" s="336" t="str">
        <f ca="1">IF(T25&lt;0,"Votre projet est additionnel","Votre projet n'est pas additionnel")</f>
        <v>Votre projet est additionnel</v>
      </c>
      <c r="U26" s="336"/>
      <c r="V26" s="336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0">
        <f>'Données projet'!A40</f>
        <v>40</v>
      </c>
      <c r="B27" s="191">
        <f>'Données projet'!D40</f>
        <v>0</v>
      </c>
      <c r="C27" s="204"/>
      <c r="D27" s="192">
        <f t="shared" si="2"/>
        <v>0</v>
      </c>
      <c r="E27" s="204"/>
      <c r="F27" s="262"/>
      <c r="G27" s="257"/>
      <c r="H27" s="201"/>
      <c r="I27" s="202"/>
      <c r="K27" s="223"/>
      <c r="L27" s="329"/>
      <c r="M27" s="330"/>
      <c r="N27" s="330"/>
      <c r="O27" s="330"/>
      <c r="P27" s="331"/>
      <c r="Q27" s="263"/>
      <c r="R27" s="25"/>
      <c r="S27" s="335" t="s">
        <v>267</v>
      </c>
      <c r="T27" s="335"/>
      <c r="U27" s="335"/>
      <c r="V27" s="33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0">
        <f>'Données projet'!A41</f>
        <v>45</v>
      </c>
      <c r="B28" s="191">
        <f>'Données projet'!D41</f>
        <v>56</v>
      </c>
      <c r="C28" s="204">
        <v>10</v>
      </c>
      <c r="D28" s="192">
        <f t="shared" si="2"/>
        <v>560</v>
      </c>
      <c r="E28" s="204"/>
      <c r="F28" s="262"/>
      <c r="G28" s="220"/>
      <c r="H28" s="201"/>
      <c r="I28" s="202"/>
      <c r="K28" s="223"/>
      <c r="Q28" s="263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0">
        <f>'Données projet'!A42</f>
        <v>50</v>
      </c>
      <c r="B29" s="191">
        <f>'Données projet'!D42</f>
        <v>0</v>
      </c>
      <c r="C29" s="204"/>
      <c r="D29" s="192">
        <f t="shared" si="2"/>
        <v>0</v>
      </c>
      <c r="E29" s="204"/>
      <c r="F29" s="262"/>
      <c r="G29" s="216"/>
      <c r="H29" s="201"/>
      <c r="I29" s="202"/>
      <c r="K29" s="223"/>
      <c r="O29" s="25"/>
      <c r="P29" s="25"/>
      <c r="Q29" s="263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0">
        <f>'Données projet'!A43</f>
        <v>55</v>
      </c>
      <c r="B30" s="191">
        <f>'Données projet'!D43</f>
        <v>56</v>
      </c>
      <c r="C30" s="204">
        <v>20</v>
      </c>
      <c r="D30" s="192">
        <f t="shared" si="2"/>
        <v>1120</v>
      </c>
      <c r="E30" s="204"/>
      <c r="F30" s="262"/>
      <c r="G30" s="216"/>
      <c r="H30" s="201"/>
      <c r="I30" s="202"/>
      <c r="K30" s="193"/>
      <c r="L30" s="183" t="s">
        <v>259</v>
      </c>
      <c r="M30" s="194">
        <f ca="1">SUM(OFFSET($P$33,0,0,MIN('Données projet'!$E$9:$E$18)+1,1))</f>
        <v>5625.8857299335186</v>
      </c>
      <c r="O30" s="5"/>
      <c r="P30" s="5"/>
      <c r="Q30" s="264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0">
        <f>'Données projet'!A44</f>
        <v>60</v>
      </c>
      <c r="B31" s="191">
        <f>'Données projet'!D44</f>
        <v>0</v>
      </c>
      <c r="C31" s="204"/>
      <c r="D31" s="192">
        <f t="shared" si="2"/>
        <v>0</v>
      </c>
      <c r="E31" s="204"/>
      <c r="F31" s="262"/>
      <c r="G31" s="216"/>
      <c r="H31" s="201"/>
      <c r="I31" s="202"/>
      <c r="K31" s="181"/>
      <c r="Q31" s="263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0">
        <f>'Données projet'!A45</f>
        <v>65</v>
      </c>
      <c r="B32" s="191">
        <f>'Données projet'!D45</f>
        <v>56</v>
      </c>
      <c r="C32" s="204">
        <v>30</v>
      </c>
      <c r="D32" s="192">
        <f t="shared" si="2"/>
        <v>1680</v>
      </c>
      <c r="E32" s="204"/>
      <c r="F32" s="262"/>
      <c r="G32" s="216"/>
      <c r="H32" s="201"/>
      <c r="I32" s="202"/>
      <c r="K32" s="181"/>
      <c r="N32" s="5"/>
      <c r="O32" s="268" t="s">
        <v>178</v>
      </c>
      <c r="P32" s="268" t="s">
        <v>252</v>
      </c>
      <c r="Q32" s="263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0">
        <f>'Données projet'!A46</f>
        <v>70</v>
      </c>
      <c r="B33" s="191">
        <f>'Données projet'!D46</f>
        <v>0</v>
      </c>
      <c r="C33" s="204"/>
      <c r="D33" s="192">
        <f t="shared" si="2"/>
        <v>0</v>
      </c>
      <c r="E33" s="204"/>
      <c r="F33" s="262"/>
      <c r="G33" s="216"/>
      <c r="H33" s="201"/>
      <c r="I33" s="202"/>
      <c r="K33" s="181"/>
      <c r="L33" s="5"/>
      <c r="M33" s="5"/>
      <c r="N33" s="5"/>
      <c r="O33" s="205">
        <v>0</v>
      </c>
      <c r="P33" s="195">
        <f t="shared" ref="P33:P64" si="3">$P$25/(1+$M$4)^O33</f>
        <v>260</v>
      </c>
      <c r="Q33" s="263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0">
        <f>'Données projet'!A47</f>
        <v>75</v>
      </c>
      <c r="B34" s="191">
        <f>'Données projet'!D47</f>
        <v>56</v>
      </c>
      <c r="C34" s="204">
        <v>40</v>
      </c>
      <c r="D34" s="192">
        <f t="shared" si="2"/>
        <v>2240</v>
      </c>
      <c r="E34" s="204"/>
      <c r="F34" s="262"/>
      <c r="G34" s="216"/>
      <c r="H34" s="201"/>
      <c r="I34" s="202"/>
      <c r="K34" s="181"/>
      <c r="L34" s="282"/>
      <c r="M34" s="282"/>
      <c r="N34" s="283"/>
      <c r="O34" s="205">
        <f>IF(O33+1&lt;=MIN('Données projet'!$E$9:$E$18),O33+1,"STOP")</f>
        <v>1</v>
      </c>
      <c r="P34" s="195">
        <f t="shared" si="3"/>
        <v>248.8038277511962</v>
      </c>
      <c r="Q34" s="263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0">
        <f>'Données projet'!A48</f>
        <v>80</v>
      </c>
      <c r="B35" s="191">
        <f>'Données projet'!D48</f>
        <v>0</v>
      </c>
      <c r="C35" s="204"/>
      <c r="D35" s="192">
        <f t="shared" si="2"/>
        <v>0</v>
      </c>
      <c r="E35" s="204"/>
      <c r="F35" s="262"/>
      <c r="G35" s="216"/>
      <c r="H35" s="201"/>
      <c r="I35" s="202"/>
      <c r="K35" s="181"/>
      <c r="L35" s="282"/>
      <c r="M35" s="282"/>
      <c r="N35" s="283"/>
      <c r="O35" s="205">
        <f>IF(O34+1&lt;=MIN('Données projet'!$E$9:$E$18),O34+1,"STOP")</f>
        <v>2</v>
      </c>
      <c r="P35" s="195">
        <f t="shared" si="3"/>
        <v>238.08978732171886</v>
      </c>
      <c r="Q35" s="263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0">
        <f>'Données projet'!A49</f>
        <v>90</v>
      </c>
      <c r="B36" s="191">
        <f>'Données projet'!D49</f>
        <v>84</v>
      </c>
      <c r="C36" s="204">
        <v>50</v>
      </c>
      <c r="D36" s="192">
        <f t="shared" si="2"/>
        <v>4200</v>
      </c>
      <c r="E36" s="204"/>
      <c r="F36" s="262"/>
      <c r="G36" s="216"/>
      <c r="H36" s="201"/>
      <c r="I36" s="202"/>
      <c r="K36" s="181"/>
      <c r="L36" s="25"/>
      <c r="M36" s="25"/>
      <c r="N36" s="25"/>
      <c r="O36" s="205">
        <f>IF(O35+1&lt;=MIN('Données projet'!$E$9:$E$18),O35+1,"STOP")</f>
        <v>3</v>
      </c>
      <c r="P36" s="195">
        <f t="shared" si="3"/>
        <v>227.83711705427643</v>
      </c>
      <c r="Q36" s="263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0">
        <f>'Données projet'!A50</f>
        <v>100</v>
      </c>
      <c r="B37" s="191">
        <f>'Données projet'!D50</f>
        <v>0</v>
      </c>
      <c r="C37" s="204"/>
      <c r="D37" s="192">
        <f t="shared" si="2"/>
        <v>0</v>
      </c>
      <c r="E37" s="204"/>
      <c r="F37" s="262"/>
      <c r="G37" s="216"/>
      <c r="H37" s="201"/>
      <c r="I37" s="202"/>
      <c r="K37" s="181"/>
      <c r="L37" s="25"/>
      <c r="M37" s="25"/>
      <c r="N37" s="25"/>
      <c r="O37" s="205">
        <f>IF(O36+1&lt;=MIN('Données projet'!$E$9:$E$18),O36+1,"STOP")</f>
        <v>4</v>
      </c>
      <c r="P37" s="195">
        <f t="shared" si="3"/>
        <v>218.02594933423586</v>
      </c>
      <c r="Q37" s="263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0">
        <f>'Données projet'!A51</f>
        <v>110</v>
      </c>
      <c r="B38" s="191">
        <f>'Données projet'!D51</f>
        <v>106</v>
      </c>
      <c r="C38" s="204">
        <v>70</v>
      </c>
      <c r="D38" s="192">
        <f t="shared" si="2"/>
        <v>7420</v>
      </c>
      <c r="E38" s="204"/>
      <c r="F38" s="262"/>
      <c r="G38" s="216"/>
      <c r="H38" s="201"/>
      <c r="I38" s="202"/>
      <c r="K38" s="181"/>
      <c r="L38" s="25"/>
      <c r="M38" s="25"/>
      <c r="N38" s="25"/>
      <c r="O38" s="205">
        <f>IF(O37+1&lt;=MIN('Données projet'!$E$9:$E$18),O37+1,"STOP")</f>
        <v>5</v>
      </c>
      <c r="P38" s="195">
        <f t="shared" si="3"/>
        <v>208.63727209017787</v>
      </c>
      <c r="Q38" s="263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0">
        <f>'Données projet'!A52</f>
        <v>120</v>
      </c>
      <c r="B39" s="191">
        <f>'Données projet'!D52</f>
        <v>0</v>
      </c>
      <c r="C39" s="204"/>
      <c r="D39" s="192">
        <f t="shared" si="2"/>
        <v>0</v>
      </c>
      <c r="E39" s="204"/>
      <c r="F39" s="262"/>
      <c r="G39" s="216"/>
      <c r="H39" s="201"/>
      <c r="I39" s="202"/>
      <c r="K39" s="223"/>
      <c r="L39" s="25"/>
      <c r="M39" s="25"/>
      <c r="N39" s="25"/>
      <c r="O39" s="205">
        <f>IF(O38+1&lt;=MIN('Données projet'!$E$9:$E$18),O38+1,"STOP")</f>
        <v>6</v>
      </c>
      <c r="P39" s="195">
        <f t="shared" si="3"/>
        <v>199.65289195232336</v>
      </c>
      <c r="Q39" s="263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0">
        <f>'Données projet'!A53</f>
        <v>130</v>
      </c>
      <c r="B40" s="191">
        <f>'Données projet'!D53</f>
        <v>91</v>
      </c>
      <c r="C40" s="204">
        <v>100</v>
      </c>
      <c r="D40" s="192">
        <f t="shared" si="2"/>
        <v>9100</v>
      </c>
      <c r="E40" s="204"/>
      <c r="F40" s="262"/>
      <c r="G40" s="216"/>
      <c r="H40" s="201"/>
      <c r="I40" s="202"/>
      <c r="K40" s="223"/>
      <c r="L40" s="25"/>
      <c r="M40" s="25"/>
      <c r="N40" s="25"/>
      <c r="O40" s="205">
        <f>IF(O39+1&lt;=MIN('Données projet'!$E$9:$E$18),O39+1,"STOP")</f>
        <v>7</v>
      </c>
      <c r="P40" s="195">
        <f t="shared" si="3"/>
        <v>191.0553989974386</v>
      </c>
      <c r="Q40" s="263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0">
        <f>'Données projet'!A54</f>
        <v>140</v>
      </c>
      <c r="B41" s="191">
        <f>'Données projet'!D54</f>
        <v>0</v>
      </c>
      <c r="C41" s="204"/>
      <c r="D41" s="192">
        <f t="shared" si="2"/>
        <v>0</v>
      </c>
      <c r="E41" s="204"/>
      <c r="F41" s="262"/>
      <c r="G41" s="216"/>
      <c r="H41" s="201"/>
      <c r="I41" s="202"/>
      <c r="K41" s="223"/>
      <c r="L41" s="25"/>
      <c r="M41" s="25"/>
      <c r="N41" s="25"/>
      <c r="O41" s="205">
        <f>IF(O40+1&lt;=MIN('Données projet'!$E$9:$E$18),O40+1,"STOP")</f>
        <v>8</v>
      </c>
      <c r="P41" s="195">
        <f t="shared" si="3"/>
        <v>182.82813301190305</v>
      </c>
      <c r="Q41" s="263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0">
        <f>'Données projet'!A55</f>
        <v>150</v>
      </c>
      <c r="B42" s="191">
        <f>'Données projet'!D55</f>
        <v>376</v>
      </c>
      <c r="C42" s="204">
        <v>200</v>
      </c>
      <c r="D42" s="192">
        <f t="shared" si="2"/>
        <v>75200</v>
      </c>
      <c r="E42" s="204"/>
      <c r="F42" s="262"/>
      <c r="G42" s="216"/>
      <c r="H42" s="201"/>
      <c r="I42" s="202"/>
      <c r="K42" s="223"/>
      <c r="L42" s="25"/>
      <c r="M42" s="25"/>
      <c r="N42" s="25"/>
      <c r="O42" s="205">
        <f>IF(O41+1&lt;=MIN('Données projet'!$E$9:$E$18),O41+1,"STOP")</f>
        <v>9</v>
      </c>
      <c r="P42" s="195">
        <f t="shared" si="3"/>
        <v>174.95515120756272</v>
      </c>
      <c r="Q42" s="263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7"/>
      <c r="B43" s="197"/>
      <c r="C43" s="197"/>
      <c r="D43" s="254"/>
      <c r="E43" s="254"/>
      <c r="F43" s="267"/>
      <c r="G43" s="216"/>
      <c r="H43" s="201"/>
      <c r="I43" s="202"/>
      <c r="K43" s="223"/>
      <c r="L43" s="25"/>
      <c r="M43" s="25"/>
      <c r="N43" s="25"/>
      <c r="O43" s="205">
        <f>IF(O42+1&lt;=MIN('Données projet'!$E$9:$E$18),O42+1,"STOP")</f>
        <v>10</v>
      </c>
      <c r="P43" s="195">
        <f t="shared" si="3"/>
        <v>167.42119732781126</v>
      </c>
      <c r="Q43" s="264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59"/>
      <c r="G44" s="216"/>
      <c r="H44" s="201"/>
      <c r="I44" s="202"/>
      <c r="K44" s="223"/>
      <c r="L44" s="25"/>
      <c r="M44" s="25"/>
      <c r="N44" s="25"/>
      <c r="O44" s="205">
        <f>IF(O43+1&lt;=MIN('Données projet'!$E$9:$E$18),O43+1,"STOP")</f>
        <v>11</v>
      </c>
      <c r="P44" s="195">
        <f t="shared" si="3"/>
        <v>160.21167208402991</v>
      </c>
      <c r="Q44" s="264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4" t="str">
        <f>IF('Données projet'!$B$10="","",'Données projet'!$B$10)</f>
        <v>Erable plane</v>
      </c>
      <c r="C45" s="5"/>
      <c r="D45" s="5"/>
      <c r="E45" s="5"/>
      <c r="F45" s="259"/>
      <c r="G45" s="216"/>
      <c r="H45" s="201"/>
      <c r="I45" s="202"/>
      <c r="J45" s="25"/>
      <c r="K45" s="223"/>
      <c r="L45" s="25"/>
      <c r="M45" s="25"/>
      <c r="N45" s="25"/>
      <c r="O45" s="205">
        <f>IF(O44+1&lt;=MIN('Données projet'!$E$9:$E$18),O44+1,"STOP")</f>
        <v>12</v>
      </c>
      <c r="P45" s="195">
        <f t="shared" si="3"/>
        <v>153.31260486510041</v>
      </c>
      <c r="Q45" s="264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59"/>
      <c r="G46" s="216"/>
      <c r="H46" s="201"/>
      <c r="I46" s="202"/>
      <c r="J46" s="25"/>
      <c r="K46" s="223"/>
      <c r="L46" s="218"/>
      <c r="M46" s="218"/>
      <c r="N46" s="218"/>
      <c r="O46" s="205">
        <f>IF(O45+1&lt;=MIN('Données projet'!$E$9:$E$18),O45+1,"STOP")</f>
        <v>13</v>
      </c>
      <c r="P46" s="198">
        <f t="shared" si="3"/>
        <v>146.71062666516787</v>
      </c>
      <c r="Q46" s="264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5" t="s">
        <v>180</v>
      </c>
      <c r="B47" s="51" t="s">
        <v>256</v>
      </c>
      <c r="C47" s="51" t="s">
        <v>255</v>
      </c>
      <c r="D47" s="255" t="s">
        <v>252</v>
      </c>
      <c r="E47" s="255" t="s">
        <v>320</v>
      </c>
      <c r="F47" s="260"/>
      <c r="G47" s="216"/>
      <c r="H47" s="201"/>
      <c r="I47" s="202"/>
      <c r="J47" s="25"/>
      <c r="K47" s="223"/>
      <c r="L47" s="5"/>
      <c r="M47" s="5"/>
      <c r="N47" s="5"/>
      <c r="O47" s="205">
        <f>IF(O46+1&lt;=MIN('Données projet'!$E$9:$E$18),O46+1,"STOP")</f>
        <v>14</v>
      </c>
      <c r="P47" s="195">
        <f t="shared" si="3"/>
        <v>140.39294417719415</v>
      </c>
      <c r="Q47" s="264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08">
        <v>0</v>
      </c>
      <c r="B48" s="211" t="s">
        <v>132</v>
      </c>
      <c r="C48" s="210" t="s">
        <v>132</v>
      </c>
      <c r="D48" s="209" t="s">
        <v>132</v>
      </c>
      <c r="E48" s="204"/>
      <c r="F48" s="260"/>
      <c r="G48" s="216"/>
      <c r="H48" s="201"/>
      <c r="I48" s="202"/>
      <c r="J48" s="25"/>
      <c r="K48" s="223"/>
      <c r="L48" s="5"/>
      <c r="M48" s="5"/>
      <c r="N48" s="5"/>
      <c r="O48" s="205">
        <f>IF(O47+1&lt;=MIN('Données projet'!$E$9:$E$18),O47+1,"STOP")</f>
        <v>15</v>
      </c>
      <c r="P48" s="195">
        <f t="shared" si="3"/>
        <v>134.34731500209966</v>
      </c>
      <c r="Q48" s="264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6" customFormat="1" ht="17.25" customHeight="1" x14ac:dyDescent="0.25">
      <c r="A49" s="208">
        <v>1</v>
      </c>
      <c r="B49" s="211" t="s">
        <v>132</v>
      </c>
      <c r="C49" s="210" t="s">
        <v>132</v>
      </c>
      <c r="D49" s="209" t="s">
        <v>132</v>
      </c>
      <c r="E49" s="204"/>
      <c r="F49" s="260"/>
      <c r="G49" s="217"/>
      <c r="H49" s="201"/>
      <c r="I49" s="202"/>
      <c r="J49" s="218"/>
      <c r="K49" s="225"/>
      <c r="L49" s="5"/>
      <c r="M49" s="5"/>
      <c r="N49" s="5"/>
      <c r="O49" s="205">
        <f>IF(O48+1&lt;=MIN('Données projet'!$E$9:$E$18),O48+1,"STOP")</f>
        <v>16</v>
      </c>
      <c r="P49" s="195">
        <f t="shared" si="3"/>
        <v>128.56202392545427</v>
      </c>
      <c r="Q49" s="265"/>
      <c r="R49" s="197"/>
      <c r="S49" s="197"/>
      <c r="T49" s="197"/>
      <c r="U49" s="197"/>
      <c r="V49" s="197"/>
      <c r="W49" s="197"/>
      <c r="X49" s="197"/>
      <c r="Y49" s="197"/>
      <c r="Z49" s="197"/>
      <c r="AA49" s="197"/>
      <c r="AB49" s="197"/>
      <c r="AC49" s="197"/>
      <c r="AD49" s="197"/>
      <c r="AE49" s="197"/>
      <c r="AF49" s="197"/>
      <c r="AG49" s="197"/>
      <c r="AH49" s="197"/>
      <c r="AI49" s="197"/>
      <c r="AJ49" s="197"/>
      <c r="AK49" s="197"/>
      <c r="AL49" s="197"/>
      <c r="AM49" s="197"/>
      <c r="AN49" s="197"/>
      <c r="AO49" s="197"/>
      <c r="AP49" s="197"/>
      <c r="AQ49" s="197"/>
      <c r="AR49" s="197"/>
      <c r="AS49" s="197"/>
      <c r="AT49" s="197"/>
      <c r="AU49" s="197"/>
      <c r="AV49" s="197"/>
      <c r="AW49" s="197"/>
      <c r="AX49" s="197"/>
      <c r="AY49" s="197"/>
      <c r="AZ49" s="197"/>
      <c r="BA49" s="197"/>
      <c r="BB49" s="197"/>
      <c r="BC49" s="197"/>
      <c r="BD49" s="197"/>
    </row>
    <row r="50" spans="1:56" x14ac:dyDescent="0.25">
      <c r="A50" s="208">
        <v>2</v>
      </c>
      <c r="B50" s="211" t="s">
        <v>132</v>
      </c>
      <c r="C50" s="210" t="s">
        <v>132</v>
      </c>
      <c r="D50" s="209" t="s">
        <v>132</v>
      </c>
      <c r="E50" s="204"/>
      <c r="F50" s="260"/>
      <c r="G50" s="219"/>
      <c r="H50" s="201"/>
      <c r="I50" s="202"/>
      <c r="J50" s="25"/>
      <c r="K50" s="181"/>
      <c r="L50" s="5"/>
      <c r="M50" s="5"/>
      <c r="N50" s="5"/>
      <c r="O50" s="205">
        <f>IF(O49+1&lt;=MIN('Données projet'!$E$9:$E$18),O49+1,"STOP")</f>
        <v>17</v>
      </c>
      <c r="P50" s="195">
        <f t="shared" si="3"/>
        <v>123.02586021574571</v>
      </c>
      <c r="Q50" s="264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08">
        <v>3</v>
      </c>
      <c r="B51" s="211" t="s">
        <v>132</v>
      </c>
      <c r="C51" s="210" t="s">
        <v>132</v>
      </c>
      <c r="D51" s="209" t="s">
        <v>132</v>
      </c>
      <c r="E51" s="204"/>
      <c r="F51" s="260"/>
      <c r="G51" s="219"/>
      <c r="H51" s="201"/>
      <c r="I51" s="202"/>
      <c r="J51" s="25"/>
      <c r="K51" s="181"/>
      <c r="L51" s="5"/>
      <c r="M51" s="5"/>
      <c r="N51" s="5"/>
      <c r="O51" s="205">
        <f>IF(O50+1&lt;=MIN('Données projet'!$E$9:$E$18),O50+1,"STOP")</f>
        <v>18</v>
      </c>
      <c r="P51" s="195">
        <f t="shared" si="3"/>
        <v>117.72809590023516</v>
      </c>
      <c r="Q51" s="264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08">
        <v>4</v>
      </c>
      <c r="B52" s="211" t="s">
        <v>132</v>
      </c>
      <c r="C52" s="210" t="s">
        <v>132</v>
      </c>
      <c r="D52" s="209" t="s">
        <v>132</v>
      </c>
      <c r="E52" s="204"/>
      <c r="F52" s="260"/>
      <c r="G52" s="219"/>
      <c r="H52" s="201"/>
      <c r="I52" s="202"/>
      <c r="J52" s="25"/>
      <c r="K52" s="181"/>
      <c r="L52" s="5"/>
      <c r="M52" s="5"/>
      <c r="N52" s="5"/>
      <c r="O52" s="205">
        <f>IF(O51+1&lt;=MIN('Données projet'!$E$9:$E$18),O51+1,"STOP")</f>
        <v>19</v>
      </c>
      <c r="P52" s="195">
        <f t="shared" si="3"/>
        <v>112.65846497630159</v>
      </c>
      <c r="Q52" s="264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08">
        <v>5</v>
      </c>
      <c r="B53" s="211" t="s">
        <v>132</v>
      </c>
      <c r="C53" s="210" t="s">
        <v>132</v>
      </c>
      <c r="D53" s="209" t="s">
        <v>132</v>
      </c>
      <c r="E53" s="204"/>
      <c r="F53" s="260"/>
      <c r="G53" s="220"/>
      <c r="H53" s="201"/>
      <c r="I53" s="202"/>
      <c r="J53" s="25"/>
      <c r="K53" s="181"/>
      <c r="L53" s="5"/>
      <c r="M53" s="5"/>
      <c r="N53" s="5"/>
      <c r="O53" s="205">
        <f>IF(O52+1&lt;=MIN('Données projet'!$E$9:$E$18),O52+1,"STOP")</f>
        <v>20</v>
      </c>
      <c r="P53" s="195">
        <f t="shared" si="3"/>
        <v>107.80714351799197</v>
      </c>
      <c r="Q53" s="264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0">
        <f>'Données projet'!A62</f>
        <v>10</v>
      </c>
      <c r="B54" s="191">
        <f>'Données projet'!D62</f>
        <v>0</v>
      </c>
      <c r="C54" s="202"/>
      <c r="D54" s="189">
        <f>B54*C54</f>
        <v>0</v>
      </c>
      <c r="E54" s="204"/>
      <c r="F54" s="261"/>
      <c r="G54" s="220"/>
      <c r="H54" s="201"/>
      <c r="I54" s="202"/>
      <c r="J54" s="25"/>
      <c r="K54" s="181"/>
      <c r="L54" s="5"/>
      <c r="M54" s="5"/>
      <c r="N54" s="5"/>
      <c r="O54" s="205">
        <f>IF(O53+1&lt;=MIN('Données projet'!$E$9:$E$18),O53+1,"STOP")</f>
        <v>21</v>
      </c>
      <c r="P54" s="195">
        <f t="shared" si="3"/>
        <v>103.16473063922676</v>
      </c>
      <c r="Q54" s="264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0">
        <f>'Données projet'!A63</f>
        <v>15</v>
      </c>
      <c r="B55" s="191">
        <f>'Données projet'!D63</f>
        <v>0</v>
      </c>
      <c r="C55" s="202"/>
      <c r="D55" s="189">
        <f t="shared" ref="D55:D73" si="4">B55*C55</f>
        <v>0</v>
      </c>
      <c r="E55" s="204"/>
      <c r="F55" s="261"/>
      <c r="G55" s="220"/>
      <c r="H55" s="201"/>
      <c r="I55" s="202"/>
      <c r="J55" s="25"/>
      <c r="K55" s="181"/>
      <c r="L55" s="5"/>
      <c r="M55" s="5"/>
      <c r="N55" s="5"/>
      <c r="O55" s="205">
        <f>IF(O54+1&lt;=MIN('Données projet'!$E$9:$E$18),O54+1,"STOP")</f>
        <v>22</v>
      </c>
      <c r="P55" s="195">
        <f t="shared" si="3"/>
        <v>98.722230276772052</v>
      </c>
      <c r="Q55" s="264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0">
        <f>'Données projet'!A64</f>
        <v>20</v>
      </c>
      <c r="B56" s="191">
        <f>'Données projet'!D64</f>
        <v>66.5</v>
      </c>
      <c r="C56" s="202">
        <v>10</v>
      </c>
      <c r="D56" s="189">
        <f t="shared" si="4"/>
        <v>665</v>
      </c>
      <c r="E56" s="204"/>
      <c r="F56" s="261"/>
      <c r="G56" s="220"/>
      <c r="H56" s="201"/>
      <c r="I56" s="202"/>
      <c r="J56" s="25"/>
      <c r="K56" s="181"/>
      <c r="L56" s="5"/>
      <c r="M56" s="5"/>
      <c r="N56" s="5"/>
      <c r="O56" s="205">
        <f>IF(O55+1&lt;=MIN('Données projet'!$E$9:$E$18),O55+1,"STOP")</f>
        <v>23</v>
      </c>
      <c r="P56" s="195">
        <f t="shared" si="3"/>
        <v>94.471033757676608</v>
      </c>
      <c r="Q56" s="264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0">
        <f>'Données projet'!A65</f>
        <v>25</v>
      </c>
      <c r="B57" s="191">
        <f>'Données projet'!D65</f>
        <v>0</v>
      </c>
      <c r="C57" s="202"/>
      <c r="D57" s="189">
        <f t="shared" si="4"/>
        <v>0</v>
      </c>
      <c r="E57" s="204"/>
      <c r="F57" s="261"/>
      <c r="G57" s="220"/>
      <c r="H57" s="201"/>
      <c r="I57" s="202"/>
      <c r="J57" s="25"/>
      <c r="K57" s="181"/>
      <c r="L57" s="5"/>
      <c r="M57" s="5"/>
      <c r="N57" s="5"/>
      <c r="O57" s="205">
        <f>IF(O56+1&lt;=MIN('Données projet'!$E$9:$E$18),O56+1,"STOP")</f>
        <v>24</v>
      </c>
      <c r="P57" s="195">
        <f t="shared" si="3"/>
        <v>90.402903117393905</v>
      </c>
      <c r="Q57" s="264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0">
        <f>'Données projet'!A66</f>
        <v>30</v>
      </c>
      <c r="B58" s="191">
        <f>'Données projet'!D66</f>
        <v>70</v>
      </c>
      <c r="C58" s="202">
        <v>15</v>
      </c>
      <c r="D58" s="189">
        <f t="shared" si="4"/>
        <v>1050</v>
      </c>
      <c r="E58" s="204"/>
      <c r="F58" s="261"/>
      <c r="G58" s="220"/>
      <c r="H58" s="201"/>
      <c r="I58" s="202"/>
      <c r="J58" s="25"/>
      <c r="K58" s="181"/>
      <c r="L58" s="5"/>
      <c r="M58" s="5"/>
      <c r="N58" s="5"/>
      <c r="O58" s="205">
        <f>IF(O57+1&lt;=MIN('Données projet'!$E$9:$E$18),O57+1,"STOP")</f>
        <v>25</v>
      </c>
      <c r="P58" s="195">
        <f t="shared" si="3"/>
        <v>86.509955136262107</v>
      </c>
      <c r="Q58" s="264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0">
        <f>'Données projet'!A67</f>
        <v>35</v>
      </c>
      <c r="B59" s="191">
        <f>'Données projet'!D67</f>
        <v>0</v>
      </c>
      <c r="C59" s="202"/>
      <c r="D59" s="189">
        <f t="shared" si="4"/>
        <v>0</v>
      </c>
      <c r="E59" s="204"/>
      <c r="F59" s="261"/>
      <c r="G59" s="220"/>
      <c r="H59" s="201"/>
      <c r="I59" s="202"/>
      <c r="J59" s="25"/>
      <c r="K59" s="181"/>
      <c r="L59" s="5"/>
      <c r="M59" s="5"/>
      <c r="N59" s="5"/>
      <c r="O59" s="205">
        <f>IF(O58+1&lt;=MIN('Données projet'!$E$9:$E$18),O58+1,"STOP")</f>
        <v>26</v>
      </c>
      <c r="P59" s="195">
        <f t="shared" si="3"/>
        <v>82.784646063408744</v>
      </c>
      <c r="Q59" s="264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0">
        <f>'Données projet'!A68</f>
        <v>40</v>
      </c>
      <c r="B60" s="191">
        <f>'Données projet'!D68</f>
        <v>70</v>
      </c>
      <c r="C60" s="202">
        <v>20</v>
      </c>
      <c r="D60" s="189">
        <f t="shared" si="4"/>
        <v>1400</v>
      </c>
      <c r="E60" s="204"/>
      <c r="F60" s="261"/>
      <c r="G60" s="221"/>
      <c r="H60" s="201"/>
      <c r="I60" s="202"/>
      <c r="J60" s="25"/>
      <c r="K60" s="181"/>
      <c r="L60" s="5"/>
      <c r="M60" s="5"/>
      <c r="N60" s="5"/>
      <c r="O60" s="205">
        <f>IF(O59+1&lt;=MIN('Données projet'!$E$9:$E$18),O59+1,"STOP")</f>
        <v>27</v>
      </c>
      <c r="P60" s="195">
        <f t="shared" si="3"/>
        <v>79.219756998477266</v>
      </c>
      <c r="Q60" s="264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0">
        <f>'Données projet'!A69</f>
        <v>45</v>
      </c>
      <c r="B61" s="191">
        <f>'Données projet'!D69</f>
        <v>0</v>
      </c>
      <c r="C61" s="202"/>
      <c r="D61" s="189">
        <f t="shared" si="4"/>
        <v>0</v>
      </c>
      <c r="E61" s="204"/>
      <c r="F61" s="261"/>
      <c r="G61" s="221"/>
      <c r="H61" s="201"/>
      <c r="I61" s="202"/>
      <c r="J61" s="25"/>
      <c r="K61" s="181"/>
      <c r="L61" s="5"/>
      <c r="M61" s="5"/>
      <c r="N61" s="5"/>
      <c r="O61" s="205">
        <f>IF(O60+1&lt;=MIN('Données projet'!$E$9:$E$18),O60+1,"STOP")</f>
        <v>28</v>
      </c>
      <c r="P61" s="195">
        <f t="shared" si="3"/>
        <v>75.808379902849069</v>
      </c>
      <c r="Q61" s="264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0">
        <f>'Données projet'!A70</f>
        <v>50</v>
      </c>
      <c r="B62" s="191">
        <f>'Données projet'!D70</f>
        <v>43.099999999999994</v>
      </c>
      <c r="C62" s="202">
        <v>30</v>
      </c>
      <c r="D62" s="189">
        <f t="shared" si="4"/>
        <v>1292.9999999999998</v>
      </c>
      <c r="E62" s="204"/>
      <c r="F62" s="261"/>
      <c r="G62" s="221"/>
      <c r="H62" s="201"/>
      <c r="I62" s="202"/>
      <c r="J62" s="25"/>
      <c r="K62" s="181"/>
      <c r="L62" s="5"/>
      <c r="M62" s="5"/>
      <c r="N62" s="5"/>
      <c r="O62" s="205">
        <f>IF(O61+1&lt;=MIN('Données projet'!$E$9:$E$18),O61+1,"STOP")</f>
        <v>29</v>
      </c>
      <c r="P62" s="195">
        <f t="shared" si="3"/>
        <v>72.543904213252688</v>
      </c>
      <c r="Q62" s="264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0">
        <f>'Données projet'!A71</f>
        <v>55</v>
      </c>
      <c r="B63" s="191">
        <f>'Données projet'!D71</f>
        <v>0</v>
      </c>
      <c r="C63" s="202"/>
      <c r="D63" s="189">
        <f t="shared" si="4"/>
        <v>0</v>
      </c>
      <c r="E63" s="204"/>
      <c r="F63" s="261"/>
      <c r="G63" s="221"/>
      <c r="H63" s="201"/>
      <c r="I63" s="202"/>
      <c r="J63" s="25"/>
      <c r="K63" s="181"/>
      <c r="L63" s="5"/>
      <c r="M63" s="5"/>
      <c r="N63" s="5"/>
      <c r="O63" s="205">
        <f>IF(O62+1&lt;=MIN('Données projet'!$E$9:$E$18),O62+1,"STOP")</f>
        <v>30</v>
      </c>
      <c r="P63" s="195">
        <f t="shared" si="3"/>
        <v>69.420004031820781</v>
      </c>
      <c r="Q63" s="264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0">
        <f>'Données projet'!A72</f>
        <v>60</v>
      </c>
      <c r="B64" s="191">
        <f>'Données projet'!D72</f>
        <v>30.2</v>
      </c>
      <c r="C64" s="202">
        <v>40</v>
      </c>
      <c r="D64" s="189">
        <f t="shared" si="4"/>
        <v>1208</v>
      </c>
      <c r="E64" s="204"/>
      <c r="F64" s="261"/>
      <c r="G64" s="221"/>
      <c r="H64" s="201"/>
      <c r="I64" s="202"/>
      <c r="J64" s="222"/>
      <c r="K64" s="181"/>
      <c r="L64" s="5"/>
      <c r="M64" s="5"/>
      <c r="N64" s="5"/>
      <c r="O64" s="205">
        <f>IF(O63+1&lt;=MIN('Données projet'!$E$9:$E$18),O63+1,"STOP")</f>
        <v>31</v>
      </c>
      <c r="P64" s="195">
        <f t="shared" si="3"/>
        <v>66.43062586777107</v>
      </c>
      <c r="Q64" s="264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0">
        <f>'Données projet'!A73</f>
        <v>65</v>
      </c>
      <c r="B65" s="191">
        <f>'Données projet'!D73</f>
        <v>0</v>
      </c>
      <c r="C65" s="202"/>
      <c r="D65" s="189">
        <f t="shared" si="4"/>
        <v>0</v>
      </c>
      <c r="E65" s="204"/>
      <c r="F65" s="261"/>
      <c r="G65" s="221"/>
      <c r="H65" s="201"/>
      <c r="I65" s="202"/>
      <c r="J65" s="199"/>
      <c r="K65" s="181"/>
      <c r="L65" s="5"/>
      <c r="M65" s="5"/>
      <c r="N65" s="5"/>
      <c r="O65" s="205">
        <f>IF(O64+1&lt;=MIN('Données projet'!$E$9:$E$18),O64+1,"STOP")</f>
        <v>32</v>
      </c>
      <c r="P65" s="195">
        <f t="shared" ref="P65:P96" si="5">$P$25/(1+$M$4)^O65</f>
        <v>63.569976906957997</v>
      </c>
      <c r="Q65" s="264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0">
        <f>'Données projet'!A74</f>
        <v>70</v>
      </c>
      <c r="B66" s="191">
        <f>'Données projet'!D74</f>
        <v>25.9</v>
      </c>
      <c r="C66" s="202">
        <v>50</v>
      </c>
      <c r="D66" s="189">
        <f t="shared" si="4"/>
        <v>1295</v>
      </c>
      <c r="E66" s="204"/>
      <c r="F66" s="261"/>
      <c r="G66" s="221"/>
      <c r="H66" s="201"/>
      <c r="I66" s="202"/>
      <c r="J66" s="199"/>
      <c r="K66" s="181"/>
      <c r="L66" s="5"/>
      <c r="M66" s="5"/>
      <c r="N66" s="5"/>
      <c r="O66" s="205">
        <f>IF(O65+1&lt;=MIN('Données projet'!$E$9:$E$18),O65+1,"STOP")</f>
        <v>33</v>
      </c>
      <c r="P66" s="195">
        <f t="shared" si="5"/>
        <v>60.832513786562686</v>
      </c>
      <c r="Q66" s="264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0">
        <f>'Données projet'!A75</f>
        <v>75</v>
      </c>
      <c r="B67" s="191">
        <f>'Données projet'!D75</f>
        <v>0</v>
      </c>
      <c r="C67" s="202"/>
      <c r="D67" s="189">
        <f t="shared" si="4"/>
        <v>0</v>
      </c>
      <c r="E67" s="204"/>
      <c r="F67" s="261"/>
      <c r="G67" s="221"/>
      <c r="H67" s="201"/>
      <c r="I67" s="202"/>
      <c r="J67" s="199"/>
      <c r="K67" s="181"/>
      <c r="L67" s="5"/>
      <c r="M67" s="5"/>
      <c r="N67" s="5"/>
      <c r="O67" s="205">
        <f>IF(O66+1&lt;=MIN('Données projet'!$E$9:$E$18),O66+1,"STOP")</f>
        <v>34</v>
      </c>
      <c r="P67" s="195">
        <f t="shared" si="5"/>
        <v>58.212931853170041</v>
      </c>
      <c r="Q67" s="264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0">
        <f>'Données projet'!A76</f>
        <v>80</v>
      </c>
      <c r="B68" s="191">
        <f>'Données projet'!D76</f>
        <v>341.3</v>
      </c>
      <c r="C68" s="204">
        <v>100</v>
      </c>
      <c r="D68" s="189">
        <f t="shared" si="4"/>
        <v>34130</v>
      </c>
      <c r="E68" s="204"/>
      <c r="F68" s="261"/>
      <c r="G68" s="221"/>
      <c r="H68" s="201"/>
      <c r="I68" s="202"/>
      <c r="J68" s="199"/>
      <c r="K68" s="181"/>
      <c r="L68" s="5"/>
      <c r="M68" s="5"/>
      <c r="N68" s="5"/>
      <c r="O68" s="205">
        <f>IF(O67+1&lt;=MIN('Données projet'!$E$9:$E$18),O67+1,"STOP")</f>
        <v>35</v>
      </c>
      <c r="P68" s="195">
        <f t="shared" si="5"/>
        <v>55.706154883416303</v>
      </c>
      <c r="Q68" s="264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0">
        <f>'Données projet'!A77</f>
        <v>0</v>
      </c>
      <c r="B69" s="191">
        <f>'Données projet'!D77</f>
        <v>0</v>
      </c>
      <c r="C69" s="202"/>
      <c r="D69" s="189">
        <f t="shared" si="4"/>
        <v>0</v>
      </c>
      <c r="E69" s="204"/>
      <c r="F69" s="261"/>
      <c r="G69" s="221"/>
      <c r="H69" s="201"/>
      <c r="I69" s="202"/>
      <c r="J69" s="199"/>
      <c r="K69" s="181"/>
      <c r="L69" s="5"/>
      <c r="M69" s="5"/>
      <c r="N69" s="5"/>
      <c r="O69" s="205">
        <f>IF(O68+1&lt;=MIN('Données projet'!$E$9:$E$18),O68+1,"STOP")</f>
        <v>36</v>
      </c>
      <c r="P69" s="195">
        <f t="shared" si="5"/>
        <v>53.30732524728834</v>
      </c>
      <c r="Q69" s="264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0">
        <f>'Données projet'!A78</f>
        <v>0</v>
      </c>
      <c r="B70" s="191">
        <f>'Données projet'!D78</f>
        <v>0</v>
      </c>
      <c r="C70" s="202"/>
      <c r="D70" s="189">
        <f t="shared" si="4"/>
        <v>0</v>
      </c>
      <c r="E70" s="204"/>
      <c r="F70" s="261"/>
      <c r="G70" s="221"/>
      <c r="H70" s="201"/>
      <c r="I70" s="202"/>
      <c r="J70" s="199"/>
      <c r="K70" s="181"/>
      <c r="L70" s="5"/>
      <c r="M70" s="5"/>
      <c r="N70" s="5"/>
      <c r="O70" s="205">
        <f>IF(O69+1&lt;=MIN('Données projet'!$E$9:$E$18),O69+1,"STOP")</f>
        <v>37</v>
      </c>
      <c r="P70" s="195">
        <f t="shared" si="5"/>
        <v>51.011794495012772</v>
      </c>
      <c r="Q70" s="264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0">
        <f>'Données projet'!A79</f>
        <v>0</v>
      </c>
      <c r="B71" s="191">
        <f>'Données projet'!D79</f>
        <v>0</v>
      </c>
      <c r="C71" s="202"/>
      <c r="D71" s="189">
        <f t="shared" si="4"/>
        <v>0</v>
      </c>
      <c r="E71" s="204"/>
      <c r="F71" s="261"/>
      <c r="G71" s="221"/>
      <c r="H71" s="201"/>
      <c r="I71" s="202"/>
      <c r="J71" s="199"/>
      <c r="K71" s="181"/>
      <c r="L71" s="5"/>
      <c r="M71" s="5"/>
      <c r="N71" s="5"/>
      <c r="O71" s="205">
        <f>IF(O70+1&lt;=MIN('Données projet'!$E$9:$E$18),O70+1,"STOP")</f>
        <v>38</v>
      </c>
      <c r="P71" s="195">
        <f t="shared" si="5"/>
        <v>48.815114349294525</v>
      </c>
      <c r="Q71" s="264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0">
        <f>'Données projet'!A80</f>
        <v>0</v>
      </c>
      <c r="B72" s="191">
        <f>'Données projet'!D80</f>
        <v>0</v>
      </c>
      <c r="C72" s="202"/>
      <c r="D72" s="189">
        <f t="shared" si="4"/>
        <v>0</v>
      </c>
      <c r="E72" s="204"/>
      <c r="F72" s="261"/>
      <c r="G72" s="221"/>
      <c r="H72" s="201"/>
      <c r="I72" s="202"/>
      <c r="J72" s="5"/>
      <c r="K72" s="181"/>
      <c r="L72" s="5"/>
      <c r="M72" s="5"/>
      <c r="N72" s="5"/>
      <c r="O72" s="205">
        <f>IF(O71+1&lt;=MIN('Données projet'!$E$9:$E$18),O71+1,"STOP")</f>
        <v>39</v>
      </c>
      <c r="P72" s="195">
        <f t="shared" si="5"/>
        <v>46.713028085449302</v>
      </c>
      <c r="Q72" s="264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0">
        <f>'Données projet'!A81</f>
        <v>0</v>
      </c>
      <c r="B73" s="191">
        <f>'Données projet'!D81</f>
        <v>0</v>
      </c>
      <c r="C73" s="202"/>
      <c r="D73" s="189">
        <f t="shared" si="4"/>
        <v>0</v>
      </c>
      <c r="E73" s="204"/>
      <c r="F73" s="261"/>
      <c r="G73" s="221"/>
      <c r="H73" s="201"/>
      <c r="I73" s="202"/>
      <c r="J73" s="5"/>
      <c r="K73" s="181"/>
      <c r="L73" s="5"/>
      <c r="M73" s="5"/>
      <c r="N73" s="5"/>
      <c r="O73" s="205">
        <f>IF(O72+1&lt;=MIN('Données projet'!$E$9:$E$18),O72+1,"STOP")</f>
        <v>40</v>
      </c>
      <c r="P73" s="195">
        <f t="shared" si="5"/>
        <v>44.701462282726617</v>
      </c>
      <c r="Q73" s="264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59"/>
      <c r="G74" s="221"/>
      <c r="H74" s="201"/>
      <c r="I74" s="202"/>
      <c r="J74" s="5"/>
      <c r="K74" s="181"/>
      <c r="L74" s="5"/>
      <c r="M74" s="5"/>
      <c r="N74" s="5"/>
      <c r="O74" s="205">
        <f>IF(O73+1&lt;=MIN('Données projet'!$E$9:$E$18),O73+1,"STOP")</f>
        <v>41</v>
      </c>
      <c r="P74" s="195">
        <f t="shared" si="5"/>
        <v>42.776518930838876</v>
      </c>
      <c r="Q74" s="264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59"/>
      <c r="G75" s="221"/>
      <c r="H75" s="201"/>
      <c r="I75" s="202"/>
      <c r="J75" s="5"/>
      <c r="K75" s="181"/>
      <c r="L75" s="5"/>
      <c r="M75" s="5"/>
      <c r="N75" s="5"/>
      <c r="O75" s="205">
        <f>IF(O74+1&lt;=MIN('Données projet'!$E$9:$E$18),O74+1,"STOP")</f>
        <v>42</v>
      </c>
      <c r="P75" s="195">
        <f t="shared" si="5"/>
        <v>40.934467876400845</v>
      </c>
      <c r="Q75" s="264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4" t="str">
        <f>IF('Données projet'!B11="","",'Données projet'!B11)</f>
        <v>Erable champêtre</v>
      </c>
      <c r="C76" s="5"/>
      <c r="D76" s="5"/>
      <c r="E76" s="5"/>
      <c r="F76" s="259"/>
      <c r="G76" s="221"/>
      <c r="H76" s="201"/>
      <c r="I76" s="202"/>
      <c r="J76" s="5"/>
      <c r="K76" s="181"/>
      <c r="L76" s="5"/>
      <c r="M76" s="5"/>
      <c r="N76" s="5"/>
      <c r="O76" s="205">
        <f>IF(O75+1&lt;=MIN('Données projet'!$E$9:$E$18),O75+1,"STOP")</f>
        <v>43</v>
      </c>
      <c r="P76" s="195">
        <f t="shared" si="5"/>
        <v>39.171739594641956</v>
      </c>
      <c r="Q76" s="264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59"/>
      <c r="G77" s="221"/>
      <c r="H77" s="201"/>
      <c r="I77" s="202"/>
      <c r="J77" s="5"/>
      <c r="K77" s="181"/>
      <c r="L77" s="5"/>
      <c r="M77" s="5"/>
      <c r="N77" s="5"/>
      <c r="O77" s="205">
        <f>IF(O76+1&lt;=MIN('Données projet'!$E$9:$E$18),O76+1,"STOP")</f>
        <v>44</v>
      </c>
      <c r="P77" s="195">
        <f t="shared" si="5"/>
        <v>37.484918272384654</v>
      </c>
      <c r="Q77" s="264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5" t="s">
        <v>180</v>
      </c>
      <c r="B78" s="51" t="s">
        <v>256</v>
      </c>
      <c r="C78" s="51" t="s">
        <v>255</v>
      </c>
      <c r="D78" s="255" t="s">
        <v>252</v>
      </c>
      <c r="E78" s="255" t="s">
        <v>320</v>
      </c>
      <c r="F78" s="260"/>
      <c r="G78" s="221"/>
      <c r="H78" s="201"/>
      <c r="I78" s="202"/>
      <c r="J78" s="5"/>
      <c r="K78" s="181"/>
      <c r="L78" s="5"/>
      <c r="M78" s="5"/>
      <c r="N78" s="5"/>
      <c r="O78" s="205">
        <f>IF(O77+1&lt;=MIN('Données projet'!$E$9:$E$18),O77+1,"STOP")</f>
        <v>45</v>
      </c>
      <c r="P78" s="195">
        <f t="shared" si="5"/>
        <v>35.870735188884836</v>
      </c>
      <c r="Q78" s="264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08">
        <v>0</v>
      </c>
      <c r="B79" s="211" t="s">
        <v>132</v>
      </c>
      <c r="C79" s="210" t="s">
        <v>132</v>
      </c>
      <c r="D79" s="209" t="s">
        <v>132</v>
      </c>
      <c r="E79" s="204"/>
      <c r="F79" s="260"/>
      <c r="G79" s="221"/>
      <c r="H79" s="201"/>
      <c r="I79" s="202"/>
      <c r="J79" s="5"/>
      <c r="K79" s="181"/>
      <c r="L79" s="5"/>
      <c r="M79" s="5"/>
      <c r="N79" s="5"/>
      <c r="O79" s="205">
        <f>IF(O78+1&lt;=MIN('Données projet'!$E$9:$E$18),O78+1,"STOP")</f>
        <v>46</v>
      </c>
      <c r="P79" s="195">
        <f t="shared" si="5"/>
        <v>34.326062381707985</v>
      </c>
      <c r="Q79" s="264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08">
        <v>1</v>
      </c>
      <c r="B80" s="211" t="s">
        <v>132</v>
      </c>
      <c r="C80" s="210" t="s">
        <v>132</v>
      </c>
      <c r="D80" s="209" t="s">
        <v>132</v>
      </c>
      <c r="E80" s="204"/>
      <c r="F80" s="260"/>
      <c r="G80" s="219"/>
      <c r="H80" s="201"/>
      <c r="I80" s="202"/>
      <c r="J80" s="5"/>
      <c r="K80" s="181"/>
      <c r="L80" s="5"/>
      <c r="M80" s="5"/>
      <c r="N80" s="5"/>
      <c r="O80" s="205">
        <f>IF(O79+1&lt;=MIN('Données projet'!$E$9:$E$18),O79+1,"STOP")</f>
        <v>47</v>
      </c>
      <c r="P80" s="195">
        <f t="shared" si="5"/>
        <v>32.847906585366488</v>
      </c>
      <c r="Q80" s="264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08">
        <v>2</v>
      </c>
      <c r="B81" s="211" t="s">
        <v>132</v>
      </c>
      <c r="C81" s="210" t="s">
        <v>132</v>
      </c>
      <c r="D81" s="209" t="s">
        <v>132</v>
      </c>
      <c r="E81" s="204"/>
      <c r="F81" s="260"/>
      <c r="G81" s="219"/>
      <c r="H81" s="201"/>
      <c r="I81" s="202"/>
      <c r="J81" s="5"/>
      <c r="K81" s="181"/>
      <c r="L81" s="5"/>
      <c r="M81" s="5"/>
      <c r="N81" s="5"/>
      <c r="O81" s="205">
        <f>IF(O80+1&lt;=MIN('Données projet'!$E$9:$E$18),O80+1,"STOP")</f>
        <v>48</v>
      </c>
      <c r="P81" s="195">
        <f t="shared" si="5"/>
        <v>31.433403430972728</v>
      </c>
      <c r="Q81" s="264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08">
        <v>3</v>
      </c>
      <c r="B82" s="211" t="s">
        <v>132</v>
      </c>
      <c r="C82" s="210" t="s">
        <v>132</v>
      </c>
      <c r="D82" s="209" t="s">
        <v>132</v>
      </c>
      <c r="E82" s="204"/>
      <c r="F82" s="260"/>
      <c r="G82" s="219"/>
      <c r="H82" s="201"/>
      <c r="I82" s="202"/>
      <c r="J82" s="5"/>
      <c r="K82" s="181"/>
      <c r="L82" s="5"/>
      <c r="M82" s="5"/>
      <c r="N82" s="5"/>
      <c r="O82" s="205">
        <f>IF(O81+1&lt;=MIN('Données projet'!$E$9:$E$18),O81+1,"STOP")</f>
        <v>49</v>
      </c>
      <c r="P82" s="195">
        <f t="shared" si="5"/>
        <v>30.079811895667682</v>
      </c>
      <c r="Q82" s="264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08">
        <v>4</v>
      </c>
      <c r="B83" s="211" t="s">
        <v>132</v>
      </c>
      <c r="C83" s="210" t="s">
        <v>132</v>
      </c>
      <c r="D83" s="209" t="s">
        <v>132</v>
      </c>
      <c r="E83" s="204"/>
      <c r="F83" s="260"/>
      <c r="G83" s="219"/>
      <c r="H83" s="201"/>
      <c r="I83" s="202"/>
      <c r="J83" s="5"/>
      <c r="K83" s="181"/>
      <c r="L83" s="5"/>
      <c r="M83" s="5"/>
      <c r="N83" s="5"/>
      <c r="O83" s="205">
        <f>IF(O82+1&lt;=MIN('Données projet'!$E$9:$E$18),O82+1,"STOP")</f>
        <v>50</v>
      </c>
      <c r="P83" s="195">
        <f t="shared" si="5"/>
        <v>28.784508991069558</v>
      </c>
      <c r="Q83" s="264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08">
        <v>5</v>
      </c>
      <c r="B84" s="211" t="s">
        <v>132</v>
      </c>
      <c r="C84" s="210" t="s">
        <v>132</v>
      </c>
      <c r="D84" s="209" t="s">
        <v>132</v>
      </c>
      <c r="E84" s="204"/>
      <c r="F84" s="260"/>
      <c r="G84" s="220"/>
      <c r="H84" s="201"/>
      <c r="I84" s="202"/>
      <c r="J84" s="5"/>
      <c r="K84" s="181"/>
      <c r="L84" s="5"/>
      <c r="M84" s="5"/>
      <c r="N84" s="5"/>
      <c r="O84" s="205">
        <f>IF(O83+1&lt;=MIN('Données projet'!$E$9:$E$18),O83+1,"STOP")</f>
        <v>51</v>
      </c>
      <c r="P84" s="195">
        <f t="shared" si="5"/>
        <v>27.544984680449339</v>
      </c>
      <c r="Q84" s="264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0">
        <f>'Données projet'!A88</f>
        <v>15</v>
      </c>
      <c r="B85" s="191">
        <f>'Données projet'!D88</f>
        <v>0</v>
      </c>
      <c r="C85" s="202"/>
      <c r="D85" s="189">
        <f>B85*C85</f>
        <v>0</v>
      </c>
      <c r="E85" s="204"/>
      <c r="F85" s="261"/>
      <c r="G85" s="220"/>
      <c r="H85" s="201"/>
      <c r="I85" s="202"/>
      <c r="J85" s="5"/>
      <c r="K85" s="181"/>
      <c r="L85" s="5"/>
      <c r="M85" s="5"/>
      <c r="N85" s="5"/>
      <c r="O85" s="205">
        <f>IF(O84+1&lt;=MIN('Données projet'!$E$9:$E$18),O84+1,"STOP")</f>
        <v>52</v>
      </c>
      <c r="P85" s="195">
        <f t="shared" si="5"/>
        <v>26.358837014784061</v>
      </c>
      <c r="Q85" s="264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0">
        <f>'Données projet'!A89</f>
        <v>20</v>
      </c>
      <c r="B86" s="191">
        <f>'Données projet'!D89</f>
        <v>43.1</v>
      </c>
      <c r="C86" s="202">
        <v>10</v>
      </c>
      <c r="D86" s="189">
        <f t="shared" ref="D86:D104" si="6">B86*C86</f>
        <v>431</v>
      </c>
      <c r="E86" s="204"/>
      <c r="F86" s="261"/>
      <c r="G86" s="220"/>
      <c r="H86" s="201"/>
      <c r="I86" s="202"/>
      <c r="J86" s="5"/>
      <c r="K86" s="181"/>
      <c r="L86" s="5"/>
      <c r="M86" s="5"/>
      <c r="N86" s="5"/>
      <c r="O86" s="205">
        <f>IF(O85+1&lt;=MIN('Données projet'!$E$9:$E$18),O85+1,"STOP")</f>
        <v>53</v>
      </c>
      <c r="P86" s="195">
        <f t="shared" si="5"/>
        <v>25.223767478262261</v>
      </c>
      <c r="Q86" s="264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0">
        <f>'Données projet'!A90</f>
        <v>25</v>
      </c>
      <c r="B87" s="191">
        <f>'Données projet'!D90</f>
        <v>0</v>
      </c>
      <c r="C87" s="202"/>
      <c r="D87" s="189">
        <f t="shared" si="6"/>
        <v>0</v>
      </c>
      <c r="E87" s="204"/>
      <c r="F87" s="261"/>
      <c r="G87" s="220"/>
      <c r="H87" s="201"/>
      <c r="I87" s="202"/>
      <c r="J87" s="5"/>
      <c r="K87" s="181"/>
      <c r="L87" s="5"/>
      <c r="M87" s="5"/>
      <c r="N87" s="5"/>
      <c r="O87" s="205">
        <f>IF(O86+1&lt;=MIN('Données projet'!$E$9:$E$18),O86+1,"STOP")</f>
        <v>54</v>
      </c>
      <c r="P87" s="195">
        <f t="shared" si="5"/>
        <v>24.137576534222266</v>
      </c>
      <c r="Q87" s="264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0">
        <f>'Données projet'!A91</f>
        <v>30</v>
      </c>
      <c r="B88" s="191">
        <f>'Données projet'!D91</f>
        <v>56</v>
      </c>
      <c r="C88" s="202">
        <v>15</v>
      </c>
      <c r="D88" s="189">
        <f t="shared" si="6"/>
        <v>840</v>
      </c>
      <c r="E88" s="204"/>
      <c r="F88" s="261"/>
      <c r="G88" s="220"/>
      <c r="H88" s="201"/>
      <c r="I88" s="202"/>
      <c r="J88" s="5"/>
      <c r="K88" s="181"/>
      <c r="L88" s="5"/>
      <c r="M88" s="5"/>
      <c r="N88" s="5"/>
      <c r="O88" s="205">
        <f>IF(O87+1&lt;=MIN('Données projet'!$E$9:$E$18),O87+1,"STOP")</f>
        <v>55</v>
      </c>
      <c r="P88" s="195">
        <f t="shared" si="5"/>
        <v>23.098159362892119</v>
      </c>
      <c r="Q88" s="264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0">
        <f>'Données projet'!A92</f>
        <v>35</v>
      </c>
      <c r="B89" s="191">
        <f>'Données projet'!D92</f>
        <v>0</v>
      </c>
      <c r="C89" s="202"/>
      <c r="D89" s="189">
        <f t="shared" si="6"/>
        <v>0</v>
      </c>
      <c r="E89" s="204"/>
      <c r="F89" s="261"/>
      <c r="G89" s="220"/>
      <c r="H89" s="201"/>
      <c r="I89" s="202"/>
      <c r="J89" s="5"/>
      <c r="K89" s="181"/>
      <c r="L89" s="5"/>
      <c r="M89" s="5"/>
      <c r="N89" s="5"/>
      <c r="O89" s="205">
        <f>IF(O88+1&lt;=MIN('Données projet'!$E$9:$E$18),O88+1,"STOP")</f>
        <v>56</v>
      </c>
      <c r="P89" s="195">
        <f t="shared" si="5"/>
        <v>22.103501782671888</v>
      </c>
      <c r="Q89" s="264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0">
        <f>'Données projet'!A93</f>
        <v>40</v>
      </c>
      <c r="B90" s="191">
        <f>'Données projet'!D93</f>
        <v>56</v>
      </c>
      <c r="C90" s="202">
        <v>20</v>
      </c>
      <c r="D90" s="189">
        <f t="shared" si="6"/>
        <v>1120</v>
      </c>
      <c r="E90" s="204"/>
      <c r="F90" s="261"/>
      <c r="G90" s="220"/>
      <c r="H90" s="201"/>
      <c r="I90" s="202"/>
      <c r="J90" s="5"/>
      <c r="K90" s="181"/>
      <c r="L90" s="5"/>
      <c r="M90" s="5"/>
      <c r="N90" s="5"/>
      <c r="O90" s="205">
        <f>IF(O89+1&lt;=MIN('Données projet'!$E$9:$E$18),O89+1,"STOP")</f>
        <v>57</v>
      </c>
      <c r="P90" s="195">
        <f t="shared" si="5"/>
        <v>21.151676347054444</v>
      </c>
      <c r="Q90" s="264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0">
        <f>'Données projet'!A94</f>
        <v>45</v>
      </c>
      <c r="B91" s="191">
        <f>'Données projet'!D94</f>
        <v>0</v>
      </c>
      <c r="C91" s="202"/>
      <c r="D91" s="189">
        <f t="shared" si="6"/>
        <v>0</v>
      </c>
      <c r="E91" s="204"/>
      <c r="F91" s="261"/>
      <c r="G91" s="221"/>
      <c r="H91" s="201"/>
      <c r="I91" s="202"/>
      <c r="J91" s="5"/>
      <c r="K91" s="181"/>
      <c r="L91" s="5"/>
      <c r="M91" s="5"/>
      <c r="N91" s="5"/>
      <c r="O91" s="205">
        <f>IF(O90+1&lt;=MIN('Données projet'!$E$9:$E$18),O90+1,"STOP")</f>
        <v>58</v>
      </c>
      <c r="P91" s="195">
        <f t="shared" si="5"/>
        <v>20.240838609621481</v>
      </c>
      <c r="Q91" s="264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0">
        <f>'Données projet'!A95</f>
        <v>50</v>
      </c>
      <c r="B92" s="191">
        <f>'Données projet'!D95</f>
        <v>38.299999999999997</v>
      </c>
      <c r="C92" s="202">
        <v>30</v>
      </c>
      <c r="D92" s="189">
        <f t="shared" si="6"/>
        <v>1149</v>
      </c>
      <c r="E92" s="204"/>
      <c r="F92" s="261"/>
      <c r="G92" s="221"/>
      <c r="H92" s="201"/>
      <c r="I92" s="202"/>
      <c r="J92" s="5"/>
      <c r="K92" s="181"/>
      <c r="L92" s="5"/>
      <c r="M92" s="5"/>
      <c r="N92" s="5"/>
      <c r="O92" s="205">
        <f>IF(O91+1&lt;=MIN('Données projet'!$E$9:$E$18),O91+1,"STOP")</f>
        <v>59</v>
      </c>
      <c r="P92" s="195">
        <f t="shared" si="5"/>
        <v>19.369223549877017</v>
      </c>
      <c r="Q92" s="264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0">
        <f>'Données projet'!A96</f>
        <v>55</v>
      </c>
      <c r="B93" s="191">
        <f>'Données projet'!D96</f>
        <v>0</v>
      </c>
      <c r="C93" s="202"/>
      <c r="D93" s="189">
        <f t="shared" si="6"/>
        <v>0</v>
      </c>
      <c r="E93" s="204"/>
      <c r="F93" s="261"/>
      <c r="G93" s="221"/>
      <c r="H93" s="201"/>
      <c r="I93" s="202"/>
      <c r="J93" s="5"/>
      <c r="K93" s="181"/>
      <c r="L93" s="5"/>
      <c r="M93" s="5"/>
      <c r="N93" s="5"/>
      <c r="O93" s="205">
        <f>IF(O92+1&lt;=MIN('Données projet'!$E$9:$E$18),O92+1,"STOP")</f>
        <v>60</v>
      </c>
      <c r="P93" s="195">
        <f t="shared" si="5"/>
        <v>18.535142152992361</v>
      </c>
      <c r="Q93" s="264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0">
        <f>'Données projet'!A97</f>
        <v>60</v>
      </c>
      <c r="B94" s="191">
        <f>'Données projet'!D97</f>
        <v>25.200000000000003</v>
      </c>
      <c r="C94" s="202">
        <v>40</v>
      </c>
      <c r="D94" s="189">
        <f t="shared" si="6"/>
        <v>1008.0000000000001</v>
      </c>
      <c r="E94" s="204"/>
      <c r="F94" s="261"/>
      <c r="G94" s="221"/>
      <c r="H94" s="201"/>
      <c r="I94" s="202"/>
      <c r="J94" s="5"/>
      <c r="K94" s="181"/>
      <c r="L94" s="5"/>
      <c r="M94" s="5"/>
      <c r="N94" s="5"/>
      <c r="O94" s="205" t="str">
        <f>IF(O93+1&lt;=MIN('Données projet'!$E$9:$E$18),O93+1,"STOP")</f>
        <v>STOP</v>
      </c>
      <c r="P94" s="195" t="e">
        <f t="shared" si="5"/>
        <v>#VALUE!</v>
      </c>
      <c r="Q94" s="264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0">
        <f>'Données projet'!A98</f>
        <v>65</v>
      </c>
      <c r="B95" s="191">
        <f>'Données projet'!D98</f>
        <v>0</v>
      </c>
      <c r="C95" s="202"/>
      <c r="D95" s="189">
        <f t="shared" si="6"/>
        <v>0</v>
      </c>
      <c r="E95" s="204"/>
      <c r="F95" s="261"/>
      <c r="G95" s="221"/>
      <c r="H95" s="201"/>
      <c r="I95" s="202"/>
      <c r="J95" s="5"/>
      <c r="K95" s="181"/>
      <c r="L95" s="5"/>
      <c r="M95" s="5"/>
      <c r="N95" s="5"/>
      <c r="O95" s="205" t="e">
        <f>IF(O94+1&lt;=MIN('Données projet'!$E$9:$E$18),O94+1,"STOP")</f>
        <v>#VALUE!</v>
      </c>
      <c r="P95" s="195" t="e">
        <f t="shared" si="5"/>
        <v>#VALUE!</v>
      </c>
      <c r="Q95" s="264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0">
        <f>'Données projet'!A99</f>
        <v>70</v>
      </c>
      <c r="B96" s="191">
        <f>'Données projet'!D99</f>
        <v>20.9</v>
      </c>
      <c r="C96" s="202">
        <v>50</v>
      </c>
      <c r="D96" s="189">
        <f t="shared" si="6"/>
        <v>1045</v>
      </c>
      <c r="E96" s="204"/>
      <c r="F96" s="261"/>
      <c r="G96" s="221"/>
      <c r="H96" s="201"/>
      <c r="I96" s="202"/>
      <c r="J96" s="5"/>
      <c r="K96" s="181"/>
      <c r="L96" s="5"/>
      <c r="M96" s="5"/>
      <c r="N96" s="5"/>
      <c r="O96" s="205" t="e">
        <f>IF(O95+1&lt;=MIN('Données projet'!$E$9:$E$18),O95+1,"STOP")</f>
        <v>#VALUE!</v>
      </c>
      <c r="P96" s="195" t="e">
        <f t="shared" si="5"/>
        <v>#VALUE!</v>
      </c>
      <c r="Q96" s="264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0">
        <f>'Données projet'!A100</f>
        <v>75</v>
      </c>
      <c r="B97" s="191">
        <f>'Données projet'!D100</f>
        <v>0</v>
      </c>
      <c r="C97" s="202"/>
      <c r="D97" s="189">
        <f t="shared" si="6"/>
        <v>0</v>
      </c>
      <c r="E97" s="204"/>
      <c r="F97" s="261"/>
      <c r="G97" s="221"/>
      <c r="H97" s="201"/>
      <c r="I97" s="202"/>
      <c r="J97" s="5"/>
      <c r="K97" s="181"/>
      <c r="L97" s="5"/>
      <c r="M97" s="5"/>
      <c r="N97" s="5"/>
      <c r="O97" s="205" t="e">
        <f>IF(O96+1&lt;=MIN('Données projet'!$E$9:$E$18),O96+1,"STOP")</f>
        <v>#VALUE!</v>
      </c>
      <c r="P97" s="195" t="e">
        <f t="shared" ref="P97:P128" si="7">$P$25/(1+$M$4)^O97</f>
        <v>#VALUE!</v>
      </c>
      <c r="Q97" s="264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0">
        <f>'Données projet'!A101</f>
        <v>80</v>
      </c>
      <c r="B98" s="191">
        <f>'Données projet'!D101</f>
        <v>284.60000000000002</v>
      </c>
      <c r="C98" s="204">
        <v>60</v>
      </c>
      <c r="D98" s="189">
        <f t="shared" si="6"/>
        <v>17076</v>
      </c>
      <c r="E98" s="204"/>
      <c r="F98" s="261"/>
      <c r="G98" s="221"/>
      <c r="H98" s="201"/>
      <c r="I98" s="202"/>
      <c r="J98" s="5"/>
      <c r="K98" s="181"/>
      <c r="L98" s="5"/>
      <c r="M98" s="5"/>
      <c r="N98" s="5"/>
      <c r="O98" s="205" t="e">
        <f>IF(O97+1&lt;=MIN('Données projet'!$E$9:$E$18),O97+1,"STOP")</f>
        <v>#VALUE!</v>
      </c>
      <c r="P98" s="195" t="e">
        <f t="shared" si="7"/>
        <v>#VALUE!</v>
      </c>
      <c r="Q98" s="264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0">
        <f>'Données projet'!A102</f>
        <v>0</v>
      </c>
      <c r="B99" s="191">
        <f>'Données projet'!D102</f>
        <v>0</v>
      </c>
      <c r="C99" s="204"/>
      <c r="D99" s="189">
        <f t="shared" si="6"/>
        <v>0</v>
      </c>
      <c r="E99" s="204"/>
      <c r="F99" s="261"/>
      <c r="G99" s="221"/>
      <c r="H99" s="201"/>
      <c r="I99" s="202"/>
      <c r="J99" s="5"/>
      <c r="K99" s="181"/>
      <c r="L99" s="5"/>
      <c r="M99" s="5"/>
      <c r="N99" s="5"/>
      <c r="O99" s="205" t="e">
        <f>IF(O98+1&lt;=MIN('Données projet'!$E$9:$E$18),O98+1,"STOP")</f>
        <v>#VALUE!</v>
      </c>
      <c r="P99" s="195" t="e">
        <f t="shared" si="7"/>
        <v>#VALUE!</v>
      </c>
      <c r="Q99" s="264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0">
        <f>'Données projet'!A103</f>
        <v>0</v>
      </c>
      <c r="B100" s="191">
        <f>'Données projet'!D103</f>
        <v>0</v>
      </c>
      <c r="C100" s="204"/>
      <c r="D100" s="189">
        <f t="shared" si="6"/>
        <v>0</v>
      </c>
      <c r="E100" s="204"/>
      <c r="F100" s="261"/>
      <c r="G100" s="221"/>
      <c r="H100" s="201"/>
      <c r="I100" s="202"/>
      <c r="J100" s="5"/>
      <c r="K100" s="181"/>
      <c r="L100" s="5"/>
      <c r="M100" s="5"/>
      <c r="N100" s="5"/>
      <c r="O100" s="205" t="e">
        <f>IF(O99+1&lt;=MIN('Données projet'!$E$9:$E$18),O99+1,"STOP")</f>
        <v>#VALUE!</v>
      </c>
      <c r="P100" s="195" t="e">
        <f t="shared" si="7"/>
        <v>#VALUE!</v>
      </c>
      <c r="Q100" s="264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0">
        <f>'Données projet'!A104</f>
        <v>0</v>
      </c>
      <c r="B101" s="191">
        <f>'Données projet'!D104</f>
        <v>0</v>
      </c>
      <c r="C101" s="204"/>
      <c r="D101" s="189">
        <f t="shared" si="6"/>
        <v>0</v>
      </c>
      <c r="E101" s="204"/>
      <c r="F101" s="261"/>
      <c r="G101" s="221"/>
      <c r="H101" s="201"/>
      <c r="I101" s="202"/>
      <c r="J101" s="5"/>
      <c r="K101" s="181"/>
      <c r="L101" s="5"/>
      <c r="M101" s="5"/>
      <c r="N101" s="5"/>
      <c r="O101" s="205" t="e">
        <f>IF(O100+1&lt;=MIN('Données projet'!$E$9:$E$18),O100+1,"STOP")</f>
        <v>#VALUE!</v>
      </c>
      <c r="P101" s="195" t="e">
        <f t="shared" si="7"/>
        <v>#VALUE!</v>
      </c>
      <c r="Q101" s="264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0">
        <f>'Données projet'!A105</f>
        <v>0</v>
      </c>
      <c r="B102" s="191">
        <f>'Données projet'!D105</f>
        <v>0</v>
      </c>
      <c r="C102" s="204"/>
      <c r="D102" s="189">
        <f t="shared" si="6"/>
        <v>0</v>
      </c>
      <c r="E102" s="204"/>
      <c r="F102" s="261"/>
      <c r="G102" s="221"/>
      <c r="H102" s="201"/>
      <c r="I102" s="202"/>
      <c r="J102" s="5"/>
      <c r="K102" s="181"/>
      <c r="L102" s="5"/>
      <c r="M102" s="5"/>
      <c r="N102" s="5"/>
      <c r="O102" s="205" t="e">
        <f>IF(O101+1&lt;=MIN('Données projet'!$E$9:$E$18),O101+1,"STOP")</f>
        <v>#VALUE!</v>
      </c>
      <c r="P102" s="195" t="e">
        <f t="shared" si="7"/>
        <v>#VALUE!</v>
      </c>
      <c r="Q102" s="264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0">
        <f>'Données projet'!A106</f>
        <v>0</v>
      </c>
      <c r="B103" s="191">
        <f>'Données projet'!D106</f>
        <v>0</v>
      </c>
      <c r="C103" s="204"/>
      <c r="D103" s="189">
        <f t="shared" si="6"/>
        <v>0</v>
      </c>
      <c r="E103" s="204"/>
      <c r="F103" s="261"/>
      <c r="G103" s="221"/>
      <c r="H103" s="201"/>
      <c r="I103" s="202"/>
      <c r="J103" s="5"/>
      <c r="K103" s="181"/>
      <c r="L103" s="5"/>
      <c r="M103" s="5"/>
      <c r="N103" s="5"/>
      <c r="O103" s="205" t="e">
        <f>IF(O102+1&lt;=MIN('Données projet'!$E$9:$E$18),O102+1,"STOP")</f>
        <v>#VALUE!</v>
      </c>
      <c r="P103" s="195" t="e">
        <f t="shared" si="7"/>
        <v>#VALUE!</v>
      </c>
      <c r="Q103" s="264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0">
        <f>'Données projet'!A107</f>
        <v>0</v>
      </c>
      <c r="B104" s="191">
        <f>'Données projet'!D107</f>
        <v>0</v>
      </c>
      <c r="C104" s="204"/>
      <c r="D104" s="189">
        <f t="shared" si="6"/>
        <v>0</v>
      </c>
      <c r="E104" s="204"/>
      <c r="F104" s="261"/>
      <c r="G104" s="221"/>
      <c r="H104" s="201"/>
      <c r="I104" s="202"/>
      <c r="J104" s="5"/>
      <c r="K104" s="181"/>
      <c r="L104" s="5"/>
      <c r="M104" s="5"/>
      <c r="N104" s="5"/>
      <c r="O104" s="205" t="e">
        <f>IF(O103+1&lt;=MIN('Données projet'!$E$9:$E$18),O103+1,"STOP")</f>
        <v>#VALUE!</v>
      </c>
      <c r="P104" s="195" t="e">
        <f t="shared" si="7"/>
        <v>#VALUE!</v>
      </c>
      <c r="Q104" s="264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59"/>
      <c r="G105" s="221"/>
      <c r="H105" s="201"/>
      <c r="I105" s="202"/>
      <c r="J105" s="5"/>
      <c r="K105" s="181"/>
      <c r="L105" s="5"/>
      <c r="M105" s="5"/>
      <c r="N105" s="5"/>
      <c r="O105" s="205" t="e">
        <f>IF(O104+1&lt;=MIN('Données projet'!$E$9:$E$18),O104+1,"STOP")</f>
        <v>#VALUE!</v>
      </c>
      <c r="P105" s="195" t="e">
        <f t="shared" si="7"/>
        <v>#VALUE!</v>
      </c>
      <c r="Q105" s="264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59"/>
      <c r="G106" s="221"/>
      <c r="H106" s="201"/>
      <c r="I106" s="202"/>
      <c r="J106" s="5"/>
      <c r="K106" s="181"/>
      <c r="L106" s="5"/>
      <c r="M106" s="5"/>
      <c r="N106" s="5"/>
      <c r="O106" s="205" t="e">
        <f>IF(O105+1&lt;=MIN('Données projet'!$E$9:$E$18),O105+1,"STOP")</f>
        <v>#VALUE!</v>
      </c>
      <c r="P106" s="195" t="e">
        <f t="shared" si="7"/>
        <v>#VALUE!</v>
      </c>
      <c r="Q106" s="264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4" t="str">
        <f>IF('Données projet'!B12="","",'Données projet'!B12)</f>
        <v>Charme</v>
      </c>
      <c r="C107" s="5"/>
      <c r="D107" s="5"/>
      <c r="E107" s="5"/>
      <c r="F107" s="259"/>
      <c r="G107" s="221"/>
      <c r="H107" s="201"/>
      <c r="I107" s="202"/>
      <c r="J107" s="5"/>
      <c r="K107" s="181"/>
      <c r="L107" s="5"/>
      <c r="M107" s="5"/>
      <c r="N107" s="5"/>
      <c r="O107" s="205" t="e">
        <f>IF(O106+1&lt;=MIN('Données projet'!$E$9:$E$18),O106+1,"STOP")</f>
        <v>#VALUE!</v>
      </c>
      <c r="P107" s="195" t="e">
        <f t="shared" si="7"/>
        <v>#VALUE!</v>
      </c>
      <c r="Q107" s="264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59"/>
      <c r="G108" s="221"/>
      <c r="H108" s="201"/>
      <c r="I108" s="202"/>
      <c r="J108" s="5"/>
      <c r="K108" s="181"/>
      <c r="L108" s="5"/>
      <c r="M108" s="5"/>
      <c r="N108" s="5"/>
      <c r="O108" s="205" t="e">
        <f>IF(O107+1&lt;=MIN('Données projet'!$E$9:$E$18),O107+1,"STOP")</f>
        <v>#VALUE!</v>
      </c>
      <c r="P108" s="195" t="e">
        <f t="shared" si="7"/>
        <v>#VALUE!</v>
      </c>
      <c r="Q108" s="264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5" t="s">
        <v>180</v>
      </c>
      <c r="B109" s="51" t="s">
        <v>256</v>
      </c>
      <c r="C109" s="51" t="s">
        <v>255</v>
      </c>
      <c r="D109" s="255" t="s">
        <v>252</v>
      </c>
      <c r="E109" s="255" t="s">
        <v>320</v>
      </c>
      <c r="F109" s="260"/>
      <c r="G109" s="221"/>
      <c r="H109" s="201"/>
      <c r="I109" s="202"/>
      <c r="J109" s="5"/>
      <c r="K109" s="181"/>
      <c r="L109" s="5"/>
      <c r="M109" s="5"/>
      <c r="N109" s="5"/>
      <c r="O109" s="205" t="e">
        <f>IF(O108+1&lt;=MIN('Données projet'!$E$9:$E$18),O108+1,"STOP")</f>
        <v>#VALUE!</v>
      </c>
      <c r="P109" s="195" t="e">
        <f t="shared" si="7"/>
        <v>#VALUE!</v>
      </c>
      <c r="Q109" s="264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08">
        <v>0</v>
      </c>
      <c r="B110" s="211" t="s">
        <v>132</v>
      </c>
      <c r="C110" s="210" t="s">
        <v>132</v>
      </c>
      <c r="D110" s="209" t="s">
        <v>132</v>
      </c>
      <c r="E110" s="204"/>
      <c r="F110" s="260"/>
      <c r="G110" s="221"/>
      <c r="H110" s="201"/>
      <c r="I110" s="202"/>
      <c r="J110" s="5"/>
      <c r="K110" s="181"/>
      <c r="L110" s="5"/>
      <c r="M110" s="5"/>
      <c r="N110" s="5"/>
      <c r="O110" s="205" t="e">
        <f>IF(O109+1&lt;=MIN('Données projet'!$E$9:$E$18),O109+1,"STOP")</f>
        <v>#VALUE!</v>
      </c>
      <c r="P110" s="195" t="e">
        <f t="shared" si="7"/>
        <v>#VALUE!</v>
      </c>
      <c r="Q110" s="264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08">
        <v>1</v>
      </c>
      <c r="B111" s="211" t="s">
        <v>132</v>
      </c>
      <c r="C111" s="210" t="s">
        <v>132</v>
      </c>
      <c r="D111" s="209" t="s">
        <v>132</v>
      </c>
      <c r="E111" s="204"/>
      <c r="F111" s="260"/>
      <c r="G111" s="219"/>
      <c r="H111" s="201"/>
      <c r="I111" s="202"/>
      <c r="J111" s="5"/>
      <c r="K111" s="181"/>
      <c r="L111" s="5"/>
      <c r="M111" s="5"/>
      <c r="N111" s="5"/>
      <c r="O111" s="205" t="e">
        <f>IF(O110+1&lt;=MIN('Données projet'!$E$9:$E$18),O110+1,"STOP")</f>
        <v>#VALUE!</v>
      </c>
      <c r="P111" s="195" t="e">
        <f t="shared" si="7"/>
        <v>#VALUE!</v>
      </c>
      <c r="Q111" s="264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08">
        <v>2</v>
      </c>
      <c r="B112" s="211" t="s">
        <v>132</v>
      </c>
      <c r="C112" s="210" t="s">
        <v>132</v>
      </c>
      <c r="D112" s="209" t="s">
        <v>132</v>
      </c>
      <c r="E112" s="204"/>
      <c r="F112" s="260"/>
      <c r="G112" s="219"/>
      <c r="H112" s="201"/>
      <c r="I112" s="202"/>
      <c r="J112" s="5"/>
      <c r="K112" s="181"/>
      <c r="L112" s="5"/>
      <c r="M112" s="5"/>
      <c r="N112" s="5"/>
      <c r="O112" s="205" t="e">
        <f>IF(O111+1&lt;=MIN('Données projet'!$E$9:$E$18),O111+1,"STOP")</f>
        <v>#VALUE!</v>
      </c>
      <c r="P112" s="195" t="e">
        <f t="shared" si="7"/>
        <v>#VALUE!</v>
      </c>
      <c r="Q112" s="264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08">
        <v>3</v>
      </c>
      <c r="B113" s="211" t="s">
        <v>132</v>
      </c>
      <c r="C113" s="210" t="s">
        <v>132</v>
      </c>
      <c r="D113" s="209" t="s">
        <v>132</v>
      </c>
      <c r="E113" s="204"/>
      <c r="F113" s="260"/>
      <c r="G113" s="219"/>
      <c r="H113" s="201"/>
      <c r="I113" s="202"/>
      <c r="J113" s="5"/>
      <c r="K113" s="181"/>
      <c r="L113" s="5"/>
      <c r="M113" s="5"/>
      <c r="N113" s="5"/>
      <c r="O113" s="205" t="e">
        <f>IF(O112+1&lt;=MIN('Données projet'!$E$9:$E$18),O112+1,"STOP")</f>
        <v>#VALUE!</v>
      </c>
      <c r="P113" s="195" t="e">
        <f t="shared" si="7"/>
        <v>#VALUE!</v>
      </c>
      <c r="Q113" s="264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08">
        <v>4</v>
      </c>
      <c r="B114" s="211" t="s">
        <v>132</v>
      </c>
      <c r="C114" s="210" t="s">
        <v>132</v>
      </c>
      <c r="D114" s="209" t="s">
        <v>132</v>
      </c>
      <c r="E114" s="204"/>
      <c r="F114" s="260"/>
      <c r="G114" s="219"/>
      <c r="H114" s="201"/>
      <c r="I114" s="202"/>
      <c r="J114" s="5"/>
      <c r="K114" s="181"/>
      <c r="L114" s="5"/>
      <c r="M114" s="5"/>
      <c r="N114" s="5"/>
      <c r="O114" s="205" t="e">
        <f>IF(O113+1&lt;=MIN('Données projet'!$E$9:$E$18),O113+1,"STOP")</f>
        <v>#VALUE!</v>
      </c>
      <c r="P114" s="195" t="e">
        <f t="shared" si="7"/>
        <v>#VALUE!</v>
      </c>
      <c r="Q114" s="264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08">
        <v>5</v>
      </c>
      <c r="B115" s="211" t="s">
        <v>132</v>
      </c>
      <c r="C115" s="210" t="s">
        <v>132</v>
      </c>
      <c r="D115" s="209" t="s">
        <v>132</v>
      </c>
      <c r="E115" s="204"/>
      <c r="F115" s="260"/>
      <c r="G115" s="220"/>
      <c r="H115" s="201"/>
      <c r="I115" s="202"/>
      <c r="J115" s="5"/>
      <c r="K115" s="181"/>
      <c r="L115" s="5"/>
      <c r="M115" s="5"/>
      <c r="N115" s="5"/>
      <c r="O115" s="205" t="e">
        <f>IF(O114+1&lt;=MIN('Données projet'!$E$9:$E$18),O114+1,"STOP")</f>
        <v>#VALUE!</v>
      </c>
      <c r="P115" s="195" t="e">
        <f t="shared" si="7"/>
        <v>#VALUE!</v>
      </c>
      <c r="Q115" s="264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0">
        <f>'Données projet'!A114</f>
        <v>15</v>
      </c>
      <c r="B116" s="191">
        <f>'Données projet'!D114</f>
        <v>0</v>
      </c>
      <c r="C116" s="202"/>
      <c r="D116" s="189">
        <f>B116*C116</f>
        <v>0</v>
      </c>
      <c r="E116" s="204"/>
      <c r="F116" s="261"/>
      <c r="G116" s="220"/>
      <c r="H116" s="201"/>
      <c r="I116" s="202"/>
      <c r="J116" s="5"/>
      <c r="K116" s="181"/>
      <c r="L116" s="5"/>
      <c r="M116" s="5"/>
      <c r="N116" s="5"/>
      <c r="O116" s="205" t="e">
        <f>IF(O115+1&lt;=MIN('Données projet'!$E$9:$E$18),O115+1,"STOP")</f>
        <v>#VALUE!</v>
      </c>
      <c r="P116" s="195" t="e">
        <f t="shared" si="7"/>
        <v>#VALUE!</v>
      </c>
      <c r="Q116" s="264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0">
        <f>'Données projet'!A115</f>
        <v>20</v>
      </c>
      <c r="B117" s="191">
        <f>'Données projet'!D115</f>
        <v>0</v>
      </c>
      <c r="C117" s="202"/>
      <c r="D117" s="189">
        <f t="shared" ref="D117:D135" si="8">B117*C117</f>
        <v>0</v>
      </c>
      <c r="E117" s="204"/>
      <c r="F117" s="261"/>
      <c r="G117" s="220"/>
      <c r="H117" s="201"/>
      <c r="I117" s="202"/>
      <c r="J117" s="5"/>
      <c r="K117" s="181"/>
      <c r="L117" s="5"/>
      <c r="M117" s="5"/>
      <c r="N117" s="5"/>
      <c r="O117" s="205" t="e">
        <f>IF(O116+1&lt;=MIN('Données projet'!$E$9:$E$18),O116+1,"STOP")</f>
        <v>#VALUE!</v>
      </c>
      <c r="P117" s="195" t="e">
        <f t="shared" si="7"/>
        <v>#VALUE!</v>
      </c>
      <c r="Q117" s="264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0">
        <f>'Données projet'!A116</f>
        <v>25</v>
      </c>
      <c r="B118" s="191">
        <f>'Données projet'!D116</f>
        <v>35.897435897435898</v>
      </c>
      <c r="C118" s="202">
        <v>10</v>
      </c>
      <c r="D118" s="189">
        <f t="shared" si="8"/>
        <v>358.97435897435901</v>
      </c>
      <c r="E118" s="204"/>
      <c r="F118" s="261"/>
      <c r="G118" s="220"/>
      <c r="H118" s="201"/>
      <c r="I118" s="202"/>
      <c r="J118" s="5"/>
      <c r="K118" s="181"/>
      <c r="L118" s="5"/>
      <c r="M118" s="5"/>
      <c r="N118" s="5"/>
      <c r="O118" s="205" t="e">
        <f>IF(O117+1&lt;=MIN('Données projet'!$E$9:$E$18),O117+1,"STOP")</f>
        <v>#VALUE!</v>
      </c>
      <c r="P118" s="195" t="e">
        <f t="shared" si="7"/>
        <v>#VALUE!</v>
      </c>
      <c r="Q118" s="264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0">
        <f>'Données projet'!A117</f>
        <v>30</v>
      </c>
      <c r="B119" s="191">
        <f>'Données projet'!D117</f>
        <v>0</v>
      </c>
      <c r="C119" s="202"/>
      <c r="D119" s="189">
        <f t="shared" si="8"/>
        <v>0</v>
      </c>
      <c r="E119" s="204"/>
      <c r="F119" s="261"/>
      <c r="G119" s="220"/>
      <c r="H119" s="201"/>
      <c r="I119" s="202"/>
      <c r="J119" s="5"/>
      <c r="K119" s="181"/>
      <c r="L119" s="5"/>
      <c r="M119" s="5"/>
      <c r="N119" s="5"/>
      <c r="O119" s="205" t="e">
        <f>IF(O118+1&lt;=MIN('Données projet'!$E$9:$E$18),O118+1,"STOP")</f>
        <v>#VALUE!</v>
      </c>
      <c r="P119" s="195" t="e">
        <f t="shared" si="7"/>
        <v>#VALUE!</v>
      </c>
      <c r="Q119" s="264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0">
        <f>'Données projet'!A118</f>
        <v>35</v>
      </c>
      <c r="B120" s="191">
        <f>'Données projet'!D118</f>
        <v>33.333333333333336</v>
      </c>
      <c r="C120" s="202">
        <v>10</v>
      </c>
      <c r="D120" s="189">
        <f t="shared" si="8"/>
        <v>333.33333333333337</v>
      </c>
      <c r="E120" s="204"/>
      <c r="F120" s="261"/>
      <c r="G120" s="220"/>
      <c r="H120" s="201"/>
      <c r="I120" s="202"/>
      <c r="J120" s="5"/>
      <c r="K120" s="181"/>
      <c r="L120" s="5"/>
      <c r="M120" s="5"/>
      <c r="N120" s="5"/>
      <c r="O120" s="205" t="e">
        <f>IF(O119+1&lt;=MIN('Données projet'!$E$9:$E$18),O119+1,"STOP")</f>
        <v>#VALUE!</v>
      </c>
      <c r="P120" s="195" t="e">
        <f t="shared" si="7"/>
        <v>#VALUE!</v>
      </c>
      <c r="Q120" s="264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0">
        <f>'Données projet'!A119</f>
        <v>40</v>
      </c>
      <c r="B121" s="191">
        <f>'Données projet'!D119</f>
        <v>0</v>
      </c>
      <c r="C121" s="202"/>
      <c r="D121" s="189">
        <f t="shared" si="8"/>
        <v>0</v>
      </c>
      <c r="E121" s="204"/>
      <c r="F121" s="261"/>
      <c r="G121" s="220"/>
      <c r="H121" s="201"/>
      <c r="I121" s="202"/>
      <c r="J121" s="5"/>
      <c r="K121" s="181"/>
      <c r="L121" s="5"/>
      <c r="M121" s="5"/>
      <c r="N121" s="5"/>
      <c r="O121" s="205" t="e">
        <f>IF(O120+1&lt;=MIN('Données projet'!$E$9:$E$18),O120+1,"STOP")</f>
        <v>#VALUE!</v>
      </c>
      <c r="P121" s="195" t="e">
        <f t="shared" si="7"/>
        <v>#VALUE!</v>
      </c>
      <c r="Q121" s="264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0">
        <f>'Données projet'!A120</f>
        <v>45</v>
      </c>
      <c r="B122" s="191">
        <f>'Données projet'!D120</f>
        <v>34.615384615384613</v>
      </c>
      <c r="C122" s="202">
        <v>15</v>
      </c>
      <c r="D122" s="189">
        <f t="shared" si="8"/>
        <v>519.23076923076917</v>
      </c>
      <c r="E122" s="204"/>
      <c r="F122" s="261"/>
      <c r="G122" s="221"/>
      <c r="H122" s="201"/>
      <c r="I122" s="202"/>
      <c r="J122" s="5"/>
      <c r="K122" s="181"/>
      <c r="L122" s="5"/>
      <c r="M122" s="5"/>
      <c r="N122" s="5"/>
      <c r="O122" s="205" t="e">
        <f>IF(O121+1&lt;=MIN('Données projet'!$E$9:$E$18),O121+1,"STOP")</f>
        <v>#VALUE!</v>
      </c>
      <c r="P122" s="195" t="e">
        <f t="shared" si="7"/>
        <v>#VALUE!</v>
      </c>
      <c r="Q122" s="264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0">
        <f>'Données projet'!A121</f>
        <v>50</v>
      </c>
      <c r="B123" s="191">
        <f>'Données projet'!D121</f>
        <v>0</v>
      </c>
      <c r="C123" s="202"/>
      <c r="D123" s="189">
        <f t="shared" si="8"/>
        <v>0</v>
      </c>
      <c r="E123" s="204"/>
      <c r="F123" s="261"/>
      <c r="G123" s="221"/>
      <c r="H123" s="201"/>
      <c r="I123" s="202"/>
      <c r="J123" s="5"/>
      <c r="K123" s="181"/>
      <c r="L123" s="5"/>
      <c r="M123" s="5"/>
      <c r="N123" s="5"/>
      <c r="O123" s="205" t="e">
        <f>IF(O122+1&lt;=MIN('Données projet'!$E$9:$E$18),O122+1,"STOP")</f>
        <v>#VALUE!</v>
      </c>
      <c r="P123" s="195" t="e">
        <f t="shared" si="7"/>
        <v>#VALUE!</v>
      </c>
      <c r="Q123" s="264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0">
        <f>'Données projet'!A122</f>
        <v>55</v>
      </c>
      <c r="B124" s="191">
        <f>'Données projet'!D122</f>
        <v>34.615384615384613</v>
      </c>
      <c r="C124" s="202">
        <v>20</v>
      </c>
      <c r="D124" s="189">
        <f t="shared" si="8"/>
        <v>692.30769230769226</v>
      </c>
      <c r="E124" s="204"/>
      <c r="F124" s="261"/>
      <c r="G124" s="221"/>
      <c r="H124" s="201"/>
      <c r="I124" s="202"/>
      <c r="J124" s="5"/>
      <c r="K124" s="181"/>
      <c r="L124" s="5"/>
      <c r="M124" s="5"/>
      <c r="N124" s="5"/>
      <c r="O124" s="205" t="e">
        <f>IF(O123+1&lt;=MIN('Données projet'!$E$9:$E$18),O123+1,"STOP")</f>
        <v>#VALUE!</v>
      </c>
      <c r="P124" s="195" t="e">
        <f t="shared" si="7"/>
        <v>#VALUE!</v>
      </c>
      <c r="Q124" s="264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0">
        <f>'Données projet'!A123</f>
        <v>60</v>
      </c>
      <c r="B125" s="191">
        <f>'Données projet'!D123</f>
        <v>0</v>
      </c>
      <c r="C125" s="202"/>
      <c r="D125" s="189">
        <f t="shared" si="8"/>
        <v>0</v>
      </c>
      <c r="E125" s="204"/>
      <c r="F125" s="261"/>
      <c r="G125" s="221"/>
      <c r="H125" s="201"/>
      <c r="I125" s="202"/>
      <c r="J125" s="5"/>
      <c r="K125" s="181"/>
      <c r="L125" s="5"/>
      <c r="M125" s="5"/>
      <c r="N125" s="5"/>
      <c r="O125" s="205" t="e">
        <f>IF(O124+1&lt;=MIN('Données projet'!$E$9:$E$18),O124+1,"STOP")</f>
        <v>#VALUE!</v>
      </c>
      <c r="P125" s="195" t="e">
        <f t="shared" si="7"/>
        <v>#VALUE!</v>
      </c>
      <c r="Q125" s="264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0">
        <f>'Données projet'!A124</f>
        <v>65</v>
      </c>
      <c r="B126" s="191">
        <f>'Données projet'!D124</f>
        <v>32.692307692307693</v>
      </c>
      <c r="C126" s="202">
        <v>20</v>
      </c>
      <c r="D126" s="189">
        <f t="shared" si="8"/>
        <v>653.84615384615381</v>
      </c>
      <c r="E126" s="204"/>
      <c r="F126" s="261"/>
      <c r="G126" s="221"/>
      <c r="H126" s="201"/>
      <c r="I126" s="202"/>
      <c r="J126" s="5"/>
      <c r="K126" s="181"/>
      <c r="L126" s="5"/>
      <c r="M126" s="5"/>
      <c r="N126" s="5"/>
      <c r="O126" s="205" t="e">
        <f>IF(O125+1&lt;=MIN('Données projet'!$E$9:$E$18),O125+1,"STOP")</f>
        <v>#VALUE!</v>
      </c>
      <c r="P126" s="195" t="e">
        <f t="shared" si="7"/>
        <v>#VALUE!</v>
      </c>
      <c r="Q126" s="264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0">
        <f>'Données projet'!A125</f>
        <v>70</v>
      </c>
      <c r="B127" s="191">
        <f>'Données projet'!D125</f>
        <v>0</v>
      </c>
      <c r="C127" s="202"/>
      <c r="D127" s="189">
        <f t="shared" si="8"/>
        <v>0</v>
      </c>
      <c r="E127" s="204"/>
      <c r="F127" s="261"/>
      <c r="G127" s="221"/>
      <c r="H127" s="201"/>
      <c r="I127" s="202"/>
      <c r="J127" s="5"/>
      <c r="K127" s="181"/>
      <c r="L127" s="5"/>
      <c r="M127" s="5"/>
      <c r="N127" s="5"/>
      <c r="O127" s="205" t="e">
        <f>IF(O126+1&lt;=MIN('Données projet'!$E$9:$E$18),O126+1,"STOP")</f>
        <v>#VALUE!</v>
      </c>
      <c r="P127" s="195" t="e">
        <f t="shared" si="7"/>
        <v>#VALUE!</v>
      </c>
      <c r="Q127" s="264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0">
        <f>'Données projet'!A126</f>
        <v>75</v>
      </c>
      <c r="B128" s="191">
        <f>'Données projet'!D126</f>
        <v>30.769230769230766</v>
      </c>
      <c r="C128" s="202">
        <v>25</v>
      </c>
      <c r="D128" s="189">
        <f t="shared" si="8"/>
        <v>769.23076923076917</v>
      </c>
      <c r="E128" s="204"/>
      <c r="F128" s="261"/>
      <c r="G128" s="221"/>
      <c r="H128" s="201"/>
      <c r="I128" s="202"/>
      <c r="J128" s="5"/>
      <c r="K128" s="181"/>
      <c r="L128" s="5"/>
      <c r="M128" s="5"/>
      <c r="N128" s="5"/>
      <c r="O128" s="205" t="e">
        <f>IF(O127+1&lt;=MIN('Données projet'!$E$9:$E$18),O127+1,"STOP")</f>
        <v>#VALUE!</v>
      </c>
      <c r="P128" s="195" t="e">
        <f t="shared" si="7"/>
        <v>#VALUE!</v>
      </c>
      <c r="Q128" s="264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0">
        <f>'Données projet'!A127</f>
        <v>80</v>
      </c>
      <c r="B129" s="191">
        <f>'Données projet'!D127</f>
        <v>0</v>
      </c>
      <c r="C129" s="202"/>
      <c r="D129" s="189">
        <f t="shared" si="8"/>
        <v>0</v>
      </c>
      <c r="E129" s="204"/>
      <c r="F129" s="261"/>
      <c r="G129" s="221"/>
      <c r="H129" s="201"/>
      <c r="I129" s="202"/>
      <c r="J129" s="5"/>
      <c r="K129" s="181"/>
      <c r="L129" s="5"/>
      <c r="M129" s="5"/>
      <c r="N129" s="5"/>
      <c r="O129" s="205" t="e">
        <f>IF(O128+1&lt;=MIN('Données projet'!$E$9:$E$18),O128+1,"STOP")</f>
        <v>#VALUE!</v>
      </c>
      <c r="P129" s="195" t="e">
        <f t="shared" ref="P129:P132" si="9">$P$25/(1+$M$4)^O129</f>
        <v>#VALUE!</v>
      </c>
      <c r="Q129" s="264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0">
        <f>'Données projet'!A128</f>
        <v>85</v>
      </c>
      <c r="B130" s="191">
        <f>'Données projet'!D128</f>
        <v>28.846153846153847</v>
      </c>
      <c r="C130" s="202">
        <v>30</v>
      </c>
      <c r="D130" s="189">
        <f t="shared" si="8"/>
        <v>865.38461538461536</v>
      </c>
      <c r="E130" s="204"/>
      <c r="F130" s="261"/>
      <c r="G130" s="221"/>
      <c r="H130" s="201"/>
      <c r="I130" s="202"/>
      <c r="J130" s="5"/>
      <c r="K130" s="181"/>
      <c r="L130" s="5"/>
      <c r="M130" s="5"/>
      <c r="N130" s="5"/>
      <c r="O130" s="205" t="e">
        <f>IF(O129+1&lt;=MIN('Données projet'!$E$9:$E$18),O129+1,"STOP")</f>
        <v>#VALUE!</v>
      </c>
      <c r="P130" s="195" t="e">
        <f t="shared" si="9"/>
        <v>#VALUE!</v>
      </c>
      <c r="Q130" s="264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0">
        <f>'Données projet'!A129</f>
        <v>90</v>
      </c>
      <c r="B131" s="191">
        <f>'Données projet'!D129</f>
        <v>0</v>
      </c>
      <c r="C131" s="204"/>
      <c r="D131" s="189">
        <f t="shared" si="8"/>
        <v>0</v>
      </c>
      <c r="E131" s="204"/>
      <c r="F131" s="261"/>
      <c r="G131" s="221"/>
      <c r="H131" s="201"/>
      <c r="I131" s="202"/>
      <c r="J131" s="5"/>
      <c r="K131" s="181"/>
      <c r="L131" s="5"/>
      <c r="M131" s="5"/>
      <c r="N131" s="5"/>
      <c r="O131" s="205" t="e">
        <f>IF(O130+1&lt;=MIN('Données projet'!$E$9:$E$18),O130+1,"STOP")</f>
        <v>#VALUE!</v>
      </c>
      <c r="P131" s="195" t="e">
        <f t="shared" si="9"/>
        <v>#VALUE!</v>
      </c>
      <c r="Q131" s="264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0">
        <f>'Données projet'!A130</f>
        <v>95</v>
      </c>
      <c r="B132" s="191">
        <f>'Données projet'!D130</f>
        <v>27.564102564102562</v>
      </c>
      <c r="C132" s="204">
        <v>35</v>
      </c>
      <c r="D132" s="189">
        <f t="shared" si="8"/>
        <v>964.74358974358972</v>
      </c>
      <c r="E132" s="204"/>
      <c r="F132" s="261"/>
      <c r="G132" s="221"/>
      <c r="H132" s="201"/>
      <c r="I132" s="202"/>
      <c r="J132" s="5"/>
      <c r="K132" s="181"/>
      <c r="L132" s="5"/>
      <c r="M132" s="5"/>
      <c r="N132" s="5"/>
      <c r="O132" s="205" t="e">
        <f>IF(O131+1&lt;=MIN('Données projet'!$E$9:$E$18),O131+1,"STOP")</f>
        <v>#VALUE!</v>
      </c>
      <c r="P132" s="195" t="e">
        <f t="shared" si="9"/>
        <v>#VALUE!</v>
      </c>
      <c r="Q132" s="264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0">
        <f>'Données projet'!A131</f>
        <v>100</v>
      </c>
      <c r="B133" s="191">
        <f>'Données projet'!D131</f>
        <v>0</v>
      </c>
      <c r="C133" s="204"/>
      <c r="D133" s="189">
        <f t="shared" si="8"/>
        <v>0</v>
      </c>
      <c r="E133" s="204"/>
      <c r="F133" s="261"/>
      <c r="G133" s="221"/>
      <c r="H133" s="201"/>
      <c r="I133" s="202"/>
      <c r="J133" s="5"/>
      <c r="K133" s="181"/>
      <c r="Q133" s="264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0">
        <f>'Données projet'!A132</f>
        <v>110</v>
      </c>
      <c r="B134" s="191">
        <f>'Données projet'!D132</f>
        <v>37.820512820512818</v>
      </c>
      <c r="C134" s="204">
        <v>40</v>
      </c>
      <c r="D134" s="189">
        <f t="shared" si="8"/>
        <v>1512.8205128205127</v>
      </c>
      <c r="E134" s="204"/>
      <c r="F134" s="261"/>
      <c r="G134" s="221"/>
      <c r="H134" s="201"/>
      <c r="I134" s="202"/>
      <c r="J134" s="5"/>
      <c r="K134" s="181"/>
      <c r="Q134" s="264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0">
        <f>'Données projet'!A133</f>
        <v>120</v>
      </c>
      <c r="B135" s="191">
        <f>'Données projet'!D133</f>
        <v>285.89743589743591</v>
      </c>
      <c r="C135" s="204">
        <v>50</v>
      </c>
      <c r="D135" s="189">
        <f t="shared" si="8"/>
        <v>14294.871794871795</v>
      </c>
      <c r="E135" s="204"/>
      <c r="F135" s="261"/>
      <c r="G135" s="221"/>
      <c r="H135" s="201"/>
      <c r="I135" s="202"/>
      <c r="J135" s="5"/>
      <c r="K135" s="181"/>
      <c r="Q135" s="264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59"/>
      <c r="G136" s="221"/>
      <c r="H136" s="201"/>
      <c r="I136" s="202"/>
      <c r="J136" s="5"/>
      <c r="K136" s="181"/>
      <c r="L136" s="5"/>
      <c r="M136" s="5"/>
      <c r="N136" s="5"/>
      <c r="Q136" s="264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59"/>
      <c r="G137" s="221"/>
      <c r="H137" s="201"/>
      <c r="I137" s="202"/>
      <c r="J137" s="5"/>
      <c r="K137" s="181"/>
      <c r="L137" s="5"/>
      <c r="M137" s="5"/>
      <c r="N137" s="5"/>
      <c r="Q137" s="264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4" t="str">
        <f>IF('Données projet'!B13="","",'Données projet'!B13)</f>
        <v>Châtaignier</v>
      </c>
      <c r="C138" s="5"/>
      <c r="D138" s="5"/>
      <c r="E138" s="5"/>
      <c r="F138" s="259"/>
      <c r="G138" s="221"/>
      <c r="H138" s="201"/>
      <c r="I138" s="202"/>
      <c r="J138" s="5"/>
      <c r="K138" s="181"/>
      <c r="L138" s="5"/>
      <c r="M138" s="5"/>
      <c r="N138" s="5"/>
      <c r="Q138" s="264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59"/>
      <c r="G139" s="221"/>
      <c r="H139" s="201"/>
      <c r="I139" s="202"/>
      <c r="J139" s="5"/>
      <c r="K139" s="181"/>
      <c r="L139" s="5"/>
      <c r="M139" s="5"/>
      <c r="N139" s="5"/>
      <c r="Q139" s="264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5" t="s">
        <v>180</v>
      </c>
      <c r="B140" s="51" t="s">
        <v>256</v>
      </c>
      <c r="C140" s="51" t="s">
        <v>255</v>
      </c>
      <c r="D140" s="255" t="s">
        <v>252</v>
      </c>
      <c r="E140" s="255" t="s">
        <v>320</v>
      </c>
      <c r="F140" s="260"/>
      <c r="G140" s="221"/>
      <c r="H140" s="201"/>
      <c r="I140" s="202"/>
      <c r="J140" s="5"/>
      <c r="K140" s="181"/>
      <c r="L140" s="5"/>
      <c r="M140" s="5"/>
      <c r="N140" s="5"/>
      <c r="Q140" s="264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08">
        <v>0</v>
      </c>
      <c r="B141" s="211" t="s">
        <v>132</v>
      </c>
      <c r="C141" s="210" t="s">
        <v>132</v>
      </c>
      <c r="D141" s="209" t="s">
        <v>132</v>
      </c>
      <c r="E141" s="204"/>
      <c r="F141" s="260"/>
      <c r="G141" s="221"/>
      <c r="H141" s="201"/>
      <c r="I141" s="202"/>
      <c r="J141" s="5"/>
      <c r="K141" s="181"/>
      <c r="L141" s="5"/>
      <c r="M141" s="5"/>
      <c r="N141" s="5"/>
      <c r="Q141" s="264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08">
        <v>1</v>
      </c>
      <c r="B142" s="211" t="s">
        <v>132</v>
      </c>
      <c r="C142" s="210" t="s">
        <v>132</v>
      </c>
      <c r="D142" s="209" t="s">
        <v>132</v>
      </c>
      <c r="E142" s="204"/>
      <c r="F142" s="260"/>
      <c r="G142" s="219"/>
      <c r="H142" s="201"/>
      <c r="I142" s="202"/>
      <c r="J142" s="5"/>
      <c r="K142" s="181"/>
      <c r="L142" s="5"/>
      <c r="M142" s="5"/>
      <c r="N142" s="5"/>
      <c r="Q142" s="264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08">
        <v>2</v>
      </c>
      <c r="B143" s="211" t="s">
        <v>132</v>
      </c>
      <c r="C143" s="210" t="s">
        <v>132</v>
      </c>
      <c r="D143" s="209" t="s">
        <v>132</v>
      </c>
      <c r="E143" s="204"/>
      <c r="F143" s="260"/>
      <c r="G143" s="219"/>
      <c r="H143" s="201"/>
      <c r="I143" s="202"/>
      <c r="J143" s="5"/>
      <c r="K143" s="181"/>
      <c r="L143" s="5"/>
      <c r="M143" s="5"/>
      <c r="N143" s="5"/>
      <c r="Q143" s="264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08">
        <v>3</v>
      </c>
      <c r="B144" s="211" t="s">
        <v>132</v>
      </c>
      <c r="C144" s="210" t="s">
        <v>132</v>
      </c>
      <c r="D144" s="209" t="s">
        <v>132</v>
      </c>
      <c r="E144" s="204"/>
      <c r="F144" s="260"/>
      <c r="G144" s="219"/>
      <c r="H144" s="201"/>
      <c r="I144" s="202"/>
      <c r="J144" s="5"/>
      <c r="K144" s="181"/>
      <c r="L144" s="5"/>
      <c r="M144" s="5"/>
      <c r="N144" s="5"/>
      <c r="Q144" s="264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08">
        <v>4</v>
      </c>
      <c r="B145" s="211" t="s">
        <v>132</v>
      </c>
      <c r="C145" s="210" t="s">
        <v>132</v>
      </c>
      <c r="D145" s="209" t="s">
        <v>132</v>
      </c>
      <c r="E145" s="204"/>
      <c r="F145" s="260"/>
      <c r="G145" s="219"/>
      <c r="H145" s="201"/>
      <c r="I145" s="202"/>
      <c r="J145" s="5"/>
      <c r="K145" s="181"/>
      <c r="L145" s="5"/>
      <c r="M145" s="5"/>
      <c r="N145" s="5"/>
      <c r="Q145" s="264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08">
        <v>5</v>
      </c>
      <c r="B146" s="211" t="s">
        <v>132</v>
      </c>
      <c r="C146" s="210" t="s">
        <v>132</v>
      </c>
      <c r="D146" s="209" t="s">
        <v>132</v>
      </c>
      <c r="E146" s="204"/>
      <c r="F146" s="260"/>
      <c r="G146" s="220"/>
      <c r="H146" s="201"/>
      <c r="I146" s="202"/>
      <c r="J146" s="5"/>
      <c r="K146" s="181"/>
      <c r="L146" s="5"/>
      <c r="M146" s="5"/>
      <c r="N146" s="5"/>
      <c r="Q146" s="264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10</v>
      </c>
      <c r="B147" s="185">
        <f>'Données projet'!D140</f>
        <v>0</v>
      </c>
      <c r="C147" s="202"/>
      <c r="D147" s="192">
        <f>B147*C147</f>
        <v>0</v>
      </c>
      <c r="E147" s="204"/>
      <c r="F147" s="262"/>
      <c r="G147" s="220"/>
      <c r="H147" s="201"/>
      <c r="I147" s="202"/>
      <c r="J147" s="5"/>
      <c r="K147" s="181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15</v>
      </c>
      <c r="B148" s="185">
        <f>'Données projet'!D141</f>
        <v>0</v>
      </c>
      <c r="C148" s="202"/>
      <c r="D148" s="192">
        <f t="shared" ref="D148:D166" si="10">B148*C148</f>
        <v>0</v>
      </c>
      <c r="E148" s="204"/>
      <c r="F148" s="262"/>
      <c r="G148" s="220"/>
      <c r="H148" s="201"/>
      <c r="I148" s="202"/>
      <c r="J148" s="5"/>
      <c r="K148" s="181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20</v>
      </c>
      <c r="B149" s="185">
        <f>'Données projet'!D142</f>
        <v>66.5</v>
      </c>
      <c r="C149" s="202">
        <v>10</v>
      </c>
      <c r="D149" s="192">
        <f t="shared" si="10"/>
        <v>665</v>
      </c>
      <c r="E149" s="204"/>
      <c r="F149" s="262"/>
      <c r="G149" s="220"/>
      <c r="H149" s="201"/>
      <c r="I149" s="202"/>
      <c r="J149" s="5"/>
      <c r="K149" s="181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25</v>
      </c>
      <c r="B150" s="185">
        <f>'Données projet'!D143</f>
        <v>0</v>
      </c>
      <c r="C150" s="202"/>
      <c r="D150" s="192">
        <f t="shared" si="10"/>
        <v>0</v>
      </c>
      <c r="E150" s="204"/>
      <c r="F150" s="262"/>
      <c r="G150" s="220"/>
      <c r="H150" s="201"/>
      <c r="I150" s="202"/>
      <c r="J150" s="5"/>
      <c r="K150" s="181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30</v>
      </c>
      <c r="B151" s="185">
        <f>'Données projet'!D144</f>
        <v>70</v>
      </c>
      <c r="C151" s="202">
        <v>15</v>
      </c>
      <c r="D151" s="192">
        <f t="shared" si="10"/>
        <v>1050</v>
      </c>
      <c r="E151" s="204"/>
      <c r="F151" s="262"/>
      <c r="G151" s="220"/>
      <c r="H151" s="201"/>
      <c r="I151" s="202"/>
      <c r="J151" s="5"/>
      <c r="K151" s="181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35</v>
      </c>
      <c r="B152" s="185">
        <f>'Données projet'!D145</f>
        <v>0</v>
      </c>
      <c r="C152" s="202"/>
      <c r="D152" s="192">
        <f t="shared" si="10"/>
        <v>0</v>
      </c>
      <c r="E152" s="204"/>
      <c r="F152" s="262"/>
      <c r="G152" s="220"/>
      <c r="H152" s="201"/>
      <c r="I152" s="202"/>
      <c r="J152" s="5"/>
      <c r="K152" s="181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40</v>
      </c>
      <c r="B153" s="185">
        <f>'Données projet'!D146</f>
        <v>70</v>
      </c>
      <c r="C153" s="202">
        <v>20</v>
      </c>
      <c r="D153" s="192">
        <f t="shared" si="10"/>
        <v>1400</v>
      </c>
      <c r="E153" s="204"/>
      <c r="F153" s="262"/>
      <c r="G153" s="216"/>
      <c r="H153" s="201"/>
      <c r="I153" s="202"/>
      <c r="J153" s="5"/>
      <c r="K153" s="181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45</v>
      </c>
      <c r="B154" s="185">
        <f>'Données projet'!D147</f>
        <v>0</v>
      </c>
      <c r="C154" s="202"/>
      <c r="D154" s="192">
        <f t="shared" si="10"/>
        <v>0</v>
      </c>
      <c r="E154" s="204"/>
      <c r="F154" s="262"/>
      <c r="G154" s="216"/>
      <c r="H154" s="201"/>
      <c r="I154" s="202"/>
      <c r="J154" s="5"/>
      <c r="K154" s="181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50</v>
      </c>
      <c r="B155" s="185">
        <f>'Données projet'!D148</f>
        <v>43.099999999999994</v>
      </c>
      <c r="C155" s="202">
        <v>30</v>
      </c>
      <c r="D155" s="192">
        <f t="shared" si="10"/>
        <v>1292.9999999999998</v>
      </c>
      <c r="E155" s="204"/>
      <c r="F155" s="262"/>
      <c r="G155" s="216"/>
      <c r="H155" s="201"/>
      <c r="I155" s="202"/>
      <c r="J155" s="5"/>
      <c r="K155" s="181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55</v>
      </c>
      <c r="B156" s="185">
        <f>'Données projet'!D149</f>
        <v>0</v>
      </c>
      <c r="C156" s="202"/>
      <c r="D156" s="192">
        <f t="shared" si="10"/>
        <v>0</v>
      </c>
      <c r="E156" s="204"/>
      <c r="F156" s="262"/>
      <c r="G156" s="216"/>
      <c r="H156" s="201"/>
      <c r="I156" s="202"/>
      <c r="J156" s="5"/>
      <c r="K156" s="181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60</v>
      </c>
      <c r="B157" s="185">
        <f>'Données projet'!D150</f>
        <v>30.2</v>
      </c>
      <c r="C157" s="202">
        <v>40</v>
      </c>
      <c r="D157" s="192">
        <f t="shared" si="10"/>
        <v>1208</v>
      </c>
      <c r="E157" s="204"/>
      <c r="F157" s="262"/>
      <c r="G157" s="216"/>
      <c r="H157" s="201"/>
      <c r="I157" s="202"/>
      <c r="J157" s="5"/>
      <c r="K157" s="181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65</v>
      </c>
      <c r="B158" s="185">
        <f>'Données projet'!D151</f>
        <v>0</v>
      </c>
      <c r="C158" s="202"/>
      <c r="D158" s="192">
        <f t="shared" si="10"/>
        <v>0</v>
      </c>
      <c r="E158" s="204"/>
      <c r="F158" s="262"/>
      <c r="G158" s="216"/>
      <c r="H158" s="201"/>
      <c r="I158" s="202"/>
      <c r="J158" s="5"/>
      <c r="K158" s="181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70</v>
      </c>
      <c r="B159" s="185">
        <f>'Données projet'!D152</f>
        <v>25.9</v>
      </c>
      <c r="C159" s="202">
        <v>50</v>
      </c>
      <c r="D159" s="192">
        <f t="shared" si="10"/>
        <v>1295</v>
      </c>
      <c r="E159" s="204"/>
      <c r="F159" s="262"/>
      <c r="G159" s="216"/>
      <c r="H159" s="201"/>
      <c r="I159" s="202"/>
      <c r="J159" s="5"/>
      <c r="K159" s="181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75</v>
      </c>
      <c r="B160" s="185">
        <f>'Données projet'!D153</f>
        <v>0</v>
      </c>
      <c r="C160" s="202"/>
      <c r="D160" s="192">
        <f t="shared" si="10"/>
        <v>0</v>
      </c>
      <c r="E160" s="204"/>
      <c r="F160" s="262"/>
      <c r="G160" s="216"/>
      <c r="H160" s="201"/>
      <c r="I160" s="202"/>
      <c r="J160" s="5"/>
      <c r="K160" s="181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80</v>
      </c>
      <c r="B161" s="185">
        <f>'Données projet'!D154</f>
        <v>341.3</v>
      </c>
      <c r="C161" s="204">
        <v>100</v>
      </c>
      <c r="D161" s="192">
        <f t="shared" si="10"/>
        <v>34130</v>
      </c>
      <c r="E161" s="204"/>
      <c r="F161" s="262"/>
      <c r="G161" s="216"/>
      <c r="H161" s="201"/>
      <c r="I161" s="202"/>
      <c r="J161" s="5"/>
      <c r="K161" s="181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5">
        <f>'Données projet'!D155</f>
        <v>0</v>
      </c>
      <c r="C162" s="202"/>
      <c r="D162" s="192">
        <f t="shared" si="10"/>
        <v>0</v>
      </c>
      <c r="E162" s="204"/>
      <c r="F162" s="262"/>
      <c r="G162" s="216"/>
      <c r="H162" s="201"/>
      <c r="I162" s="202"/>
      <c r="J162" s="5"/>
      <c r="K162" s="181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5">
        <f>'Données projet'!D156</f>
        <v>0</v>
      </c>
      <c r="C163" s="202"/>
      <c r="D163" s="192">
        <f t="shared" si="10"/>
        <v>0</v>
      </c>
      <c r="E163" s="204"/>
      <c r="F163" s="262"/>
      <c r="G163" s="216"/>
      <c r="H163" s="201"/>
      <c r="I163" s="202"/>
      <c r="J163" s="5"/>
      <c r="K163" s="181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5">
        <f>'Données projet'!D157</f>
        <v>0</v>
      </c>
      <c r="C164" s="202"/>
      <c r="D164" s="192">
        <f t="shared" si="10"/>
        <v>0</v>
      </c>
      <c r="E164" s="204"/>
      <c r="F164" s="262"/>
      <c r="G164" s="216"/>
      <c r="H164" s="201"/>
      <c r="I164" s="202"/>
      <c r="J164" s="5"/>
      <c r="K164" s="181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5">
        <f>'Données projet'!D158</f>
        <v>0</v>
      </c>
      <c r="C165" s="202"/>
      <c r="D165" s="192">
        <f t="shared" si="10"/>
        <v>0</v>
      </c>
      <c r="E165" s="204"/>
      <c r="F165" s="262"/>
      <c r="G165" s="216"/>
      <c r="H165" s="201"/>
      <c r="I165" s="202"/>
      <c r="J165" s="5"/>
      <c r="K165" s="181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5">
        <f>'Données projet'!D159</f>
        <v>0</v>
      </c>
      <c r="C166" s="202"/>
      <c r="D166" s="192">
        <f t="shared" si="10"/>
        <v>0</v>
      </c>
      <c r="E166" s="204"/>
      <c r="F166" s="262"/>
      <c r="G166" s="216"/>
      <c r="H166" s="201"/>
      <c r="I166" s="202"/>
      <c r="J166" s="5"/>
      <c r="K166" s="181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59"/>
      <c r="G167" s="216"/>
      <c r="H167" s="201"/>
      <c r="I167" s="202"/>
      <c r="J167" s="5"/>
      <c r="K167" s="181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59"/>
      <c r="G168" s="216"/>
      <c r="H168" s="201"/>
      <c r="I168" s="202"/>
      <c r="J168" s="5"/>
      <c r="K168" s="181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4" t="str">
        <f>IF('Données projet'!B14="","",'Données projet'!B14)</f>
        <v>Merisier</v>
      </c>
      <c r="C169" s="5"/>
      <c r="D169" s="5"/>
      <c r="E169" s="5"/>
      <c r="F169" s="259"/>
      <c r="G169" s="216"/>
      <c r="H169" s="201"/>
      <c r="I169" s="202"/>
      <c r="J169" s="5"/>
      <c r="K169" s="181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59"/>
      <c r="G170" s="216"/>
      <c r="H170" s="201"/>
      <c r="I170" s="202"/>
      <c r="J170" s="5"/>
      <c r="K170" s="181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5" t="s">
        <v>180</v>
      </c>
      <c r="B171" s="51" t="s">
        <v>256</v>
      </c>
      <c r="C171" s="51" t="s">
        <v>255</v>
      </c>
      <c r="D171" s="255" t="s">
        <v>252</v>
      </c>
      <c r="E171" s="255" t="s">
        <v>320</v>
      </c>
      <c r="F171" s="260"/>
      <c r="G171" s="216"/>
      <c r="H171" s="201"/>
      <c r="I171" s="202"/>
      <c r="J171" s="5"/>
      <c r="K171" s="181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08">
        <v>0</v>
      </c>
      <c r="B172" s="211" t="s">
        <v>132</v>
      </c>
      <c r="C172" s="210" t="s">
        <v>132</v>
      </c>
      <c r="D172" s="209" t="s">
        <v>132</v>
      </c>
      <c r="E172" s="204"/>
      <c r="F172" s="260"/>
      <c r="G172" s="216"/>
      <c r="H172" s="201"/>
      <c r="I172" s="202"/>
      <c r="J172" s="5"/>
      <c r="K172" s="181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08">
        <v>1</v>
      </c>
      <c r="B173" s="211" t="s">
        <v>132</v>
      </c>
      <c r="C173" s="210" t="s">
        <v>132</v>
      </c>
      <c r="D173" s="209" t="s">
        <v>132</v>
      </c>
      <c r="E173" s="204"/>
      <c r="F173" s="260"/>
      <c r="G173" s="219"/>
      <c r="H173" s="201"/>
      <c r="I173" s="202"/>
      <c r="J173" s="5"/>
      <c r="K173" s="181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08">
        <v>2</v>
      </c>
      <c r="B174" s="211" t="s">
        <v>132</v>
      </c>
      <c r="C174" s="210" t="s">
        <v>132</v>
      </c>
      <c r="D174" s="209" t="s">
        <v>132</v>
      </c>
      <c r="E174" s="204"/>
      <c r="F174" s="260"/>
      <c r="G174" s="219"/>
      <c r="H174" s="201"/>
      <c r="I174" s="202"/>
      <c r="J174" s="5"/>
      <c r="K174" s="181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08">
        <v>3</v>
      </c>
      <c r="B175" s="211" t="s">
        <v>132</v>
      </c>
      <c r="C175" s="210" t="s">
        <v>132</v>
      </c>
      <c r="D175" s="209" t="s">
        <v>132</v>
      </c>
      <c r="E175" s="204"/>
      <c r="F175" s="260"/>
      <c r="G175" s="219"/>
      <c r="H175" s="201"/>
      <c r="I175" s="202"/>
      <c r="J175" s="5"/>
      <c r="K175" s="181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08">
        <v>4</v>
      </c>
      <c r="B176" s="211" t="s">
        <v>132</v>
      </c>
      <c r="C176" s="210" t="s">
        <v>132</v>
      </c>
      <c r="D176" s="209" t="s">
        <v>132</v>
      </c>
      <c r="E176" s="204"/>
      <c r="F176" s="260"/>
      <c r="G176" s="219"/>
      <c r="H176" s="201"/>
      <c r="I176" s="202"/>
      <c r="J176" s="5"/>
      <c r="K176" s="181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08">
        <v>5</v>
      </c>
      <c r="B177" s="211" t="s">
        <v>132</v>
      </c>
      <c r="C177" s="210" t="s">
        <v>132</v>
      </c>
      <c r="D177" s="209" t="s">
        <v>132</v>
      </c>
      <c r="E177" s="204"/>
      <c r="F177" s="260"/>
      <c r="G177" s="220"/>
      <c r="H177" s="201"/>
      <c r="I177" s="202"/>
      <c r="J177" s="5"/>
      <c r="K177" s="181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0">
        <f>'Données projet'!A166</f>
        <v>15</v>
      </c>
      <c r="B178" s="191">
        <f>'Données projet'!D166</f>
        <v>0</v>
      </c>
      <c r="C178" s="204"/>
      <c r="D178" s="189">
        <f>B178*C178</f>
        <v>0</v>
      </c>
      <c r="E178" s="204"/>
      <c r="F178" s="261"/>
      <c r="G178" s="220"/>
      <c r="H178" s="201"/>
      <c r="I178" s="202"/>
      <c r="J178" s="5"/>
      <c r="K178" s="181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0">
        <f>'Données projet'!A167</f>
        <v>20</v>
      </c>
      <c r="B179" s="191">
        <f>'Données projet'!D167</f>
        <v>0</v>
      </c>
      <c r="C179" s="202">
        <v>10</v>
      </c>
      <c r="D179" s="189">
        <f t="shared" ref="D179:D197" si="11">B179*C179</f>
        <v>0</v>
      </c>
      <c r="E179" s="204"/>
      <c r="F179" s="261"/>
      <c r="G179" s="220"/>
      <c r="H179" s="201"/>
      <c r="I179" s="202"/>
      <c r="J179" s="5"/>
      <c r="K179" s="181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0">
        <f>'Données projet'!A168</f>
        <v>25</v>
      </c>
      <c r="B180" s="191">
        <f>'Données projet'!D168</f>
        <v>55</v>
      </c>
      <c r="C180" s="202">
        <v>10</v>
      </c>
      <c r="D180" s="189">
        <f t="shared" si="11"/>
        <v>550</v>
      </c>
      <c r="E180" s="204"/>
      <c r="F180" s="261"/>
      <c r="G180" s="220"/>
      <c r="H180" s="201"/>
      <c r="I180" s="202"/>
      <c r="J180" s="5"/>
      <c r="K180" s="181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0">
        <f>'Données projet'!A169</f>
        <v>31</v>
      </c>
      <c r="B181" s="191">
        <f>'Données projet'!D169</f>
        <v>36</v>
      </c>
      <c r="C181" s="202">
        <v>10</v>
      </c>
      <c r="D181" s="189">
        <f t="shared" si="11"/>
        <v>360</v>
      </c>
      <c r="E181" s="204"/>
      <c r="F181" s="261"/>
      <c r="G181" s="220"/>
      <c r="H181" s="201"/>
      <c r="I181" s="202"/>
      <c r="J181" s="5"/>
      <c r="K181" s="181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0">
        <f>'Données projet'!A170</f>
        <v>37</v>
      </c>
      <c r="B182" s="191">
        <f>'Données projet'!D170</f>
        <v>36</v>
      </c>
      <c r="C182" s="202">
        <v>15</v>
      </c>
      <c r="D182" s="189">
        <f t="shared" si="11"/>
        <v>540</v>
      </c>
      <c r="E182" s="204"/>
      <c r="F182" s="261"/>
      <c r="G182" s="220"/>
      <c r="H182" s="201"/>
      <c r="I182" s="202"/>
      <c r="J182" s="5"/>
      <c r="K182" s="181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0">
        <f>'Données projet'!A171</f>
        <v>44</v>
      </c>
      <c r="B183" s="191">
        <f>'Données projet'!D171</f>
        <v>43</v>
      </c>
      <c r="C183" s="202">
        <v>20</v>
      </c>
      <c r="D183" s="189">
        <f t="shared" si="11"/>
        <v>860</v>
      </c>
      <c r="E183" s="204"/>
      <c r="F183" s="261"/>
      <c r="G183" s="220"/>
      <c r="H183" s="201"/>
      <c r="I183" s="202"/>
      <c r="J183" s="5"/>
      <c r="K183" s="181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0">
        <f>'Données projet'!A172</f>
        <v>52</v>
      </c>
      <c r="B184" s="191">
        <f>'Données projet'!D172</f>
        <v>48</v>
      </c>
      <c r="C184" s="202">
        <v>30</v>
      </c>
      <c r="D184" s="189">
        <f t="shared" si="11"/>
        <v>1440</v>
      </c>
      <c r="E184" s="204"/>
      <c r="F184" s="261"/>
      <c r="G184" s="221"/>
      <c r="H184" s="201"/>
      <c r="I184" s="202"/>
      <c r="J184" s="5"/>
      <c r="K184" s="181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0">
        <f>'Données projet'!A173</f>
        <v>60</v>
      </c>
      <c r="B185" s="191">
        <f>'Données projet'!D173</f>
        <v>47</v>
      </c>
      <c r="C185" s="202">
        <v>50</v>
      </c>
      <c r="D185" s="189">
        <f t="shared" si="11"/>
        <v>2350</v>
      </c>
      <c r="E185" s="204"/>
      <c r="F185" s="261"/>
      <c r="G185" s="221"/>
      <c r="H185" s="201"/>
      <c r="I185" s="202"/>
      <c r="J185" s="5"/>
      <c r="K185" s="181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0">
        <f>'Données projet'!A174</f>
        <v>69</v>
      </c>
      <c r="B186" s="191">
        <f>'Données projet'!D174</f>
        <v>328</v>
      </c>
      <c r="C186" s="204">
        <v>100</v>
      </c>
      <c r="D186" s="189">
        <f t="shared" si="11"/>
        <v>32800</v>
      </c>
      <c r="E186" s="204"/>
      <c r="F186" s="261"/>
      <c r="G186" s="221"/>
      <c r="H186" s="201"/>
      <c r="I186" s="202"/>
      <c r="J186" s="5"/>
      <c r="K186" s="181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0">
        <f>'Données projet'!A175</f>
        <v>0</v>
      </c>
      <c r="B187" s="191">
        <f>'Données projet'!D175</f>
        <v>0</v>
      </c>
      <c r="C187" s="204"/>
      <c r="D187" s="189">
        <f t="shared" si="11"/>
        <v>0</v>
      </c>
      <c r="E187" s="204"/>
      <c r="F187" s="261"/>
      <c r="G187" s="221"/>
      <c r="H187" s="201"/>
      <c r="I187" s="202"/>
      <c r="J187" s="5"/>
      <c r="K187" s="181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0">
        <f>'Données projet'!A176</f>
        <v>0</v>
      </c>
      <c r="B188" s="191">
        <f>'Données projet'!D176</f>
        <v>0</v>
      </c>
      <c r="C188" s="204"/>
      <c r="D188" s="189">
        <f t="shared" si="11"/>
        <v>0</v>
      </c>
      <c r="E188" s="204"/>
      <c r="F188" s="261"/>
      <c r="G188" s="221"/>
      <c r="H188" s="201"/>
      <c r="I188" s="202"/>
      <c r="J188" s="5"/>
      <c r="K188" s="181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0">
        <f>'Données projet'!A177</f>
        <v>0</v>
      </c>
      <c r="B189" s="191">
        <f>'Données projet'!D177</f>
        <v>0</v>
      </c>
      <c r="C189" s="204"/>
      <c r="D189" s="189">
        <f t="shared" si="11"/>
        <v>0</v>
      </c>
      <c r="E189" s="204"/>
      <c r="F189" s="261"/>
      <c r="G189" s="221"/>
      <c r="H189" s="201"/>
      <c r="I189" s="202"/>
      <c r="J189" s="5"/>
      <c r="K189" s="181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0">
        <f>'Données projet'!A178</f>
        <v>0</v>
      </c>
      <c r="B190" s="191">
        <f>'Données projet'!D178</f>
        <v>0</v>
      </c>
      <c r="C190" s="204"/>
      <c r="D190" s="189">
        <f t="shared" si="11"/>
        <v>0</v>
      </c>
      <c r="E190" s="204"/>
      <c r="F190" s="261"/>
      <c r="G190" s="221"/>
      <c r="H190" s="201"/>
      <c r="I190" s="202"/>
      <c r="J190" s="5"/>
      <c r="K190" s="181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0">
        <f>'Données projet'!A179</f>
        <v>0</v>
      </c>
      <c r="B191" s="191">
        <f>'Données projet'!D179</f>
        <v>0</v>
      </c>
      <c r="C191" s="204"/>
      <c r="D191" s="189">
        <f t="shared" si="11"/>
        <v>0</v>
      </c>
      <c r="E191" s="204"/>
      <c r="F191" s="261"/>
      <c r="G191" s="221"/>
      <c r="H191" s="201"/>
      <c r="I191" s="202"/>
      <c r="J191" s="5"/>
      <c r="K191" s="181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0">
        <f>'Données projet'!A180</f>
        <v>0</v>
      </c>
      <c r="B192" s="191">
        <f>'Données projet'!D180</f>
        <v>0</v>
      </c>
      <c r="C192" s="204"/>
      <c r="D192" s="189">
        <f t="shared" si="11"/>
        <v>0</v>
      </c>
      <c r="E192" s="204"/>
      <c r="F192" s="261"/>
      <c r="G192" s="221"/>
      <c r="H192" s="201"/>
      <c r="I192" s="202"/>
      <c r="J192" s="5"/>
      <c r="K192" s="181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0">
        <f>'Données projet'!A181</f>
        <v>0</v>
      </c>
      <c r="B193" s="191">
        <f>'Données projet'!D181</f>
        <v>0</v>
      </c>
      <c r="C193" s="204"/>
      <c r="D193" s="189">
        <f t="shared" si="11"/>
        <v>0</v>
      </c>
      <c r="E193" s="204"/>
      <c r="F193" s="261"/>
      <c r="G193" s="221"/>
      <c r="H193" s="201"/>
      <c r="I193" s="202"/>
      <c r="J193" s="5"/>
      <c r="K193" s="181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0">
        <f>'Données projet'!A182</f>
        <v>0</v>
      </c>
      <c r="B194" s="191">
        <f>'Données projet'!D182</f>
        <v>0</v>
      </c>
      <c r="C194" s="204"/>
      <c r="D194" s="189">
        <f t="shared" si="11"/>
        <v>0</v>
      </c>
      <c r="E194" s="204"/>
      <c r="F194" s="261"/>
      <c r="G194" s="221"/>
      <c r="H194" s="201"/>
      <c r="I194" s="202"/>
      <c r="J194" s="5"/>
      <c r="K194" s="181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0">
        <f>'Données projet'!A183</f>
        <v>0</v>
      </c>
      <c r="B195" s="191">
        <f>'Données projet'!D183</f>
        <v>0</v>
      </c>
      <c r="C195" s="204"/>
      <c r="D195" s="189">
        <f t="shared" si="11"/>
        <v>0</v>
      </c>
      <c r="E195" s="204"/>
      <c r="F195" s="261"/>
      <c r="G195" s="221"/>
      <c r="H195" s="201"/>
      <c r="I195" s="202"/>
      <c r="J195" s="5"/>
      <c r="K195" s="181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0">
        <f>'Données projet'!A184</f>
        <v>0</v>
      </c>
      <c r="B196" s="191">
        <f>'Données projet'!D184</f>
        <v>0</v>
      </c>
      <c r="C196" s="204"/>
      <c r="D196" s="189">
        <f t="shared" si="11"/>
        <v>0</v>
      </c>
      <c r="E196" s="204"/>
      <c r="F196" s="261"/>
      <c r="G196" s="221"/>
      <c r="H196" s="201"/>
      <c r="I196" s="202"/>
      <c r="J196" s="5"/>
      <c r="K196" s="181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0">
        <f>'Données projet'!A185</f>
        <v>0</v>
      </c>
      <c r="B197" s="191">
        <f>'Données projet'!D185</f>
        <v>0</v>
      </c>
      <c r="C197" s="204"/>
      <c r="D197" s="189">
        <f t="shared" si="11"/>
        <v>0</v>
      </c>
      <c r="E197" s="204"/>
      <c r="F197" s="261"/>
      <c r="G197" s="221"/>
      <c r="H197" s="201"/>
      <c r="I197" s="202"/>
      <c r="J197" s="5"/>
      <c r="K197" s="181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59"/>
      <c r="G198" s="221"/>
      <c r="H198" s="201"/>
      <c r="I198" s="202"/>
      <c r="J198" s="5"/>
      <c r="K198" s="181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59"/>
      <c r="G199" s="221"/>
      <c r="H199" s="201"/>
      <c r="I199" s="202"/>
      <c r="J199" s="5"/>
      <c r="K199" s="181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4" t="str">
        <f>IF('Données projet'!$B$15="","",'Données projet'!$B$15)</f>
        <v>Hêtre</v>
      </c>
      <c r="C200" s="5"/>
      <c r="D200" s="5"/>
      <c r="E200" s="5"/>
      <c r="F200" s="259"/>
      <c r="G200" s="221"/>
      <c r="H200" s="201"/>
      <c r="I200" s="202"/>
      <c r="J200" s="5"/>
      <c r="K200" s="181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59"/>
      <c r="G201" s="221"/>
      <c r="H201" s="201"/>
      <c r="I201" s="202"/>
      <c r="J201" s="5"/>
      <c r="K201" s="181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5" t="s">
        <v>180</v>
      </c>
      <c r="B202" s="51" t="s">
        <v>256</v>
      </c>
      <c r="C202" s="51" t="s">
        <v>255</v>
      </c>
      <c r="D202" s="255" t="s">
        <v>252</v>
      </c>
      <c r="E202" s="255" t="s">
        <v>320</v>
      </c>
      <c r="F202" s="260"/>
      <c r="G202" s="221"/>
      <c r="H202" s="201"/>
      <c r="I202" s="202"/>
      <c r="J202" s="5"/>
      <c r="K202" s="181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08">
        <v>0</v>
      </c>
      <c r="B203" s="211" t="s">
        <v>132</v>
      </c>
      <c r="C203" s="210" t="s">
        <v>132</v>
      </c>
      <c r="D203" s="209" t="s">
        <v>132</v>
      </c>
      <c r="E203" s="204"/>
      <c r="F203" s="260"/>
      <c r="G203" s="221"/>
      <c r="H203" s="201"/>
      <c r="I203" s="202"/>
      <c r="J203" s="5"/>
      <c r="K203" s="181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08">
        <v>1</v>
      </c>
      <c r="B204" s="211" t="s">
        <v>132</v>
      </c>
      <c r="C204" s="210" t="s">
        <v>132</v>
      </c>
      <c r="D204" s="209" t="s">
        <v>132</v>
      </c>
      <c r="E204" s="204"/>
      <c r="F204" s="260"/>
      <c r="G204" s="219"/>
      <c r="H204" s="201"/>
      <c r="I204" s="202"/>
      <c r="J204" s="5"/>
      <c r="K204" s="181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08">
        <v>2</v>
      </c>
      <c r="B205" s="211" t="s">
        <v>132</v>
      </c>
      <c r="C205" s="210" t="s">
        <v>132</v>
      </c>
      <c r="D205" s="209" t="s">
        <v>132</v>
      </c>
      <c r="E205" s="204"/>
      <c r="F205" s="260"/>
      <c r="G205" s="219"/>
      <c r="H205" s="201"/>
      <c r="I205" s="202"/>
      <c r="J205" s="5"/>
      <c r="K205" s="181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08">
        <v>3</v>
      </c>
      <c r="B206" s="211" t="s">
        <v>132</v>
      </c>
      <c r="C206" s="210" t="s">
        <v>132</v>
      </c>
      <c r="D206" s="209" t="s">
        <v>132</v>
      </c>
      <c r="E206" s="204"/>
      <c r="F206" s="260"/>
      <c r="G206" s="219"/>
      <c r="H206" s="201"/>
      <c r="I206" s="202"/>
      <c r="J206" s="5"/>
      <c r="K206" s="181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08">
        <v>4</v>
      </c>
      <c r="B207" s="211" t="s">
        <v>132</v>
      </c>
      <c r="C207" s="210" t="s">
        <v>132</v>
      </c>
      <c r="D207" s="209" t="s">
        <v>132</v>
      </c>
      <c r="E207" s="204"/>
      <c r="F207" s="260"/>
      <c r="G207" s="219"/>
      <c r="H207" s="201"/>
      <c r="I207" s="202"/>
      <c r="J207" s="5"/>
      <c r="K207" s="181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08">
        <v>5</v>
      </c>
      <c r="B208" s="211" t="s">
        <v>132</v>
      </c>
      <c r="C208" s="210" t="s">
        <v>132</v>
      </c>
      <c r="D208" s="209" t="s">
        <v>132</v>
      </c>
      <c r="E208" s="204"/>
      <c r="F208" s="260"/>
      <c r="G208" s="220"/>
      <c r="H208" s="201"/>
      <c r="I208" s="202"/>
      <c r="J208" s="5"/>
      <c r="K208" s="181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0">
        <f>'Données projet'!A192</f>
        <v>27</v>
      </c>
      <c r="B209" s="191">
        <f>'Données projet'!D192</f>
        <v>12</v>
      </c>
      <c r="C209" s="202">
        <v>10</v>
      </c>
      <c r="D209" s="189">
        <f>B209*C209</f>
        <v>120</v>
      </c>
      <c r="E209" s="204"/>
      <c r="F209" s="261"/>
      <c r="G209" s="220"/>
      <c r="H209" s="201"/>
      <c r="I209" s="202"/>
      <c r="J209" s="5"/>
      <c r="K209" s="181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0">
        <f>'Données projet'!A193</f>
        <v>30</v>
      </c>
      <c r="B210" s="191">
        <f>'Données projet'!D193</f>
        <v>13</v>
      </c>
      <c r="C210" s="202">
        <v>10</v>
      </c>
      <c r="D210" s="189">
        <f t="shared" ref="D210:D228" si="12">B210*C210</f>
        <v>130</v>
      </c>
      <c r="E210" s="204"/>
      <c r="F210" s="261"/>
      <c r="G210" s="220"/>
      <c r="H210" s="201"/>
      <c r="I210" s="202"/>
      <c r="J210" s="5"/>
      <c r="K210" s="181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0">
        <f>'Données projet'!A194</f>
        <v>36</v>
      </c>
      <c r="B211" s="191">
        <f>'Données projet'!D194</f>
        <v>60</v>
      </c>
      <c r="C211" s="202">
        <v>10</v>
      </c>
      <c r="D211" s="189">
        <f t="shared" si="12"/>
        <v>600</v>
      </c>
      <c r="E211" s="204"/>
      <c r="F211" s="261"/>
      <c r="G211" s="220"/>
      <c r="H211" s="201"/>
      <c r="I211" s="202"/>
      <c r="J211" s="5"/>
      <c r="K211" s="181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0">
        <f>'Données projet'!A195</f>
        <v>42</v>
      </c>
      <c r="B212" s="191">
        <f>'Données projet'!D195</f>
        <v>59</v>
      </c>
      <c r="C212" s="202">
        <v>15</v>
      </c>
      <c r="D212" s="189">
        <f t="shared" si="12"/>
        <v>885</v>
      </c>
      <c r="E212" s="204"/>
      <c r="F212" s="261"/>
      <c r="G212" s="220"/>
      <c r="H212" s="201"/>
      <c r="I212" s="202"/>
      <c r="J212" s="5"/>
      <c r="K212" s="181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0">
        <f>'Données projet'!A196</f>
        <v>48</v>
      </c>
      <c r="B213" s="191">
        <f>'Données projet'!D196</f>
        <v>63</v>
      </c>
      <c r="C213" s="202">
        <v>15</v>
      </c>
      <c r="D213" s="189">
        <f t="shared" si="12"/>
        <v>945</v>
      </c>
      <c r="E213" s="204"/>
      <c r="F213" s="261"/>
      <c r="G213" s="220"/>
      <c r="H213" s="201"/>
      <c r="I213" s="202"/>
      <c r="J213" s="5"/>
      <c r="K213" s="181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0">
        <f>'Données projet'!A197</f>
        <v>54</v>
      </c>
      <c r="B214" s="191">
        <f>'Données projet'!D197</f>
        <v>64</v>
      </c>
      <c r="C214" s="202">
        <v>20</v>
      </c>
      <c r="D214" s="189">
        <f t="shared" si="12"/>
        <v>1280</v>
      </c>
      <c r="E214" s="204"/>
      <c r="F214" s="261"/>
      <c r="G214" s="220"/>
      <c r="H214" s="201"/>
      <c r="I214" s="202"/>
      <c r="J214" s="5"/>
      <c r="K214" s="181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0">
        <f>'Données projet'!A198</f>
        <v>60</v>
      </c>
      <c r="B215" s="191">
        <f>'Données projet'!D198</f>
        <v>61</v>
      </c>
      <c r="C215" s="202">
        <v>25</v>
      </c>
      <c r="D215" s="189">
        <f t="shared" si="12"/>
        <v>1525</v>
      </c>
      <c r="E215" s="204"/>
      <c r="F215" s="261"/>
      <c r="G215" s="221"/>
      <c r="H215" s="201"/>
      <c r="I215" s="202"/>
      <c r="J215" s="5"/>
      <c r="K215" s="181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0">
        <f>'Données projet'!A199</f>
        <v>69</v>
      </c>
      <c r="B216" s="191">
        <f>'Données projet'!D199</f>
        <v>84</v>
      </c>
      <c r="C216" s="202">
        <v>30</v>
      </c>
      <c r="D216" s="189">
        <f t="shared" si="12"/>
        <v>2520</v>
      </c>
      <c r="E216" s="204"/>
      <c r="F216" s="261"/>
      <c r="G216" s="221"/>
      <c r="H216" s="201"/>
      <c r="I216" s="202"/>
      <c r="J216" s="5"/>
      <c r="K216" s="181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0">
        <f>'Données projet'!A200</f>
        <v>78</v>
      </c>
      <c r="B217" s="191">
        <f>'Données projet'!D200</f>
        <v>39</v>
      </c>
      <c r="C217" s="202">
        <v>40</v>
      </c>
      <c r="D217" s="189">
        <f t="shared" si="12"/>
        <v>1560</v>
      </c>
      <c r="E217" s="204"/>
      <c r="F217" s="261"/>
      <c r="G217" s="221"/>
      <c r="H217" s="201"/>
      <c r="I217" s="202"/>
      <c r="J217" s="5"/>
      <c r="K217" s="181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0">
        <f>'Données projet'!A201</f>
        <v>84</v>
      </c>
      <c r="B218" s="191">
        <f>'Données projet'!D201</f>
        <v>0</v>
      </c>
      <c r="C218" s="202"/>
      <c r="D218" s="189">
        <f t="shared" si="12"/>
        <v>0</v>
      </c>
      <c r="E218" s="204"/>
      <c r="F218" s="261"/>
      <c r="G218" s="221"/>
      <c r="H218" s="201"/>
      <c r="I218" s="202"/>
      <c r="J218" s="5"/>
      <c r="K218" s="181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0">
        <f>'Données projet'!A202</f>
        <v>90</v>
      </c>
      <c r="B219" s="191">
        <f>'Données projet'!D202</f>
        <v>0</v>
      </c>
      <c r="C219" s="202"/>
      <c r="D219" s="189">
        <f t="shared" si="12"/>
        <v>0</v>
      </c>
      <c r="E219" s="204"/>
      <c r="F219" s="261"/>
      <c r="G219" s="221"/>
      <c r="H219" s="201"/>
      <c r="I219" s="202"/>
      <c r="J219" s="5"/>
      <c r="K219" s="181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0">
        <f>'Données projet'!A203</f>
        <v>96</v>
      </c>
      <c r="B220" s="191">
        <f>'Données projet'!D203</f>
        <v>0</v>
      </c>
      <c r="C220" s="202"/>
      <c r="D220" s="189">
        <f t="shared" si="12"/>
        <v>0</v>
      </c>
      <c r="E220" s="204"/>
      <c r="F220" s="261"/>
      <c r="G220" s="221"/>
      <c r="H220" s="5"/>
      <c r="I220" s="5"/>
      <c r="J220" s="5"/>
      <c r="K220" s="181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0">
        <f>'Données projet'!A204</f>
        <v>99</v>
      </c>
      <c r="B221" s="191">
        <f>'Données projet'!D204</f>
        <v>591</v>
      </c>
      <c r="C221" s="202">
        <v>50</v>
      </c>
      <c r="D221" s="189">
        <f t="shared" si="12"/>
        <v>29550</v>
      </c>
      <c r="E221" s="204"/>
      <c r="F221" s="261"/>
      <c r="G221" s="221"/>
      <c r="H221" s="5"/>
      <c r="I221" s="5"/>
      <c r="J221" s="5"/>
      <c r="K221" s="181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0">
        <f>'Données projet'!A205</f>
        <v>0</v>
      </c>
      <c r="B222" s="191">
        <f>'Données projet'!D205</f>
        <v>0</v>
      </c>
      <c r="C222" s="204"/>
      <c r="D222" s="189">
        <f t="shared" si="12"/>
        <v>0</v>
      </c>
      <c r="E222" s="204"/>
      <c r="F222" s="261"/>
      <c r="G222" s="221"/>
      <c r="H222" s="5"/>
      <c r="I222" s="5"/>
      <c r="J222" s="5"/>
      <c r="K222" s="181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0">
        <f>'Données projet'!A206</f>
        <v>0</v>
      </c>
      <c r="B223" s="191">
        <f>'Données projet'!D206</f>
        <v>0</v>
      </c>
      <c r="C223" s="204"/>
      <c r="D223" s="189">
        <f t="shared" si="12"/>
        <v>0</v>
      </c>
      <c r="E223" s="204"/>
      <c r="F223" s="261"/>
      <c r="G223" s="221"/>
      <c r="H223" s="5"/>
      <c r="I223" s="5"/>
      <c r="J223" s="5"/>
      <c r="K223" s="181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0">
        <f>'Données projet'!A207</f>
        <v>0</v>
      </c>
      <c r="B224" s="191">
        <f>'Données projet'!D207</f>
        <v>0</v>
      </c>
      <c r="C224" s="204"/>
      <c r="D224" s="189">
        <f t="shared" si="12"/>
        <v>0</v>
      </c>
      <c r="E224" s="204"/>
      <c r="F224" s="261"/>
      <c r="G224" s="221"/>
      <c r="H224" s="5"/>
      <c r="I224" s="5"/>
      <c r="J224" s="5"/>
      <c r="K224" s="181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0">
        <f>'Données projet'!A208</f>
        <v>0</v>
      </c>
      <c r="B225" s="191">
        <f>'Données projet'!D208</f>
        <v>0</v>
      </c>
      <c r="C225" s="204"/>
      <c r="D225" s="189">
        <f t="shared" si="12"/>
        <v>0</v>
      </c>
      <c r="E225" s="204"/>
      <c r="F225" s="261"/>
      <c r="G225" s="221"/>
      <c r="H225" s="5"/>
      <c r="I225" s="5"/>
      <c r="J225" s="5"/>
      <c r="K225" s="181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0">
        <f>'Données projet'!A209</f>
        <v>0</v>
      </c>
      <c r="B226" s="191">
        <f>'Données projet'!D209</f>
        <v>0</v>
      </c>
      <c r="C226" s="204"/>
      <c r="D226" s="189">
        <f t="shared" si="12"/>
        <v>0</v>
      </c>
      <c r="E226" s="204"/>
      <c r="F226" s="261"/>
      <c r="G226" s="221"/>
      <c r="H226" s="5"/>
      <c r="I226" s="5"/>
      <c r="J226" s="5"/>
      <c r="K226" s="181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0">
        <f>'Données projet'!A210</f>
        <v>0</v>
      </c>
      <c r="B227" s="191">
        <f>'Données projet'!D210</f>
        <v>0</v>
      </c>
      <c r="C227" s="204"/>
      <c r="D227" s="189">
        <f t="shared" si="12"/>
        <v>0</v>
      </c>
      <c r="E227" s="204"/>
      <c r="F227" s="261"/>
      <c r="G227" s="221"/>
      <c r="H227" s="5"/>
      <c r="I227" s="5"/>
      <c r="J227" s="5"/>
      <c r="K227" s="181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0">
        <f>'Données projet'!A211</f>
        <v>0</v>
      </c>
      <c r="B228" s="191">
        <f>'Données projet'!D211</f>
        <v>0</v>
      </c>
      <c r="C228" s="204"/>
      <c r="D228" s="189">
        <f t="shared" si="12"/>
        <v>0</v>
      </c>
      <c r="E228" s="204"/>
      <c r="F228" s="261"/>
      <c r="G228" s="221"/>
      <c r="H228" s="5"/>
      <c r="I228" s="5"/>
      <c r="J228" s="5"/>
      <c r="K228" s="181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59"/>
      <c r="G229" s="221"/>
      <c r="H229" s="5"/>
      <c r="I229" s="5"/>
      <c r="J229" s="5"/>
      <c r="K229" s="181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59"/>
      <c r="G230" s="221"/>
      <c r="H230" s="5"/>
      <c r="I230" s="5"/>
      <c r="J230" s="5"/>
      <c r="K230" s="181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4" t="str">
        <f>IF('Données projet'!$B$16="","",'Données projet'!$B$16)</f>
        <v>Alisier torminal</v>
      </c>
      <c r="C231" s="5"/>
      <c r="D231" s="5"/>
      <c r="E231" s="5"/>
      <c r="F231" s="259"/>
      <c r="G231" s="221"/>
      <c r="H231" s="5"/>
      <c r="I231" s="5"/>
      <c r="J231" s="5"/>
      <c r="K231" s="181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59"/>
      <c r="G232" s="221"/>
      <c r="H232" s="5"/>
      <c r="I232" s="5"/>
      <c r="J232" s="5"/>
      <c r="K232" s="181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5" t="s">
        <v>180</v>
      </c>
      <c r="B233" s="51" t="s">
        <v>256</v>
      </c>
      <c r="C233" s="51" t="s">
        <v>255</v>
      </c>
      <c r="D233" s="255" t="s">
        <v>252</v>
      </c>
      <c r="E233" s="255" t="s">
        <v>320</v>
      </c>
      <c r="F233" s="260"/>
      <c r="G233" s="221"/>
      <c r="H233" s="5"/>
      <c r="I233" s="5"/>
      <c r="J233" s="5"/>
      <c r="K233" s="181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08">
        <v>0</v>
      </c>
      <c r="B234" s="211" t="s">
        <v>132</v>
      </c>
      <c r="C234" s="210" t="s">
        <v>132</v>
      </c>
      <c r="D234" s="209" t="s">
        <v>132</v>
      </c>
      <c r="E234" s="204"/>
      <c r="F234" s="260"/>
      <c r="G234" s="221"/>
      <c r="H234" s="5"/>
      <c r="I234" s="5"/>
      <c r="J234" s="5"/>
      <c r="K234" s="181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08">
        <v>1</v>
      </c>
      <c r="B235" s="211" t="s">
        <v>132</v>
      </c>
      <c r="C235" s="210" t="s">
        <v>132</v>
      </c>
      <c r="D235" s="209" t="s">
        <v>132</v>
      </c>
      <c r="E235" s="204"/>
      <c r="F235" s="260"/>
      <c r="G235" s="219"/>
      <c r="H235" s="5"/>
      <c r="I235" s="5"/>
      <c r="J235" s="5"/>
      <c r="K235" s="181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08">
        <v>2</v>
      </c>
      <c r="B236" s="211" t="s">
        <v>132</v>
      </c>
      <c r="C236" s="210" t="s">
        <v>132</v>
      </c>
      <c r="D236" s="209" t="s">
        <v>132</v>
      </c>
      <c r="E236" s="204"/>
      <c r="F236" s="260"/>
      <c r="G236" s="219"/>
      <c r="H236" s="5"/>
      <c r="I236" s="5"/>
      <c r="J236" s="5"/>
      <c r="K236" s="181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08">
        <v>3</v>
      </c>
      <c r="B237" s="211" t="s">
        <v>132</v>
      </c>
      <c r="C237" s="210" t="s">
        <v>132</v>
      </c>
      <c r="D237" s="209" t="s">
        <v>132</v>
      </c>
      <c r="E237" s="204"/>
      <c r="F237" s="260"/>
      <c r="G237" s="219"/>
      <c r="H237" s="5"/>
      <c r="I237" s="5"/>
      <c r="J237" s="5"/>
      <c r="K237" s="181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08">
        <v>4</v>
      </c>
      <c r="B238" s="211" t="s">
        <v>132</v>
      </c>
      <c r="C238" s="210" t="s">
        <v>132</v>
      </c>
      <c r="D238" s="209" t="s">
        <v>132</v>
      </c>
      <c r="E238" s="204"/>
      <c r="F238" s="260"/>
      <c r="G238" s="219"/>
      <c r="H238" s="5"/>
      <c r="I238" s="5"/>
      <c r="J238" s="5"/>
      <c r="K238" s="181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08">
        <v>5</v>
      </c>
      <c r="B239" s="211" t="s">
        <v>132</v>
      </c>
      <c r="C239" s="210" t="s">
        <v>132</v>
      </c>
      <c r="D239" s="209" t="s">
        <v>132</v>
      </c>
      <c r="E239" s="204"/>
      <c r="F239" s="260"/>
      <c r="G239" s="220"/>
      <c r="H239" s="5"/>
      <c r="I239" s="5"/>
      <c r="J239" s="5"/>
      <c r="K239" s="181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0">
        <f>'Données projet'!A218</f>
        <v>20</v>
      </c>
      <c r="B240" s="191">
        <f>'Données projet'!D218</f>
        <v>0</v>
      </c>
      <c r="C240" s="204"/>
      <c r="D240" s="189">
        <f>B240*C240</f>
        <v>0</v>
      </c>
      <c r="E240" s="204"/>
      <c r="F240" s="261"/>
      <c r="G240" s="220"/>
      <c r="H240" s="5"/>
      <c r="I240" s="5"/>
      <c r="J240" s="5"/>
      <c r="K240" s="181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0">
        <f>'Données projet'!A219</f>
        <v>25</v>
      </c>
      <c r="B241" s="191">
        <f>'Données projet'!D219</f>
        <v>34</v>
      </c>
      <c r="C241" s="204">
        <v>10</v>
      </c>
      <c r="D241" s="189">
        <f t="shared" ref="D241:D259" si="13">B241*C241</f>
        <v>340</v>
      </c>
      <c r="E241" s="204"/>
      <c r="F241" s="261"/>
      <c r="G241" s="220"/>
      <c r="H241" s="5"/>
      <c r="I241" s="5"/>
      <c r="J241" s="5"/>
      <c r="K241" s="181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0">
        <f>'Données projet'!A220</f>
        <v>30</v>
      </c>
      <c r="B242" s="191">
        <f>'Données projet'!D220</f>
        <v>0</v>
      </c>
      <c r="C242" s="204"/>
      <c r="D242" s="189">
        <f t="shared" si="13"/>
        <v>0</v>
      </c>
      <c r="E242" s="204"/>
      <c r="F242" s="261"/>
      <c r="G242" s="220"/>
      <c r="H242" s="5"/>
      <c r="I242" s="5"/>
      <c r="J242" s="5"/>
      <c r="K242" s="181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0">
        <f>'Données projet'!A221</f>
        <v>35</v>
      </c>
      <c r="B243" s="191">
        <f>'Données projet'!D221</f>
        <v>56</v>
      </c>
      <c r="C243" s="204">
        <v>10</v>
      </c>
      <c r="D243" s="189">
        <f t="shared" si="13"/>
        <v>560</v>
      </c>
      <c r="E243" s="204"/>
      <c r="F243" s="261"/>
      <c r="G243" s="220"/>
      <c r="H243" s="5"/>
      <c r="I243" s="5"/>
      <c r="J243" s="5"/>
      <c r="K243" s="181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0">
        <f>'Données projet'!A222</f>
        <v>40</v>
      </c>
      <c r="B244" s="191">
        <f>'Données projet'!D222</f>
        <v>0</v>
      </c>
      <c r="C244" s="204"/>
      <c r="D244" s="189">
        <f t="shared" si="13"/>
        <v>0</v>
      </c>
      <c r="E244" s="204"/>
      <c r="F244" s="261"/>
      <c r="G244" s="220"/>
      <c r="H244" s="5"/>
      <c r="I244" s="5"/>
      <c r="J244" s="5"/>
      <c r="K244" s="181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0">
        <f>'Données projet'!A223</f>
        <v>45</v>
      </c>
      <c r="B245" s="191">
        <f>'Données projet'!D223</f>
        <v>56</v>
      </c>
      <c r="C245" s="204">
        <v>10</v>
      </c>
      <c r="D245" s="189">
        <f t="shared" si="13"/>
        <v>560</v>
      </c>
      <c r="E245" s="204"/>
      <c r="F245" s="261"/>
      <c r="G245" s="220"/>
      <c r="H245" s="5"/>
      <c r="I245" s="5"/>
      <c r="J245" s="5"/>
      <c r="K245" s="181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0">
        <f>'Données projet'!A224</f>
        <v>50</v>
      </c>
      <c r="B246" s="191">
        <f>'Données projet'!D224</f>
        <v>0</v>
      </c>
      <c r="C246" s="204"/>
      <c r="D246" s="189">
        <f t="shared" si="13"/>
        <v>0</v>
      </c>
      <c r="E246" s="204"/>
      <c r="F246" s="261"/>
      <c r="G246" s="221"/>
      <c r="H246" s="5"/>
      <c r="I246" s="5"/>
      <c r="J246" s="5"/>
      <c r="K246" s="181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0">
        <f>'Données projet'!A225</f>
        <v>55</v>
      </c>
      <c r="B247" s="191">
        <f>'Données projet'!D225</f>
        <v>56</v>
      </c>
      <c r="C247" s="204">
        <v>20</v>
      </c>
      <c r="D247" s="189">
        <f t="shared" si="13"/>
        <v>1120</v>
      </c>
      <c r="E247" s="204"/>
      <c r="F247" s="261"/>
      <c r="G247" s="221"/>
      <c r="H247" s="5"/>
      <c r="I247" s="5"/>
      <c r="J247" s="5"/>
      <c r="K247" s="181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0">
        <f>'Données projet'!A226</f>
        <v>60</v>
      </c>
      <c r="B248" s="191">
        <f>'Données projet'!D226</f>
        <v>0</v>
      </c>
      <c r="C248" s="204"/>
      <c r="D248" s="189">
        <f t="shared" si="13"/>
        <v>0</v>
      </c>
      <c r="E248" s="204"/>
      <c r="F248" s="261"/>
      <c r="G248" s="221"/>
      <c r="H248" s="5"/>
      <c r="I248" s="5"/>
      <c r="J248" s="5"/>
      <c r="K248" s="181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0">
        <f>'Données projet'!A227</f>
        <v>65</v>
      </c>
      <c r="B249" s="191">
        <f>'Données projet'!D227</f>
        <v>56</v>
      </c>
      <c r="C249" s="204">
        <v>30</v>
      </c>
      <c r="D249" s="189">
        <f t="shared" si="13"/>
        <v>1680</v>
      </c>
      <c r="E249" s="204"/>
      <c r="F249" s="261"/>
      <c r="G249" s="221"/>
      <c r="H249" s="5"/>
      <c r="I249" s="5"/>
      <c r="J249" s="5"/>
      <c r="K249" s="181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0">
        <f>'Données projet'!A228</f>
        <v>70</v>
      </c>
      <c r="B250" s="191">
        <f>'Données projet'!D228</f>
        <v>0</v>
      </c>
      <c r="C250" s="204"/>
      <c r="D250" s="189">
        <f t="shared" si="13"/>
        <v>0</v>
      </c>
      <c r="E250" s="204"/>
      <c r="F250" s="261"/>
      <c r="G250" s="221"/>
      <c r="H250" s="5"/>
      <c r="I250" s="5"/>
      <c r="J250" s="5"/>
      <c r="K250" s="181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0">
        <f>'Données projet'!A229</f>
        <v>75</v>
      </c>
      <c r="B251" s="191">
        <f>'Données projet'!D229</f>
        <v>56</v>
      </c>
      <c r="C251" s="204">
        <v>40</v>
      </c>
      <c r="D251" s="189">
        <f t="shared" si="13"/>
        <v>2240</v>
      </c>
      <c r="E251" s="204"/>
      <c r="F251" s="261"/>
      <c r="G251" s="221"/>
      <c r="H251" s="5"/>
      <c r="I251" s="5"/>
      <c r="J251" s="5"/>
      <c r="K251" s="181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0">
        <f>'Données projet'!A230</f>
        <v>80</v>
      </c>
      <c r="B252" s="191">
        <f>'Données projet'!D230</f>
        <v>0</v>
      </c>
      <c r="C252" s="204"/>
      <c r="D252" s="189">
        <f t="shared" si="13"/>
        <v>0</v>
      </c>
      <c r="E252" s="204"/>
      <c r="F252" s="261"/>
      <c r="G252" s="221"/>
      <c r="H252" s="5"/>
      <c r="I252" s="5"/>
      <c r="J252" s="5"/>
      <c r="K252" s="181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0">
        <f>'Données projet'!A231</f>
        <v>90</v>
      </c>
      <c r="B253" s="191">
        <f>'Données projet'!D231</f>
        <v>84</v>
      </c>
      <c r="C253" s="204">
        <v>50</v>
      </c>
      <c r="D253" s="189">
        <f t="shared" si="13"/>
        <v>4200</v>
      </c>
      <c r="E253" s="204"/>
      <c r="F253" s="261"/>
      <c r="G253" s="221"/>
      <c r="H253" s="5"/>
      <c r="I253" s="5"/>
      <c r="J253" s="5"/>
      <c r="K253" s="181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0">
        <f>'Données projet'!A232</f>
        <v>100</v>
      </c>
      <c r="B254" s="191">
        <f>'Données projet'!D232</f>
        <v>0</v>
      </c>
      <c r="C254" s="204"/>
      <c r="D254" s="189">
        <f t="shared" si="13"/>
        <v>0</v>
      </c>
      <c r="E254" s="204"/>
      <c r="F254" s="261"/>
      <c r="G254" s="221"/>
      <c r="H254" s="5"/>
      <c r="I254" s="5"/>
      <c r="J254" s="5"/>
      <c r="K254" s="181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0">
        <f>'Données projet'!A233</f>
        <v>110</v>
      </c>
      <c r="B255" s="191">
        <f>'Données projet'!D233</f>
        <v>106</v>
      </c>
      <c r="C255" s="204">
        <v>70</v>
      </c>
      <c r="D255" s="189">
        <f t="shared" si="13"/>
        <v>7420</v>
      </c>
      <c r="E255" s="204"/>
      <c r="F255" s="261"/>
      <c r="G255" s="221"/>
      <c r="H255" s="5"/>
      <c r="I255" s="5"/>
      <c r="J255" s="5"/>
      <c r="K255" s="181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0">
        <f>'Données projet'!A234</f>
        <v>120</v>
      </c>
      <c r="B256" s="191">
        <f>'Données projet'!D234</f>
        <v>0</v>
      </c>
      <c r="C256" s="204"/>
      <c r="D256" s="189">
        <f t="shared" si="13"/>
        <v>0</v>
      </c>
      <c r="E256" s="204"/>
      <c r="F256" s="261"/>
      <c r="G256" s="221"/>
      <c r="H256" s="5"/>
      <c r="I256" s="5"/>
      <c r="J256" s="5"/>
      <c r="K256" s="181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0">
        <f>'Données projet'!A235</f>
        <v>130</v>
      </c>
      <c r="B257" s="191">
        <f>'Données projet'!D235</f>
        <v>91</v>
      </c>
      <c r="C257" s="204">
        <v>100</v>
      </c>
      <c r="D257" s="189">
        <f t="shared" si="13"/>
        <v>9100</v>
      </c>
      <c r="E257" s="204"/>
      <c r="F257" s="261"/>
      <c r="G257" s="221"/>
      <c r="H257" s="5"/>
      <c r="I257" s="5"/>
      <c r="J257" s="5"/>
      <c r="K257" s="181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0">
        <f>'Données projet'!A236</f>
        <v>140</v>
      </c>
      <c r="B258" s="191">
        <f>'Données projet'!D236</f>
        <v>0</v>
      </c>
      <c r="C258" s="204"/>
      <c r="D258" s="189">
        <f t="shared" si="13"/>
        <v>0</v>
      </c>
      <c r="E258" s="204"/>
      <c r="F258" s="261"/>
      <c r="G258" s="221"/>
      <c r="H258" s="5"/>
      <c r="I258" s="5"/>
      <c r="J258" s="5"/>
      <c r="K258" s="181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0">
        <f>'Données projet'!A237</f>
        <v>150</v>
      </c>
      <c r="B259" s="191">
        <f>'Données projet'!D237</f>
        <v>376</v>
      </c>
      <c r="C259" s="204">
        <v>200</v>
      </c>
      <c r="D259" s="189">
        <f t="shared" si="13"/>
        <v>75200</v>
      </c>
      <c r="E259" s="204"/>
      <c r="F259" s="261"/>
      <c r="G259" s="221"/>
      <c r="H259" s="5"/>
      <c r="I259" s="5"/>
      <c r="J259" s="5"/>
      <c r="K259" s="181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59"/>
      <c r="G260" s="221"/>
      <c r="H260" s="5"/>
      <c r="I260" s="5"/>
      <c r="J260" s="5"/>
      <c r="K260" s="181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59"/>
      <c r="G261" s="221"/>
      <c r="H261" s="5"/>
      <c r="I261" s="5"/>
      <c r="J261" s="5"/>
      <c r="K261" s="181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4" t="str">
        <f>IF('Données projet'!$B$17="","",'Données projet'!$B$17)</f>
        <v>Tilleul</v>
      </c>
      <c r="C262" s="5"/>
      <c r="D262" s="5"/>
      <c r="E262" s="5"/>
      <c r="F262" s="259"/>
      <c r="G262" s="221"/>
      <c r="H262" s="5"/>
      <c r="I262" s="5"/>
      <c r="J262" s="5"/>
      <c r="K262" s="181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59"/>
      <c r="G263" s="221"/>
      <c r="H263" s="5"/>
      <c r="I263" s="5"/>
      <c r="J263" s="5"/>
      <c r="K263" s="181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5" t="s">
        <v>180</v>
      </c>
      <c r="B264" s="51" t="s">
        <v>256</v>
      </c>
      <c r="C264" s="51" t="s">
        <v>255</v>
      </c>
      <c r="D264" s="255" t="s">
        <v>252</v>
      </c>
      <c r="E264" s="255" t="s">
        <v>320</v>
      </c>
      <c r="F264" s="260"/>
      <c r="G264" s="221"/>
      <c r="H264" s="5"/>
      <c r="I264" s="5"/>
      <c r="J264" s="5"/>
      <c r="K264" s="181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08">
        <v>0</v>
      </c>
      <c r="B265" s="211" t="s">
        <v>132</v>
      </c>
      <c r="C265" s="210" t="s">
        <v>132</v>
      </c>
      <c r="D265" s="209" t="s">
        <v>132</v>
      </c>
      <c r="E265" s="204"/>
      <c r="F265" s="260"/>
      <c r="G265" s="221"/>
      <c r="H265" s="5"/>
      <c r="I265" s="5"/>
      <c r="J265" s="5"/>
      <c r="K265" s="181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08">
        <v>1</v>
      </c>
      <c r="B266" s="211" t="s">
        <v>132</v>
      </c>
      <c r="C266" s="210" t="s">
        <v>132</v>
      </c>
      <c r="D266" s="209" t="s">
        <v>132</v>
      </c>
      <c r="E266" s="204"/>
      <c r="F266" s="260"/>
      <c r="G266" s="219"/>
      <c r="H266" s="5"/>
      <c r="I266" s="5"/>
      <c r="J266" s="5"/>
      <c r="K266" s="181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08">
        <v>2</v>
      </c>
      <c r="B267" s="211" t="s">
        <v>132</v>
      </c>
      <c r="C267" s="210" t="s">
        <v>132</v>
      </c>
      <c r="D267" s="209" t="s">
        <v>132</v>
      </c>
      <c r="E267" s="204"/>
      <c r="F267" s="260"/>
      <c r="G267" s="219"/>
      <c r="H267" s="5"/>
      <c r="I267" s="5"/>
      <c r="J267" s="5"/>
      <c r="K267" s="181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08">
        <v>3</v>
      </c>
      <c r="B268" s="211" t="s">
        <v>132</v>
      </c>
      <c r="C268" s="210" t="s">
        <v>132</v>
      </c>
      <c r="D268" s="209" t="s">
        <v>132</v>
      </c>
      <c r="E268" s="204"/>
      <c r="F268" s="260"/>
      <c r="G268" s="219"/>
      <c r="H268" s="5"/>
      <c r="I268" s="5"/>
      <c r="J268" s="5"/>
      <c r="K268" s="181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08">
        <v>4</v>
      </c>
      <c r="B269" s="211" t="s">
        <v>132</v>
      </c>
      <c r="C269" s="210" t="s">
        <v>132</v>
      </c>
      <c r="D269" s="209" t="s">
        <v>132</v>
      </c>
      <c r="E269" s="204"/>
      <c r="F269" s="260"/>
      <c r="G269" s="219"/>
      <c r="H269" s="5"/>
      <c r="I269" s="5"/>
      <c r="J269" s="5"/>
      <c r="K269" s="181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08">
        <v>5</v>
      </c>
      <c r="B270" s="211" t="s">
        <v>132</v>
      </c>
      <c r="C270" s="210" t="s">
        <v>132</v>
      </c>
      <c r="D270" s="209" t="s">
        <v>132</v>
      </c>
      <c r="E270" s="204"/>
      <c r="F270" s="260"/>
      <c r="G270" s="220"/>
      <c r="H270" s="5"/>
      <c r="I270" s="5"/>
      <c r="J270" s="5"/>
      <c r="K270" s="181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0">
        <f>'Données projet'!A244</f>
        <v>10</v>
      </c>
      <c r="B271" s="191">
        <f>'Données projet'!D244</f>
        <v>0</v>
      </c>
      <c r="C271" s="204"/>
      <c r="D271" s="189">
        <f>B271*C271</f>
        <v>0</v>
      </c>
      <c r="E271" s="204"/>
      <c r="F271" s="261"/>
      <c r="G271" s="220"/>
      <c r="H271" s="5"/>
      <c r="I271" s="5"/>
      <c r="J271" s="5"/>
      <c r="K271" s="181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0">
        <f>'Données projet'!A245</f>
        <v>15</v>
      </c>
      <c r="B272" s="191">
        <f>'Données projet'!D245</f>
        <v>0</v>
      </c>
      <c r="C272" s="204"/>
      <c r="D272" s="189">
        <f t="shared" ref="D272:D290" si="14">B272*C272</f>
        <v>0</v>
      </c>
      <c r="E272" s="204"/>
      <c r="F272" s="261"/>
      <c r="G272" s="220"/>
      <c r="H272" s="5"/>
      <c r="I272" s="5"/>
      <c r="J272" s="5"/>
      <c r="K272" s="181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0">
        <f>'Données projet'!A246</f>
        <v>20</v>
      </c>
      <c r="B273" s="191">
        <f>'Données projet'!D246</f>
        <v>39.102564102564102</v>
      </c>
      <c r="C273" s="202">
        <v>10</v>
      </c>
      <c r="D273" s="189">
        <f t="shared" si="14"/>
        <v>391.02564102564099</v>
      </c>
      <c r="E273" s="204"/>
      <c r="F273" s="261"/>
      <c r="G273" s="220"/>
      <c r="H273" s="5"/>
      <c r="I273" s="5"/>
      <c r="J273" s="5"/>
      <c r="K273" s="181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0">
        <f>'Données projet'!A247</f>
        <v>25</v>
      </c>
      <c r="B274" s="191">
        <f>'Données projet'!D247</f>
        <v>0</v>
      </c>
      <c r="C274" s="202"/>
      <c r="D274" s="189">
        <f t="shared" si="14"/>
        <v>0</v>
      </c>
      <c r="E274" s="204"/>
      <c r="F274" s="261"/>
      <c r="G274" s="220"/>
      <c r="H274" s="5"/>
      <c r="I274" s="5"/>
      <c r="J274" s="5"/>
      <c r="K274" s="181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0">
        <f>'Données projet'!A248</f>
        <v>30</v>
      </c>
      <c r="B275" s="191">
        <f>'Données projet'!D248</f>
        <v>39.102564102564102</v>
      </c>
      <c r="C275" s="202">
        <v>10</v>
      </c>
      <c r="D275" s="189">
        <f t="shared" si="14"/>
        <v>391.02564102564099</v>
      </c>
      <c r="E275" s="204"/>
      <c r="F275" s="261"/>
      <c r="G275" s="220"/>
      <c r="H275" s="5"/>
      <c r="I275" s="5"/>
      <c r="J275" s="5"/>
      <c r="K275" s="181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0">
        <f>'Données projet'!A249</f>
        <v>35</v>
      </c>
      <c r="B276" s="191">
        <f>'Données projet'!D249</f>
        <v>0</v>
      </c>
      <c r="C276" s="202"/>
      <c r="D276" s="189">
        <f t="shared" si="14"/>
        <v>0</v>
      </c>
      <c r="E276" s="204"/>
      <c r="F276" s="261"/>
      <c r="G276" s="220"/>
      <c r="H276" s="5"/>
      <c r="I276" s="5"/>
      <c r="J276" s="5"/>
      <c r="K276" s="181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0">
        <f>'Données projet'!A250</f>
        <v>40</v>
      </c>
      <c r="B277" s="191">
        <f>'Données projet'!D250</f>
        <v>39.743589743589745</v>
      </c>
      <c r="C277" s="202">
        <v>10</v>
      </c>
      <c r="D277" s="189">
        <f t="shared" si="14"/>
        <v>397.43589743589746</v>
      </c>
      <c r="E277" s="204"/>
      <c r="F277" s="261"/>
      <c r="G277" s="221"/>
      <c r="H277" s="5"/>
      <c r="I277" s="5"/>
      <c r="J277" s="5"/>
      <c r="K277" s="181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0">
        <f>'Données projet'!A251</f>
        <v>45</v>
      </c>
      <c r="B278" s="191">
        <f>'Données projet'!D251</f>
        <v>0</v>
      </c>
      <c r="C278" s="202"/>
      <c r="D278" s="189">
        <f t="shared" si="14"/>
        <v>0</v>
      </c>
      <c r="E278" s="204"/>
      <c r="F278" s="261"/>
      <c r="G278" s="221"/>
      <c r="H278" s="5"/>
      <c r="I278" s="5"/>
      <c r="J278" s="5"/>
      <c r="K278" s="181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0">
        <f>'Données projet'!A252</f>
        <v>50</v>
      </c>
      <c r="B279" s="191">
        <f>'Données projet'!D252</f>
        <v>36.53846153846154</v>
      </c>
      <c r="C279" s="202">
        <v>15</v>
      </c>
      <c r="D279" s="189">
        <f t="shared" si="14"/>
        <v>548.07692307692309</v>
      </c>
      <c r="E279" s="204"/>
      <c r="F279" s="261"/>
      <c r="G279" s="221"/>
      <c r="H279" s="5"/>
      <c r="I279" s="5"/>
      <c r="J279" s="5"/>
      <c r="K279" s="181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0">
        <f>'Données projet'!A253</f>
        <v>55</v>
      </c>
      <c r="B280" s="191">
        <f>'Données projet'!D253</f>
        <v>0</v>
      </c>
      <c r="C280" s="202"/>
      <c r="D280" s="189">
        <f t="shared" si="14"/>
        <v>0</v>
      </c>
      <c r="E280" s="204"/>
      <c r="F280" s="261"/>
      <c r="G280" s="221"/>
      <c r="H280" s="5"/>
      <c r="I280" s="5"/>
      <c r="J280" s="5"/>
      <c r="K280" s="181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0">
        <f>'Données projet'!A254</f>
        <v>60</v>
      </c>
      <c r="B281" s="191">
        <f>'Données projet'!D254</f>
        <v>35.256410256410255</v>
      </c>
      <c r="C281" s="202">
        <v>20</v>
      </c>
      <c r="D281" s="189">
        <f t="shared" si="14"/>
        <v>705.12820512820508</v>
      </c>
      <c r="E281" s="204"/>
      <c r="F281" s="261"/>
      <c r="G281" s="221"/>
      <c r="H281" s="5"/>
      <c r="I281" s="5"/>
      <c r="J281" s="5"/>
      <c r="K281" s="181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0">
        <f>'Données projet'!A255</f>
        <v>65</v>
      </c>
      <c r="B282" s="191">
        <f>'Données projet'!D255</f>
        <v>0</v>
      </c>
      <c r="C282" s="202"/>
      <c r="D282" s="189">
        <f t="shared" si="14"/>
        <v>0</v>
      </c>
      <c r="E282" s="204"/>
      <c r="F282" s="261"/>
      <c r="G282" s="221"/>
      <c r="H282" s="5"/>
      <c r="I282" s="5"/>
      <c r="J282" s="5"/>
      <c r="K282" s="181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0">
        <f>'Données projet'!A256</f>
        <v>70</v>
      </c>
      <c r="B283" s="191">
        <f>'Données projet'!D256</f>
        <v>31.410256410256409</v>
      </c>
      <c r="C283" s="202">
        <v>30</v>
      </c>
      <c r="D283" s="189">
        <f t="shared" si="14"/>
        <v>942.30769230769226</v>
      </c>
      <c r="E283" s="204"/>
      <c r="F283" s="261"/>
      <c r="G283" s="221"/>
      <c r="H283" s="5"/>
      <c r="I283" s="5"/>
      <c r="J283" s="5"/>
      <c r="K283" s="181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0">
        <f>'Données projet'!A257</f>
        <v>75</v>
      </c>
      <c r="B284" s="191">
        <f>'Données projet'!D257</f>
        <v>0</v>
      </c>
      <c r="C284" s="202"/>
      <c r="D284" s="189">
        <f t="shared" si="14"/>
        <v>0</v>
      </c>
      <c r="E284" s="204"/>
      <c r="F284" s="261"/>
      <c r="G284" s="221"/>
      <c r="H284" s="5"/>
      <c r="I284" s="5"/>
      <c r="J284" s="5"/>
      <c r="K284" s="181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0">
        <f>'Données projet'!A258</f>
        <v>80</v>
      </c>
      <c r="B285" s="191">
        <f>'Données projet'!D258</f>
        <v>28.846153846153847</v>
      </c>
      <c r="C285" s="202">
        <v>30</v>
      </c>
      <c r="D285" s="189">
        <f t="shared" si="14"/>
        <v>865.38461538461536</v>
      </c>
      <c r="E285" s="204"/>
      <c r="F285" s="261"/>
      <c r="G285" s="221"/>
      <c r="H285" s="5"/>
      <c r="I285" s="5"/>
      <c r="J285" s="5"/>
      <c r="K285" s="181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0">
        <f>'Données projet'!A259</f>
        <v>85</v>
      </c>
      <c r="B286" s="191">
        <f>'Données projet'!D259</f>
        <v>0</v>
      </c>
      <c r="C286" s="202"/>
      <c r="D286" s="189">
        <f t="shared" si="14"/>
        <v>0</v>
      </c>
      <c r="E286" s="204"/>
      <c r="F286" s="261"/>
      <c r="G286" s="221"/>
      <c r="H286" s="5"/>
      <c r="I286" s="5"/>
      <c r="J286" s="5"/>
      <c r="K286" s="181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0">
        <f>'Données projet'!A260</f>
        <v>90</v>
      </c>
      <c r="B287" s="191">
        <f>'Données projet'!D260</f>
        <v>27.564102564102562</v>
      </c>
      <c r="C287" s="202">
        <v>40</v>
      </c>
      <c r="D287" s="189">
        <f t="shared" si="14"/>
        <v>1102.5641025641025</v>
      </c>
      <c r="E287" s="204"/>
      <c r="F287" s="261"/>
      <c r="G287" s="221"/>
      <c r="H287" s="5"/>
      <c r="I287" s="5"/>
      <c r="J287" s="5"/>
      <c r="K287" s="181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0">
        <f>'Données projet'!A261</f>
        <v>95</v>
      </c>
      <c r="B288" s="191">
        <f>'Données projet'!D261</f>
        <v>0</v>
      </c>
      <c r="C288" s="202"/>
      <c r="D288" s="189">
        <f t="shared" si="14"/>
        <v>0</v>
      </c>
      <c r="E288" s="204"/>
      <c r="F288" s="261"/>
      <c r="G288" s="221"/>
      <c r="H288" s="5"/>
      <c r="I288" s="5"/>
      <c r="J288" s="5"/>
      <c r="K288" s="181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0">
        <f>'Données projet'!A262</f>
        <v>100</v>
      </c>
      <c r="B289" s="191">
        <f>'Données projet'!D262</f>
        <v>25</v>
      </c>
      <c r="C289" s="202">
        <v>40</v>
      </c>
      <c r="D289" s="189">
        <f t="shared" si="14"/>
        <v>1000</v>
      </c>
      <c r="E289" s="204"/>
      <c r="F289" s="261"/>
      <c r="G289" s="221"/>
      <c r="H289" s="5"/>
      <c r="I289" s="5"/>
      <c r="J289" s="5"/>
      <c r="K289" s="181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0">
        <f>'Données projet'!A263</f>
        <v>110</v>
      </c>
      <c r="B290" s="191">
        <f>'Données projet'!D263</f>
        <v>366.66666666666663</v>
      </c>
      <c r="C290" s="202">
        <v>60</v>
      </c>
      <c r="D290" s="189">
        <f t="shared" si="14"/>
        <v>21999.999999999996</v>
      </c>
      <c r="E290" s="204"/>
      <c r="F290" s="261"/>
      <c r="G290" s="221"/>
      <c r="H290" s="5"/>
      <c r="I290" s="5"/>
      <c r="J290" s="5"/>
      <c r="K290" s="181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59"/>
      <c r="G291" s="221"/>
      <c r="H291" s="5"/>
      <c r="I291" s="5"/>
      <c r="J291" s="5"/>
      <c r="K291" s="181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59"/>
      <c r="G292" s="221"/>
      <c r="H292" s="5"/>
      <c r="I292" s="5"/>
      <c r="J292" s="5"/>
      <c r="K292" s="181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4" t="str">
        <f>IF('Données projet'!$B$18="","",'Données projet'!$B$18)</f>
        <v>Bouleau verruqueux</v>
      </c>
      <c r="C293" s="5"/>
      <c r="D293" s="5"/>
      <c r="E293" s="5"/>
      <c r="F293" s="259"/>
      <c r="G293" s="221"/>
      <c r="H293" s="5"/>
      <c r="I293" s="5"/>
      <c r="J293" s="5"/>
      <c r="K293" s="181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59"/>
      <c r="G294" s="221"/>
      <c r="H294" s="5"/>
      <c r="I294" s="5"/>
      <c r="J294" s="5"/>
      <c r="K294" s="181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5" t="s">
        <v>180</v>
      </c>
      <c r="B295" s="51" t="s">
        <v>256</v>
      </c>
      <c r="C295" s="51" t="s">
        <v>255</v>
      </c>
      <c r="D295" s="255" t="s">
        <v>252</v>
      </c>
      <c r="E295" s="255" t="s">
        <v>320</v>
      </c>
      <c r="F295" s="260"/>
      <c r="G295" s="221"/>
      <c r="H295" s="5"/>
      <c r="I295" s="5"/>
      <c r="J295" s="5"/>
      <c r="K295" s="181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08">
        <v>0</v>
      </c>
      <c r="B296" s="211" t="s">
        <v>132</v>
      </c>
      <c r="C296" s="210" t="s">
        <v>132</v>
      </c>
      <c r="D296" s="209" t="s">
        <v>132</v>
      </c>
      <c r="E296" s="204"/>
      <c r="F296" s="260"/>
      <c r="G296" s="221"/>
      <c r="H296" s="5"/>
      <c r="I296" s="5"/>
      <c r="J296" s="5"/>
      <c r="K296" s="181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08">
        <v>1</v>
      </c>
      <c r="B297" s="211" t="s">
        <v>132</v>
      </c>
      <c r="C297" s="210" t="s">
        <v>132</v>
      </c>
      <c r="D297" s="209" t="s">
        <v>132</v>
      </c>
      <c r="E297" s="204"/>
      <c r="F297" s="260"/>
      <c r="G297" s="219"/>
      <c r="H297" s="5"/>
      <c r="I297" s="5"/>
      <c r="J297" s="5"/>
      <c r="K297" s="181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08">
        <v>2</v>
      </c>
      <c r="B298" s="211" t="s">
        <v>132</v>
      </c>
      <c r="C298" s="210" t="s">
        <v>132</v>
      </c>
      <c r="D298" s="209" t="s">
        <v>132</v>
      </c>
      <c r="E298" s="204"/>
      <c r="F298" s="260"/>
      <c r="G298" s="219"/>
      <c r="H298" s="5"/>
      <c r="I298" s="5"/>
      <c r="J298" s="5"/>
      <c r="K298" s="181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08">
        <v>3</v>
      </c>
      <c r="B299" s="211" t="s">
        <v>132</v>
      </c>
      <c r="C299" s="210" t="s">
        <v>132</v>
      </c>
      <c r="D299" s="209" t="s">
        <v>132</v>
      </c>
      <c r="E299" s="204"/>
      <c r="F299" s="260"/>
      <c r="G299" s="219"/>
      <c r="H299" s="5"/>
      <c r="I299" s="5"/>
      <c r="J299" s="5"/>
      <c r="K299" s="181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08">
        <v>4</v>
      </c>
      <c r="B300" s="211" t="s">
        <v>132</v>
      </c>
      <c r="C300" s="210" t="s">
        <v>132</v>
      </c>
      <c r="D300" s="209" t="s">
        <v>132</v>
      </c>
      <c r="E300" s="204"/>
      <c r="F300" s="260"/>
      <c r="G300" s="219"/>
      <c r="H300" s="5"/>
      <c r="I300" s="5"/>
      <c r="J300" s="5"/>
      <c r="K300" s="181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08">
        <v>5</v>
      </c>
      <c r="B301" s="211" t="s">
        <v>132</v>
      </c>
      <c r="C301" s="210" t="s">
        <v>132</v>
      </c>
      <c r="D301" s="209" t="s">
        <v>132</v>
      </c>
      <c r="E301" s="204"/>
      <c r="F301" s="260"/>
      <c r="G301" s="220"/>
      <c r="H301" s="5"/>
      <c r="I301" s="5"/>
      <c r="J301" s="5"/>
      <c r="K301" s="181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0">
        <f>'Données projet'!A270</f>
        <v>10</v>
      </c>
      <c r="B302" s="191">
        <f>'Données projet'!D270</f>
        <v>0</v>
      </c>
      <c r="C302" s="202"/>
      <c r="D302" s="192">
        <f>B302*C302</f>
        <v>0</v>
      </c>
      <c r="E302" s="204"/>
      <c r="F302" s="262"/>
      <c r="G302" s="220"/>
      <c r="H302" s="5"/>
      <c r="I302" s="5"/>
      <c r="J302" s="5"/>
      <c r="K302" s="181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0">
        <f>'Données projet'!A271</f>
        <v>15</v>
      </c>
      <c r="B303" s="191">
        <f>'Données projet'!D271</f>
        <v>0</v>
      </c>
      <c r="C303" s="202"/>
      <c r="D303" s="192">
        <f t="shared" ref="D303:D321" si="15">B303*C303</f>
        <v>0</v>
      </c>
      <c r="E303" s="204"/>
      <c r="F303" s="262"/>
      <c r="G303" s="220"/>
      <c r="H303" s="5"/>
      <c r="I303" s="5"/>
      <c r="J303" s="5"/>
      <c r="K303" s="181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0">
        <f>'Données projet'!A272</f>
        <v>20</v>
      </c>
      <c r="B304" s="191">
        <f>'Données projet'!D272</f>
        <v>40</v>
      </c>
      <c r="C304" s="202">
        <v>10</v>
      </c>
      <c r="D304" s="192">
        <f t="shared" si="15"/>
        <v>400</v>
      </c>
      <c r="E304" s="204"/>
      <c r="F304" s="262"/>
      <c r="G304" s="220"/>
      <c r="H304" s="5"/>
      <c r="I304" s="5"/>
      <c r="J304" s="5"/>
      <c r="K304" s="181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0">
        <f>'Données projet'!A273</f>
        <v>25</v>
      </c>
      <c r="B305" s="191">
        <f>'Données projet'!D273</f>
        <v>0</v>
      </c>
      <c r="C305" s="202"/>
      <c r="D305" s="192">
        <f t="shared" si="15"/>
        <v>0</v>
      </c>
      <c r="E305" s="204"/>
      <c r="F305" s="262"/>
      <c r="G305" s="220"/>
      <c r="H305" s="5"/>
      <c r="I305" s="5"/>
      <c r="J305" s="5"/>
      <c r="K305" s="181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0">
        <f>'Données projet'!A274</f>
        <v>30</v>
      </c>
      <c r="B306" s="191">
        <f>'Données projet'!D274</f>
        <v>0</v>
      </c>
      <c r="C306" s="202"/>
      <c r="D306" s="192">
        <f t="shared" si="15"/>
        <v>0</v>
      </c>
      <c r="E306" s="204"/>
      <c r="F306" s="262"/>
      <c r="G306" s="220"/>
      <c r="H306" s="5"/>
      <c r="I306" s="5"/>
      <c r="J306" s="5"/>
      <c r="K306" s="181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0">
        <f>'Données projet'!A275</f>
        <v>35</v>
      </c>
      <c r="B307" s="191">
        <f>'Données projet'!D275</f>
        <v>76</v>
      </c>
      <c r="C307" s="202">
        <v>10</v>
      </c>
      <c r="D307" s="192">
        <f t="shared" si="15"/>
        <v>760</v>
      </c>
      <c r="E307" s="204"/>
      <c r="F307" s="262"/>
      <c r="G307" s="220"/>
      <c r="H307" s="5"/>
      <c r="I307" s="5"/>
      <c r="J307" s="5"/>
      <c r="K307" s="181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0">
        <f>'Données projet'!A276</f>
        <v>40</v>
      </c>
      <c r="B308" s="191">
        <f>'Données projet'!D276</f>
        <v>0</v>
      </c>
      <c r="C308" s="202"/>
      <c r="D308" s="192">
        <f t="shared" si="15"/>
        <v>0</v>
      </c>
      <c r="E308" s="204"/>
      <c r="F308" s="262"/>
      <c r="G308" s="216"/>
      <c r="H308" s="5"/>
      <c r="I308" s="5"/>
      <c r="J308" s="5"/>
      <c r="K308" s="181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0">
        <f>'Données projet'!A277</f>
        <v>45</v>
      </c>
      <c r="B309" s="191">
        <f>'Données projet'!D277</f>
        <v>0</v>
      </c>
      <c r="C309" s="202"/>
      <c r="D309" s="192">
        <f t="shared" si="15"/>
        <v>0</v>
      </c>
      <c r="E309" s="204"/>
      <c r="F309" s="262"/>
      <c r="G309" s="216"/>
      <c r="H309" s="5"/>
      <c r="I309" s="5"/>
      <c r="J309" s="5"/>
      <c r="K309" s="181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0">
        <f>'Données projet'!A278</f>
        <v>50</v>
      </c>
      <c r="B310" s="191">
        <f>'Données projet'!D278</f>
        <v>0</v>
      </c>
      <c r="C310" s="202"/>
      <c r="D310" s="192">
        <f t="shared" si="15"/>
        <v>0</v>
      </c>
      <c r="E310" s="204"/>
      <c r="F310" s="262"/>
      <c r="G310" s="216"/>
      <c r="H310" s="5"/>
      <c r="I310" s="5"/>
      <c r="J310" s="5"/>
      <c r="K310" s="181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0">
        <f>'Données projet'!A279</f>
        <v>55</v>
      </c>
      <c r="B311" s="191">
        <f>'Données projet'!D279</f>
        <v>0</v>
      </c>
      <c r="C311" s="202"/>
      <c r="D311" s="192">
        <f t="shared" si="15"/>
        <v>0</v>
      </c>
      <c r="E311" s="204"/>
      <c r="F311" s="262"/>
      <c r="G311" s="216"/>
      <c r="H311" s="5"/>
      <c r="I311" s="5"/>
      <c r="J311" s="5"/>
      <c r="K311" s="181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0">
        <f>'Données projet'!A280</f>
        <v>60</v>
      </c>
      <c r="B312" s="191">
        <f>'Données projet'!D280</f>
        <v>303</v>
      </c>
      <c r="C312" s="202">
        <v>40</v>
      </c>
      <c r="D312" s="192">
        <f t="shared" si="15"/>
        <v>12120</v>
      </c>
      <c r="E312" s="204"/>
      <c r="F312" s="262"/>
      <c r="G312" s="216"/>
      <c r="H312" s="5"/>
      <c r="I312" s="5"/>
      <c r="J312" s="5"/>
      <c r="K312" s="181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0">
        <f>'Données projet'!A281</f>
        <v>0</v>
      </c>
      <c r="B313" s="191">
        <f>'Données projet'!D281</f>
        <v>0</v>
      </c>
      <c r="C313" s="202"/>
      <c r="D313" s="192">
        <f t="shared" si="15"/>
        <v>0</v>
      </c>
      <c r="E313" s="204"/>
      <c r="F313" s="262"/>
      <c r="G313" s="216"/>
      <c r="H313" s="5"/>
      <c r="I313" s="5"/>
      <c r="J313" s="5"/>
      <c r="K313" s="181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0">
        <f>'Données projet'!A282</f>
        <v>0</v>
      </c>
      <c r="B314" s="191">
        <f>'Données projet'!D282</f>
        <v>0</v>
      </c>
      <c r="C314" s="202"/>
      <c r="D314" s="192">
        <f t="shared" si="15"/>
        <v>0</v>
      </c>
      <c r="E314" s="204"/>
      <c r="F314" s="262"/>
      <c r="G314" s="216"/>
      <c r="H314" s="5"/>
      <c r="I314" s="5"/>
      <c r="J314" s="5"/>
      <c r="K314" s="181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0">
        <f>'Données projet'!A283</f>
        <v>0</v>
      </c>
      <c r="B315" s="191">
        <f>'Données projet'!D283</f>
        <v>0</v>
      </c>
      <c r="C315" s="202"/>
      <c r="D315" s="192">
        <f t="shared" si="15"/>
        <v>0</v>
      </c>
      <c r="E315" s="204"/>
      <c r="F315" s="262"/>
      <c r="G315" s="216"/>
      <c r="H315" s="5"/>
      <c r="I315" s="5"/>
      <c r="J315" s="5"/>
      <c r="K315" s="181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0">
        <f>'Données projet'!A284</f>
        <v>0</v>
      </c>
      <c r="B316" s="191">
        <f>'Données projet'!D284</f>
        <v>0</v>
      </c>
      <c r="C316" s="202"/>
      <c r="D316" s="192">
        <f t="shared" si="15"/>
        <v>0</v>
      </c>
      <c r="E316" s="204"/>
      <c r="F316" s="262"/>
      <c r="G316" s="216"/>
      <c r="H316" s="5"/>
      <c r="I316" s="5"/>
      <c r="J316" s="5"/>
      <c r="K316" s="181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0">
        <f>'Données projet'!A285</f>
        <v>0</v>
      </c>
      <c r="B317" s="191">
        <f>'Données projet'!D285</f>
        <v>0</v>
      </c>
      <c r="C317" s="202"/>
      <c r="D317" s="192">
        <f t="shared" si="15"/>
        <v>0</v>
      </c>
      <c r="E317" s="204"/>
      <c r="F317" s="262"/>
      <c r="G317" s="216"/>
      <c r="H317" s="5"/>
      <c r="I317" s="5"/>
      <c r="J317" s="5"/>
      <c r="K317" s="181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0">
        <f>'Données projet'!A286</f>
        <v>0</v>
      </c>
      <c r="B318" s="191">
        <f>'Données projet'!D286</f>
        <v>0</v>
      </c>
      <c r="C318" s="202"/>
      <c r="D318" s="192">
        <f t="shared" si="15"/>
        <v>0</v>
      </c>
      <c r="E318" s="204"/>
      <c r="F318" s="262"/>
      <c r="G318" s="216"/>
      <c r="H318" s="5"/>
      <c r="I318" s="5"/>
      <c r="J318" s="5"/>
      <c r="K318" s="181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0">
        <f>'Données projet'!A287</f>
        <v>0</v>
      </c>
      <c r="B319" s="191">
        <f>'Données projet'!D287</f>
        <v>0</v>
      </c>
      <c r="C319" s="202"/>
      <c r="D319" s="192">
        <f t="shared" si="15"/>
        <v>0</v>
      </c>
      <c r="E319" s="204"/>
      <c r="F319" s="262"/>
      <c r="G319" s="216"/>
      <c r="H319" s="5"/>
      <c r="I319" s="5"/>
      <c r="J319" s="5"/>
      <c r="K319" s="181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0">
        <f>'Données projet'!A288</f>
        <v>0</v>
      </c>
      <c r="B320" s="191">
        <f>'Données projet'!D288</f>
        <v>0</v>
      </c>
      <c r="C320" s="202"/>
      <c r="D320" s="192">
        <f t="shared" si="15"/>
        <v>0</v>
      </c>
      <c r="E320" s="204"/>
      <c r="F320" s="262"/>
      <c r="G320" s="216"/>
      <c r="H320" s="5"/>
      <c r="I320" s="5"/>
      <c r="J320" s="5"/>
      <c r="K320" s="181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0">
        <f>'Données projet'!A289</f>
        <v>0</v>
      </c>
      <c r="B321" s="191">
        <f>'Données projet'!D289</f>
        <v>0</v>
      </c>
      <c r="C321" s="207"/>
      <c r="D321" s="192">
        <f t="shared" si="15"/>
        <v>0</v>
      </c>
      <c r="E321" s="204"/>
      <c r="F321" s="262"/>
      <c r="G321" s="216"/>
      <c r="H321" s="5"/>
      <c r="I321" s="5"/>
      <c r="J321" s="5"/>
      <c r="K321" s="181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6"/>
      <c r="H322" s="5"/>
      <c r="I322" s="5"/>
      <c r="J322" s="5"/>
      <c r="K322" s="181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6"/>
      <c r="H323" s="5"/>
      <c r="I323" s="5"/>
      <c r="J323" s="5"/>
      <c r="K323" s="181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6"/>
      <c r="H324" s="5"/>
      <c r="I324" s="5"/>
      <c r="J324" s="5"/>
      <c r="K324" s="181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6"/>
      <c r="H325" s="5"/>
      <c r="I325" s="5"/>
      <c r="J325" s="5"/>
      <c r="K325" s="181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6"/>
      <c r="H326" s="5"/>
      <c r="I326" s="5"/>
      <c r="J326" s="5"/>
      <c r="K326" s="181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6"/>
      <c r="H327" s="5"/>
      <c r="I327" s="5"/>
      <c r="J327" s="5"/>
      <c r="K327" s="181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29"/>
      <c r="G328" s="229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29"/>
      <c r="G329" s="229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29"/>
      <c r="G330" s="229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29"/>
      <c r="G331" s="229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29"/>
      <c r="G332" s="229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29"/>
      <c r="G333" s="229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29"/>
      <c r="G334" s="229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29"/>
      <c r="G335" s="229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29"/>
      <c r="G336" s="229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29"/>
      <c r="G337" s="229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29"/>
      <c r="G338" s="229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29"/>
      <c r="G339" s="229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29"/>
      <c r="G340" s="229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29"/>
      <c r="G341" s="229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29"/>
      <c r="G342" s="229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29"/>
      <c r="G343" s="229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29"/>
      <c r="G344" s="229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29"/>
      <c r="G345" s="229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29"/>
      <c r="G346" s="229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29"/>
      <c r="G347" s="229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29"/>
      <c r="G348" s="229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29"/>
      <c r="G349" s="229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29"/>
      <c r="G350" s="229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29"/>
      <c r="G351" s="229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29"/>
      <c r="G352" s="229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29"/>
      <c r="G353" s="229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29"/>
      <c r="G354" s="229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29"/>
      <c r="G355" s="229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29"/>
      <c r="G356" s="229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29"/>
      <c r="G357" s="229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29"/>
      <c r="G358" s="229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29"/>
      <c r="G359" s="229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29"/>
      <c r="G360" s="229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29"/>
      <c r="G361" s="229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29"/>
      <c r="G362" s="229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29"/>
      <c r="G363" s="229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29"/>
      <c r="G364" s="229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29"/>
      <c r="G365" s="229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29"/>
      <c r="G366" s="229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29"/>
      <c r="G367" s="229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29"/>
      <c r="G368" s="229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29"/>
      <c r="G369" s="229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29"/>
      <c r="G370" s="69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29"/>
      <c r="G371" s="69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29"/>
      <c r="G372" s="69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29"/>
      <c r="G373" s="69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29"/>
      <c r="G374" s="69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29"/>
      <c r="G375" s="69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29"/>
      <c r="G376" s="69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29"/>
      <c r="G377" s="69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29"/>
      <c r="G378" s="69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29"/>
      <c r="G379" s="69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29"/>
      <c r="G380" s="69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29"/>
      <c r="G381" s="69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29"/>
      <c r="G382" s="69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29"/>
      <c r="G383" s="69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29"/>
      <c r="G384" s="69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29"/>
      <c r="G385" s="69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29"/>
      <c r="G386" s="69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29"/>
      <c r="G387" s="69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29"/>
      <c r="G388" s="69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29"/>
      <c r="G389" s="69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29"/>
      <c r="G390" s="69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29"/>
      <c r="G391" s="69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29"/>
      <c r="G392" s="69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29"/>
      <c r="G393" s="69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29"/>
      <c r="G394" s="69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29"/>
      <c r="G395" s="69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69"/>
      <c r="G396" s="69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69"/>
      <c r="G397" s="69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69"/>
      <c r="G398" s="69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69"/>
      <c r="G399" s="69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69"/>
      <c r="G400" s="69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69"/>
      <c r="G401" s="69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69"/>
      <c r="G402" s="69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69"/>
      <c r="G403" s="69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69"/>
      <c r="G404" s="69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69"/>
      <c r="G405" s="69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69"/>
      <c r="G406" s="69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69"/>
      <c r="G407" s="69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69"/>
      <c r="G408" s="69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69"/>
      <c r="G409" s="69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69"/>
      <c r="G410" s="69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69"/>
      <c r="G411" s="69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69"/>
      <c r="G412" s="69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69"/>
      <c r="G413" s="69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69"/>
      <c r="G414" s="69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69"/>
      <c r="G415" s="69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69"/>
      <c r="G416" s="69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69"/>
      <c r="G417" s="69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69"/>
      <c r="G418" s="69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69"/>
      <c r="G419" s="69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69"/>
      <c r="G420" s="69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69"/>
      <c r="G421" s="69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69"/>
      <c r="G422" s="69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69"/>
      <c r="G423" s="69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69"/>
      <c r="G424" s="69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69"/>
      <c r="G425" s="69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69"/>
      <c r="G426" s="69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69"/>
      <c r="G427" s="69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69"/>
      <c r="G428" s="69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69"/>
      <c r="G429" s="69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69"/>
      <c r="G430" s="69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69"/>
      <c r="G431" s="69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69"/>
      <c r="G432" s="69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69"/>
      <c r="G433" s="69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69"/>
      <c r="G434" s="69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69"/>
      <c r="G435" s="69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69"/>
      <c r="G436" s="69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69"/>
      <c r="G437" s="69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69"/>
      <c r="G438" s="69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69"/>
      <c r="G439" s="69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69"/>
      <c r="G440" s="69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69"/>
      <c r="G441" s="69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Olivier GLEIZES (CNPF - C+FOR)</cp:lastModifiedBy>
  <dcterms:created xsi:type="dcterms:W3CDTF">2021-02-01T08:22:39Z</dcterms:created>
  <dcterms:modified xsi:type="dcterms:W3CDTF">2024-05-21T12:17:32Z</dcterms:modified>
</cp:coreProperties>
</file>