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LE FEL (12)\Doc à déposer\"/>
    </mc:Choice>
  </mc:AlternateContent>
  <xr:revisionPtr revIDLastSave="0" documentId="13_ncr:1_{B9A50A60-CBA7-4E4A-8E78-118E2754AA8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4" i="2" l="1" a="1"/>
  <c r="BC114" i="2" s="1"/>
  <c r="BC38" i="2" a="1"/>
  <c r="BC38" i="2" s="1"/>
  <c r="BC185" i="2" a="1"/>
  <c r="BC185" i="2" s="1"/>
  <c r="BC31" i="2" a="1"/>
  <c r="BC31" i="2" s="1"/>
  <c r="BC32" i="2" a="1"/>
  <c r="BC32" i="2" s="1"/>
  <c r="BC192" i="2" a="1"/>
  <c r="BC192" i="2" s="1"/>
  <c r="BC55" i="2" a="1"/>
  <c r="BC55" i="2" s="1"/>
  <c r="BC151" i="2" a="1"/>
  <c r="BC151" i="2" s="1"/>
  <c r="BC82" i="2" a="1"/>
  <c r="BC82" i="2" s="1"/>
  <c r="BC7" i="2" a="1"/>
  <c r="BC7" i="2" s="1"/>
  <c r="BC83" i="2" a="1"/>
  <c r="BC83" i="2" s="1"/>
  <c r="BC164" i="2" a="1"/>
  <c r="BC164" i="2" s="1"/>
  <c r="BC126" i="2" a="1"/>
  <c r="BC126" i="2" s="1"/>
  <c r="BC47" i="2" a="1"/>
  <c r="BC47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BC181" i="2" a="1"/>
  <c r="BC181" i="2" s="1"/>
  <c r="BC34" i="2" a="1"/>
  <c r="BC34" i="2" s="1"/>
  <c r="BC18" i="2" a="1"/>
  <c r="BC18" i="2" s="1"/>
  <c r="BC84" i="2" a="1"/>
  <c r="BC84" i="2" s="1"/>
  <c r="BC65" i="2" a="1"/>
  <c r="BC65" i="2" s="1"/>
  <c r="AH19" i="2" a="1"/>
  <c r="AH19" i="2" s="1"/>
  <c r="AH62" i="2" a="1"/>
  <c r="AH62" i="2" s="1"/>
  <c r="AH166" i="2" a="1"/>
  <c r="AH166" i="2" s="1"/>
  <c r="AH199" i="2" a="1"/>
  <c r="AH199" i="2" s="1"/>
  <c r="AH163" i="2" a="1"/>
  <c r="AH163" i="2" s="1"/>
  <c r="AH90" i="2" a="1"/>
  <c r="AH90" i="2" s="1"/>
  <c r="AH92" i="2" a="1"/>
  <c r="AH92" i="2" s="1"/>
  <c r="AH151" i="2" a="1"/>
  <c r="AH151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<sst xmlns="http://schemas.openxmlformats.org/spreadsheetml/2006/main" count="1170" uniqueCount="324">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</sst>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J31" sqref="J3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1.1000000000000001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1</v>
      </c>
      <c r="D9" s="36">
        <f t="shared" ref="D9:D18" si="0">C9*$C$5</f>
        <v>1.1000000000000001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1.1000000000000001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27</v>
      </c>
      <c r="B36" s="63">
        <v>118</v>
      </c>
      <c r="C36" s="63">
        <v>1</v>
      </c>
      <c r="D36" s="63">
        <v>15</v>
      </c>
      <c r="E36" s="54"/>
      <c r="F36" s="54"/>
      <c r="G36" s="54"/>
      <c r="H36" s="54">
        <v>1</v>
      </c>
      <c r="I36" s="52">
        <f>IFERROR(B36/A36,"")</f>
        <v>4.3703703703703702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132</v>
      </c>
      <c r="C37" s="63">
        <v>2</v>
      </c>
      <c r="D37" s="63">
        <v>13</v>
      </c>
      <c r="E37" s="54"/>
      <c r="F37" s="54"/>
      <c r="G37" s="54">
        <v>0.5</v>
      </c>
      <c r="H37" s="54">
        <v>0.5</v>
      </c>
      <c r="I37" s="56">
        <f t="shared" ref="I37:I55" si="1">IF(A37&lt;&gt;0,(B37-(B36-D36))/(A37-A36),"")</f>
        <v>9.6666666666666661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169</v>
      </c>
      <c r="C38" s="63">
        <v>3</v>
      </c>
      <c r="D38" s="63">
        <v>23</v>
      </c>
      <c r="E38" s="54">
        <v>0.25</v>
      </c>
      <c r="F38" s="54"/>
      <c r="G38" s="54">
        <v>0.75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208</v>
      </c>
      <c r="C39" s="63">
        <v>4</v>
      </c>
      <c r="D39" s="63">
        <v>34</v>
      </c>
      <c r="E39" s="54">
        <v>0.35</v>
      </c>
      <c r="F39" s="54"/>
      <c r="G39" s="54">
        <v>0.65</v>
      </c>
      <c r="H39" s="54"/>
      <c r="I39" s="52">
        <f t="shared" si="1"/>
        <v>12.4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315</v>
      </c>
      <c r="C40" s="63">
        <v>5</v>
      </c>
      <c r="D40" s="63">
        <v>79</v>
      </c>
      <c r="E40" s="54">
        <v>0.5</v>
      </c>
      <c r="F40" s="54"/>
      <c r="G40" s="54">
        <v>0.5</v>
      </c>
      <c r="H40" s="54"/>
      <c r="I40" s="52">
        <f t="shared" si="1"/>
        <v>14.1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v>393</v>
      </c>
      <c r="C41" s="63">
        <v>6</v>
      </c>
      <c r="D41" s="63">
        <v>88</v>
      </c>
      <c r="E41" s="54">
        <v>0.65</v>
      </c>
      <c r="F41" s="54"/>
      <c r="G41" s="54">
        <v>0.35</v>
      </c>
      <c r="H41" s="54"/>
      <c r="I41" s="56">
        <f t="shared" si="1"/>
        <v>15.7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v>448</v>
      </c>
      <c r="C42" s="63">
        <v>7</v>
      </c>
      <c r="D42" s="63">
        <v>78</v>
      </c>
      <c r="E42" s="54">
        <v>0.8</v>
      </c>
      <c r="F42" s="54"/>
      <c r="G42" s="54">
        <v>0.2</v>
      </c>
      <c r="H42" s="54"/>
      <c r="I42" s="56">
        <f t="shared" si="1"/>
        <v>14.3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80</v>
      </c>
      <c r="B43" s="63">
        <v>460</v>
      </c>
      <c r="C43" s="63">
        <v>8</v>
      </c>
      <c r="D43" s="63">
        <v>460</v>
      </c>
      <c r="E43" s="54">
        <v>0.9</v>
      </c>
      <c r="F43" s="54"/>
      <c r="G43" s="54">
        <v>0.1</v>
      </c>
      <c r="H43" s="54"/>
      <c r="I43" s="52">
        <f t="shared" si="1"/>
        <v>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295.83974441964551</v>
      </c>
      <c r="T3" s="62">
        <f>IF('Données projet'!E9&gt;30,$R$33-$H$33,LOOKUP('Données projet'!$E$9,$A$3:$A$203,R3:R203)-LOOKUP('Données projet'!$E$9,$A$3:$A$203,$H$3:$H$203))</f>
        <v>212.24900914818096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4.3703703703703702</v>
      </c>
      <c r="N4" s="14">
        <f>IF('Données projet'!$A$36&gt;35,N3+M4-V3,IF(A4&lt;'Données projet'!$A$36,$K$205^A4,IF(A4='Données projet'!$A$36,'Données projet'!$B$36,N3+M4-V3)))</f>
        <v>1.1932635389591795</v>
      </c>
      <c r="O4" s="14">
        <f>N4*VLOOKUP('Données projet'!$B$9,Paramètres!$A$1:$I$89,3,0)*VLOOKUP('Données projet'!$B$9,Paramètres!$A$1:$I$89,5,0)</f>
        <v>0.71357159629758937</v>
      </c>
      <c r="P4" s="14">
        <f>EXP(-1.0587+0.8836*LN(O4)+0.284)</f>
        <v>0.34201841351504586</v>
      </c>
      <c r="Q4" s="22">
        <f t="shared" ref="Q4:Q34" si="2">(O4+P4)*0.475*44/12</f>
        <v>1.8384859337570063</v>
      </c>
      <c r="R4" s="62">
        <f t="shared" si="0"/>
        <v>259.72737482264586</v>
      </c>
      <c r="S4" s="62">
        <f ca="1">AVERAGE(OFFSET($R$3,0,0,'Données projet'!$E$9+1,1))-AVERAGE(OFFSET($H$3,0,0,'Données projet'!$E$9+1,1))</f>
        <v>295.83974441964551</v>
      </c>
      <c r="T4" s="62">
        <f>$T$3</f>
        <v>212.24900914818096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4.3703703703703702</v>
      </c>
      <c r="N5" s="14">
        <f>IF('Données projet'!$A$36&gt;35,N4+M5-V4,IF(A5&lt;'Données projet'!$A$36,$K$205^A5,IF(A5='Données projet'!$A$36,'Données projet'!$B$36,N4+M5-V4)))</f>
        <v>1.4238778734093853</v>
      </c>
      <c r="O5" s="14">
        <f>N5*VLOOKUP('Données projet'!$B$9,Paramètres!$A$1:$I$89,3,0)*VLOOKUP('Données projet'!$B$9,Paramètres!$A$1:$I$89,5,0)</f>
        <v>0.85147896829881242</v>
      </c>
      <c r="P5" s="14">
        <f t="shared" ref="P5:P68" si="33">EXP(-1.0587+0.8836*LN(O5)+0.284)</f>
        <v>0.39981008543020569</v>
      </c>
      <c r="Q5" s="22">
        <f t="shared" si="2"/>
        <v>2.179328435244706</v>
      </c>
      <c r="R5" s="62">
        <f t="shared" si="0"/>
        <v>261.29043954635586</v>
      </c>
      <c r="S5" s="62">
        <f ca="1">AVERAGE(OFFSET($R$3,0,0,'Données projet'!$E$9+1,1))-AVERAGE(OFFSET($H$3,0,0,'Données projet'!$E$9+1,1))</f>
        <v>295.83974441964551</v>
      </c>
      <c r="T5" s="62">
        <f t="shared" ref="T5:T68" si="34">$T$3</f>
        <v>212.24900914818096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4.3703703703703702</v>
      </c>
      <c r="N6" s="14">
        <f>IF('Données projet'!$A$36&gt;35,N5+M6-V5,IF(A6&lt;'Données projet'!$A$36,$K$205^A6,IF(A6='Données projet'!$A$36,'Données projet'!$B$36,N5+M6-V5)))</f>
        <v>1.6990615502701536</v>
      </c>
      <c r="O6" s="14">
        <f>N6*VLOOKUP('Données projet'!$B$9,Paramètres!$A$1:$I$89,3,0)*VLOOKUP('Données projet'!$B$9,Paramètres!$A$1:$I$89,5,0)</f>
        <v>1.0160388070615518</v>
      </c>
      <c r="P6" s="14">
        <f t="shared" si="33"/>
        <v>0.46736695480483653</v>
      </c>
      <c r="Q6" s="22">
        <f t="shared" si="2"/>
        <v>2.5835983685839596</v>
      </c>
      <c r="R6" s="62">
        <f t="shared" si="0"/>
        <v>262.91693170191729</v>
      </c>
      <c r="S6" s="62">
        <f ca="1">AVERAGE(OFFSET($R$3,0,0,'Données projet'!$E$9+1,1))-AVERAGE(OFFSET($H$3,0,0,'Données projet'!$E$9+1,1))</f>
        <v>295.83974441964551</v>
      </c>
      <c r="T6" s="62">
        <f t="shared" si="34"/>
        <v>212.24900914818096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4.3703703703703702</v>
      </c>
      <c r="N7" s="14">
        <f>IF('Données projet'!$A$36&gt;35,N6+M7-V6,IF(A7&lt;'Données projet'!$A$36,$K$205^A7,IF(A7='Données projet'!$A$36,'Données projet'!$B$36,N6+M7-V6)))</f>
        <v>2.0274281983848335</v>
      </c>
      <c r="O7" s="14">
        <f>N7*VLOOKUP('Données projet'!$B$9,Paramètres!$A$1:$I$89,3,0)*VLOOKUP('Données projet'!$B$9,Paramètres!$A$1:$I$89,5,0)</f>
        <v>1.2124020626341305</v>
      </c>
      <c r="P7" s="14">
        <f t="shared" si="33"/>
        <v>0.54633907048269681</v>
      </c>
      <c r="Q7" s="22">
        <f t="shared" si="2"/>
        <v>3.0631408068451407</v>
      </c>
      <c r="R7" s="62">
        <f t="shared" si="0"/>
        <v>264.61869636240067</v>
      </c>
      <c r="S7" s="62">
        <f ca="1">AVERAGE(OFFSET($R$3,0,0,'Données projet'!$E$9+1,1))-AVERAGE(OFFSET($H$3,0,0,'Données projet'!$E$9+1,1))</f>
        <v>295.83974441964551</v>
      </c>
      <c r="T7" s="62">
        <f t="shared" si="34"/>
        <v>212.24900914818096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4.3703703703703702</v>
      </c>
      <c r="N8" s="14">
        <f>IF('Données projet'!$A$36&gt;35,N7+M8-V7,IF(A8&lt;'Données projet'!$A$36,$K$205^A8,IF(A8='Données projet'!$A$36,'Données projet'!$B$36,N7+M8-V7)))</f>
        <v>2.4192561469903198</v>
      </c>
      <c r="O8" s="14">
        <f>N8*VLOOKUP('Données projet'!$B$9,Paramètres!$A$1:$I$89,3,0)*VLOOKUP('Données projet'!$B$9,Paramètres!$A$1:$I$89,5,0)</f>
        <v>1.4467151759002115</v>
      </c>
      <c r="P8" s="14">
        <f t="shared" si="33"/>
        <v>0.63865529401953391</v>
      </c>
      <c r="Q8" s="22">
        <f t="shared" si="2"/>
        <v>3.6320202351102231</v>
      </c>
      <c r="R8" s="62">
        <f t="shared" si="0"/>
        <v>266.40979801288802</v>
      </c>
      <c r="S8" s="62">
        <f ca="1">AVERAGE(OFFSET($R$3,0,0,'Données projet'!$E$9+1,1))-AVERAGE(OFFSET($H$3,0,0,'Données projet'!$E$9+1,1))</f>
        <v>295.83974441964551</v>
      </c>
      <c r="T8" s="62">
        <f t="shared" si="34"/>
        <v>212.24900914818096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4.3703703703703702</v>
      </c>
      <c r="N9" s="14">
        <f>IF('Données projet'!$A$36&gt;35,N8+M9-V8,IF(A9&lt;'Données projet'!$A$36,$K$205^A9,IF(A9='Données projet'!$A$36,'Données projet'!$B$36,N8+M9-V8)))</f>
        <v>2.8868101516064182</v>
      </c>
      <c r="O9" s="14">
        <f>N9*VLOOKUP('Données projet'!$B$9,Paramètres!$A$1:$I$89,3,0)*VLOOKUP('Données projet'!$B$9,Paramètres!$A$1:$I$89,5,0)</f>
        <v>1.7263124706606381</v>
      </c>
      <c r="P9" s="14">
        <f t="shared" si="33"/>
        <v>0.7465704113359678</v>
      </c>
      <c r="Q9" s="22">
        <f t="shared" si="2"/>
        <v>4.3069376861440878</v>
      </c>
      <c r="R9" s="62">
        <f t="shared" si="0"/>
        <v>268.30693768614407</v>
      </c>
      <c r="S9" s="62">
        <f ca="1">AVERAGE(OFFSET($R$3,0,0,'Données projet'!$E$9+1,1))-AVERAGE(OFFSET($H$3,0,0,'Données projet'!$E$9+1,1))</f>
        <v>295.83974441964551</v>
      </c>
      <c r="T9" s="62">
        <f t="shared" si="34"/>
        <v>212.24900914818096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4.3703703703703702</v>
      </c>
      <c r="N10" s="14">
        <f>IF('Données projet'!$A$36&gt;35,N9+M10-V9,IF(A10&lt;'Données projet'!$A$36,$K$205^A10,IF(A10='Données projet'!$A$36,'Données projet'!$B$36,N9+M10-V9)))</f>
        <v>3.4447252978091596</v>
      </c>
      <c r="O10" s="14">
        <f>N10*VLOOKUP('Données projet'!$B$9,Paramètres!$A$1:$I$89,3,0)*VLOOKUP('Données projet'!$B$9,Paramètres!$A$1:$I$89,5,0)</f>
        <v>2.0599457280898776</v>
      </c>
      <c r="P10" s="14">
        <f t="shared" si="33"/>
        <v>0.87272020493939328</v>
      </c>
      <c r="Q10" s="22">
        <f t="shared" si="2"/>
        <v>5.1077265000259793</v>
      </c>
      <c r="R10" s="62">
        <f t="shared" si="0"/>
        <v>270.32994872224822</v>
      </c>
      <c r="S10" s="62">
        <f ca="1">AVERAGE(OFFSET($R$3,0,0,'Données projet'!$E$9+1,1))-AVERAGE(OFFSET($H$3,0,0,'Données projet'!$E$9+1,1))</f>
        <v>295.83974441964551</v>
      </c>
      <c r="T10" s="62">
        <f t="shared" si="34"/>
        <v>212.24900914818096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4.3703703703703702</v>
      </c>
      <c r="N11" s="14">
        <f>IF('Données projet'!$A$36&gt;35,N10+M11-V10,IF(A11&lt;'Données projet'!$A$36,$K$205^A11,IF(A11='Données projet'!$A$36,'Données projet'!$B$36,N10+M11-V10)))</f>
        <v>4.110465099605972</v>
      </c>
      <c r="O11" s="14">
        <f>N11*VLOOKUP('Données projet'!$B$9,Paramètres!$A$1:$I$89,3,0)*VLOOKUP('Données projet'!$B$9,Paramètres!$A$1:$I$89,5,0)</f>
        <v>2.4580581295643715</v>
      </c>
      <c r="P11" s="14">
        <f t="shared" si="33"/>
        <v>1.0201858318313493</v>
      </c>
      <c r="Q11" s="22">
        <f t="shared" si="2"/>
        <v>6.0579415660975471</v>
      </c>
      <c r="R11" s="62">
        <f t="shared" si="0"/>
        <v>272.50238601054201</v>
      </c>
      <c r="S11" s="62">
        <f ca="1">AVERAGE(OFFSET($R$3,0,0,'Données projet'!$E$9+1,1))-AVERAGE(OFFSET($H$3,0,0,'Données projet'!$E$9+1,1))</f>
        <v>295.83974441964551</v>
      </c>
      <c r="T11" s="62">
        <f t="shared" si="34"/>
        <v>212.24900914818096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4.3703703703703702</v>
      </c>
      <c r="N12" s="14">
        <f>IF('Données projet'!$A$36&gt;35,N11+M12-V11,IF(A12&lt;'Données projet'!$A$36,$K$205^A12,IF(A12='Données projet'!$A$36,'Données projet'!$B$36,N11+M12-V11)))</f>
        <v>4.9048681315240179</v>
      </c>
      <c r="O12" s="14">
        <f>N12*VLOOKUP('Données projet'!$B$9,Paramètres!$A$1:$I$89,3,0)*VLOOKUP('Données projet'!$B$9,Paramètres!$A$1:$I$89,5,0)</f>
        <v>2.9331111426513625</v>
      </c>
      <c r="P12" s="14">
        <f t="shared" si="33"/>
        <v>1.192569079504352</v>
      </c>
      <c r="Q12" s="22">
        <f t="shared" si="2"/>
        <v>7.1855597202545356</v>
      </c>
      <c r="R12" s="62">
        <f t="shared" si="0"/>
        <v>274.85222638692125</v>
      </c>
      <c r="S12" s="62">
        <f ca="1">AVERAGE(OFFSET($R$3,0,0,'Données projet'!$E$9+1,1))-AVERAGE(OFFSET($H$3,0,0,'Données projet'!$E$9+1,1))</f>
        <v>295.83974441964551</v>
      </c>
      <c r="T12" s="62">
        <f t="shared" si="34"/>
        <v>212.24900914818096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4.3703703703703702</v>
      </c>
      <c r="N13" s="14">
        <f>IF('Données projet'!$A$36&gt;35,N12+M13-V12,IF(A13&lt;'Données projet'!$A$36,$K$205^A13,IF(A13='Données projet'!$A$36,'Données projet'!$B$36,N12+M13-V12)))</f>
        <v>5.8528003047504482</v>
      </c>
      <c r="O13" s="14">
        <f>N13*VLOOKUP('Données projet'!$B$9,Paramètres!$A$1:$I$89,3,0)*VLOOKUP('Données projet'!$B$9,Paramètres!$A$1:$I$89,5,0)</f>
        <v>3.499974582240768</v>
      </c>
      <c r="P13" s="14">
        <f t="shared" si="33"/>
        <v>1.3940803381250744</v>
      </c>
      <c r="Q13" s="22">
        <f t="shared" si="2"/>
        <v>8.5238123196371749</v>
      </c>
      <c r="R13" s="62">
        <f t="shared" si="0"/>
        <v>277.41270120852602</v>
      </c>
      <c r="S13" s="62">
        <f ca="1">AVERAGE(OFFSET($R$3,0,0,'Données projet'!$E$9+1,1))-AVERAGE(OFFSET($H$3,0,0,'Données projet'!$E$9+1,1))</f>
        <v>295.83974441964551</v>
      </c>
      <c r="T13" s="62">
        <f t="shared" si="34"/>
        <v>212.24900914818096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4.3703703703703702</v>
      </c>
      <c r="N14" s="14">
        <f>IF('Données projet'!$A$36&gt;35,N13+M14-V13,IF(A14&lt;'Données projet'!$A$36,$K$205^A14,IF(A14='Données projet'!$A$36,'Données projet'!$B$36,N13+M14-V13)))</f>
        <v>6.9839332044678839</v>
      </c>
      <c r="O14" s="14">
        <f>N14*VLOOKUP('Données projet'!$B$9,Paramètres!$A$1:$I$89,3,0)*VLOOKUP('Données projet'!$B$9,Paramètres!$A$1:$I$89,5,0)</f>
        <v>4.1763920562717951</v>
      </c>
      <c r="P14" s="14">
        <f t="shared" si="33"/>
        <v>1.629641437588379</v>
      </c>
      <c r="Q14" s="22">
        <f t="shared" si="2"/>
        <v>10.112175001806468</v>
      </c>
      <c r="R14" s="62">
        <f t="shared" si="0"/>
        <v>280.22328611291761</v>
      </c>
      <c r="S14" s="62">
        <f ca="1">AVERAGE(OFFSET($R$3,0,0,'Données projet'!$E$9+1,1))-AVERAGE(OFFSET($H$3,0,0,'Données projet'!$E$9+1,1))</f>
        <v>295.83974441964551</v>
      </c>
      <c r="T14" s="62">
        <f t="shared" si="34"/>
        <v>212.24900914818096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4.3703703703703702</v>
      </c>
      <c r="N15" s="14">
        <f>IF('Données projet'!$A$36&gt;35,N14+M15-V14,IF(A15&lt;'Données projet'!$A$36,$K$205^A15,IF(A15='Données projet'!$A$36,'Données projet'!$B$36,N14+M15-V14)))</f>
        <v>8.3336728514178713</v>
      </c>
      <c r="O15" s="14">
        <f>N15*VLOOKUP('Données projet'!$B$9,Paramètres!$A$1:$I$89,3,0)*VLOOKUP('Données projet'!$B$9,Paramètres!$A$1:$I$89,5,0)</f>
        <v>4.983536365147887</v>
      </c>
      <c r="P15" s="14">
        <f t="shared" si="33"/>
        <v>1.9050058611951031</v>
      </c>
      <c r="Q15" s="22">
        <f t="shared" si="2"/>
        <v>11.997544377547372</v>
      </c>
      <c r="R15" s="62">
        <f t="shared" si="0"/>
        <v>283.33087771088071</v>
      </c>
      <c r="S15" s="62">
        <f ca="1">AVERAGE(OFFSET($R$3,0,0,'Données projet'!$E$9+1,1))-AVERAGE(OFFSET($H$3,0,0,'Données projet'!$E$9+1,1))</f>
        <v>295.83974441964551</v>
      </c>
      <c r="T15" s="62">
        <f t="shared" si="34"/>
        <v>212.24900914818096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4.3703703703703702</v>
      </c>
      <c r="N16" s="14">
        <f>IF('Données projet'!$A$36&gt;35,N15+M16-V15,IF(A16&lt;'Données projet'!$A$36,$K$205^A16,IF(A16='Données projet'!$A$36,'Données projet'!$B$36,N15+M16-V15)))</f>
        <v>9.944267959210924</v>
      </c>
      <c r="O16" s="14">
        <f>N16*VLOOKUP('Données projet'!$B$9,Paramètres!$A$1:$I$89,3,0)*VLOOKUP('Données projet'!$B$9,Paramètres!$A$1:$I$89,5,0)</f>
        <v>5.9466722396081328</v>
      </c>
      <c r="P16" s="14">
        <f t="shared" si="33"/>
        <v>2.2268992721234029</v>
      </c>
      <c r="Q16" s="22">
        <f t="shared" si="2"/>
        <v>14.235637049599092</v>
      </c>
      <c r="R16" s="62">
        <f t="shared" si="0"/>
        <v>286.79119260515461</v>
      </c>
      <c r="S16" s="62">
        <f ca="1">AVERAGE(OFFSET($R$3,0,0,'Données projet'!$E$9+1,1))-AVERAGE(OFFSET($H$3,0,0,'Données projet'!$E$9+1,1))</f>
        <v>295.83974441964551</v>
      </c>
      <c r="T16" s="62">
        <f t="shared" si="34"/>
        <v>212.24900914818096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4.3703703703703702</v>
      </c>
      <c r="N17" s="14">
        <f>IF('Données projet'!$A$36&gt;35,N16+M17-V16,IF(A17&lt;'Données projet'!$A$36,$K$205^A17,IF(A17='Données projet'!$A$36,'Données projet'!$B$36,N16+M17-V16)))</f>
        <v>11.866132377366407</v>
      </c>
      <c r="O17" s="14">
        <f>N17*VLOOKUP('Données projet'!$B$9,Paramètres!$A$1:$I$89,3,0)*VLOOKUP('Données projet'!$B$9,Paramètres!$A$1:$I$89,5,0)</f>
        <v>7.0959471616651122</v>
      </c>
      <c r="P17" s="14">
        <f t="shared" si="33"/>
        <v>2.6031837849951125</v>
      </c>
      <c r="Q17" s="22">
        <f t="shared" si="2"/>
        <v>16.892653065433223</v>
      </c>
      <c r="R17" s="62">
        <f t="shared" si="0"/>
        <v>290.67043084321097</v>
      </c>
      <c r="S17" s="62">
        <f ca="1">AVERAGE(OFFSET($R$3,0,0,'Données projet'!$E$9+1,1))-AVERAGE(OFFSET($H$3,0,0,'Données projet'!$E$9+1,1))</f>
        <v>295.83974441964551</v>
      </c>
      <c r="T17" s="62">
        <f t="shared" si="34"/>
        <v>212.24900914818096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4.3703703703703702</v>
      </c>
      <c r="N18" s="14">
        <f>IF('Données projet'!$A$36&gt;35,N17+M18-V17,IF(A18&lt;'Données projet'!$A$36,$K$205^A18,IF(A18='Données projet'!$A$36,'Données projet'!$B$36,N17+M18-V17)))</f>
        <v>14.159423114374338</v>
      </c>
      <c r="O18" s="14">
        <f>N18*VLOOKUP('Données projet'!$B$9,Paramètres!$A$1:$I$89,3,0)*VLOOKUP('Données projet'!$B$9,Paramètres!$A$1:$I$89,5,0)</f>
        <v>8.4673350223958543</v>
      </c>
      <c r="P18" s="14">
        <f t="shared" si="33"/>
        <v>3.0430499948027987</v>
      </c>
      <c r="Q18" s="22">
        <f t="shared" si="2"/>
        <v>20.047253904954317</v>
      </c>
      <c r="R18" s="62">
        <f t="shared" si="0"/>
        <v>295.04725390495435</v>
      </c>
      <c r="S18" s="62">
        <f ca="1">AVERAGE(OFFSET($R$3,0,0,'Données projet'!$E$9+1,1))-AVERAGE(OFFSET($H$3,0,0,'Données projet'!$E$9+1,1))</f>
        <v>295.83974441964551</v>
      </c>
      <c r="T18" s="62">
        <f t="shared" si="34"/>
        <v>212.24900914818096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4.3703703703703702</v>
      </c>
      <c r="N19" s="14">
        <f>IF('Données projet'!$A$36&gt;35,N18+M19-V18,IF(A19&lt;'Données projet'!$A$36,$K$205^A19,IF(A19='Données projet'!$A$36,'Données projet'!$B$36,N18+M19-V18)))</f>
        <v>16.895923335078734</v>
      </c>
      <c r="O19" s="14">
        <f>N19*VLOOKUP('Données projet'!$B$9,Paramètres!$A$1:$I$89,3,0)*VLOOKUP('Données projet'!$B$9,Paramètres!$A$1:$I$89,5,0)</f>
        <v>10.103762154377083</v>
      </c>
      <c r="P19" s="14">
        <f t="shared" si="33"/>
        <v>3.5572414534253478</v>
      </c>
      <c r="Q19" s="22">
        <f t="shared" si="2"/>
        <v>23.79291461692257</v>
      </c>
      <c r="R19" s="62">
        <f t="shared" si="0"/>
        <v>300.01513683914482</v>
      </c>
      <c r="S19" s="62">
        <f ca="1">AVERAGE(OFFSET($R$3,0,0,'Données projet'!$E$9+1,1))-AVERAGE(OFFSET($H$3,0,0,'Données projet'!$E$9+1,1))</f>
        <v>295.83974441964551</v>
      </c>
      <c r="T19" s="62">
        <f t="shared" si="34"/>
        <v>212.24900914818096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4.3703703703703702</v>
      </c>
      <c r="N20" s="14">
        <f>IF('Données projet'!$A$36&gt;35,N19+M20-V19,IF(A20&lt;'Données projet'!$A$36,$K$205^A20,IF(A20='Données projet'!$A$36,'Données projet'!$B$36,N19+M20-V19)))</f>
        <v>20.161289272799031</v>
      </c>
      <c r="O20" s="14">
        <f>N20*VLOOKUP('Données projet'!$B$9,Paramètres!$A$1:$I$89,3,0)*VLOOKUP('Données projet'!$B$9,Paramètres!$A$1:$I$89,5,0)</f>
        <v>12.056450985133822</v>
      </c>
      <c r="P20" s="14">
        <f t="shared" si="33"/>
        <v>4.1583170764789594</v>
      </c>
      <c r="Q20" s="22">
        <f t="shared" si="2"/>
        <v>28.240721040642256</v>
      </c>
      <c r="R20" s="62">
        <f t="shared" si="0"/>
        <v>305.68516548508671</v>
      </c>
      <c r="S20" s="62">
        <f ca="1">AVERAGE(OFFSET($R$3,0,0,'Données projet'!$E$9+1,1))-AVERAGE(OFFSET($H$3,0,0,'Données projet'!$E$9+1,1))</f>
        <v>295.83974441964551</v>
      </c>
      <c r="T20" s="62">
        <f t="shared" si="34"/>
        <v>212.24900914818096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4.3703703703703702</v>
      </c>
      <c r="N21" s="14">
        <f>IF('Données projet'!$A$36&gt;35,N20+M21-V20,IF(A21&lt;'Données projet'!$A$36,$K$205^A21,IF(A21='Données projet'!$A$36,'Données projet'!$B$36,N20+M21-V20)))</f>
        <v>24.057731387639919</v>
      </c>
      <c r="O21" s="14">
        <f>N21*VLOOKUP('Données projet'!$B$9,Paramètres!$A$1:$I$89,3,0)*VLOOKUP('Données projet'!$B$9,Paramètres!$A$1:$I$89,5,0)</f>
        <v>14.386523369808673</v>
      </c>
      <c r="P21" s="14">
        <f t="shared" si="33"/>
        <v>4.8609578896833261</v>
      </c>
      <c r="Q21" s="22">
        <f t="shared" si="2"/>
        <v>33.522696526948565</v>
      </c>
      <c r="R21" s="62">
        <f t="shared" si="0"/>
        <v>312.18936319361524</v>
      </c>
      <c r="S21" s="62">
        <f ca="1">AVERAGE(OFFSET($R$3,0,0,'Données projet'!$E$9+1,1))-AVERAGE(OFFSET($H$3,0,0,'Données projet'!$E$9+1,1))</f>
        <v>295.83974441964551</v>
      </c>
      <c r="T21" s="62">
        <f t="shared" si="34"/>
        <v>212.24900914818096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4.3703703703703702</v>
      </c>
      <c r="N22" s="14">
        <f>IF('Données projet'!$A$36&gt;35,N21+M22-V21,IF(A22&lt;'Données projet'!$A$36,$K$205^A22,IF(A22='Données projet'!$A$36,'Données projet'!$B$36,N21+M22-V21)))</f>
        <v>28.707213694944539</v>
      </c>
      <c r="O22" s="14">
        <f>N22*VLOOKUP('Données projet'!$B$9,Paramètres!$A$1:$I$89,3,0)*VLOOKUP('Données projet'!$B$9,Paramètres!$A$1:$I$89,5,0)</f>
        <v>17.166913789576835</v>
      </c>
      <c r="P22" s="14">
        <f t="shared" si="33"/>
        <v>5.6823256068972627</v>
      </c>
      <c r="Q22" s="22">
        <f t="shared" si="2"/>
        <v>39.79575861552572</v>
      </c>
      <c r="R22" s="62">
        <f t="shared" si="0"/>
        <v>319.68464750441456</v>
      </c>
      <c r="S22" s="62">
        <f ca="1">AVERAGE(OFFSET($R$3,0,0,'Données projet'!$E$9+1,1))-AVERAGE(OFFSET($H$3,0,0,'Données projet'!$E$9+1,1))</f>
        <v>295.83974441964551</v>
      </c>
      <c r="T22" s="62">
        <f t="shared" si="34"/>
        <v>212.24900914818096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4.3703703703703702</v>
      </c>
      <c r="N23" s="14">
        <f>IF('Données projet'!$A$36&gt;35,N22+M23-V22,IF(A23&lt;'Données projet'!$A$36,$K$205^A23,IF(A23='Données projet'!$A$36,'Données projet'!$B$36,N22+M23-V22)))</f>
        <v>34.255271407286948</v>
      </c>
      <c r="O23" s="14">
        <f>N23*VLOOKUP('Données projet'!$B$9,Paramètres!$A$1:$I$89,3,0)*VLOOKUP('Données projet'!$B$9,Paramètres!$A$1:$I$89,5,0)</f>
        <v>20.484652301557595</v>
      </c>
      <c r="P23" s="14">
        <f t="shared" si="33"/>
        <v>6.6424817979453561</v>
      </c>
      <c r="Q23" s="22">
        <f t="shared" si="2"/>
        <v>47.246425223300974</v>
      </c>
      <c r="R23" s="62">
        <f t="shared" si="0"/>
        <v>328.35753633441209</v>
      </c>
      <c r="S23" s="62">
        <f ca="1">AVERAGE(OFFSET($R$3,0,0,'Données projet'!$E$9+1,1))-AVERAGE(OFFSET($H$3,0,0,'Données projet'!$E$9+1,1))</f>
        <v>295.83974441964551</v>
      </c>
      <c r="T23" s="62">
        <f t="shared" si="34"/>
        <v>212.24900914818096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4.3703703703703702</v>
      </c>
      <c r="N24" s="14">
        <f>IF('Données projet'!$A$36&gt;35,N23+M24-V23,IF(A24&lt;'Données projet'!$A$36,$K$205^A24,IF(A24='Données projet'!$A$36,'Données projet'!$B$36,N23+M24-V23)))</f>
        <v>40.875566387466414</v>
      </c>
      <c r="O24" s="14">
        <f>N24*VLOOKUP('Données projet'!$B$9,Paramètres!$A$1:$I$89,3,0)*VLOOKUP('Données projet'!$B$9,Paramètres!$A$1:$I$89,5,0)</f>
        <v>24.443588699704918</v>
      </c>
      <c r="P24" s="14">
        <f t="shared" si="33"/>
        <v>7.7648778842379169</v>
      </c>
      <c r="Q24" s="22">
        <f t="shared" si="2"/>
        <v>56.096412633700432</v>
      </c>
      <c r="R24" s="62">
        <f t="shared" si="0"/>
        <v>338.42974596703374</v>
      </c>
      <c r="S24" s="62">
        <f ca="1">AVERAGE(OFFSET($R$3,0,0,'Données projet'!$E$9+1,1))-AVERAGE(OFFSET($H$3,0,0,'Données projet'!$E$9+1,1))</f>
        <v>295.83974441964551</v>
      </c>
      <c r="T24" s="62">
        <f t="shared" si="34"/>
        <v>212.24900914818096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4.3703703703703702</v>
      </c>
      <c r="N25" s="14">
        <f>IF('Données projet'!$A$36&gt;35,N24+M25-V24,IF(A25&lt;'Données projet'!$A$36,$K$205^A25,IF(A25='Données projet'!$A$36,'Données projet'!$B$36,N24+M25-V24)))</f>
        <v>48.775323004469058</v>
      </c>
      <c r="O25" s="14">
        <f>N25*VLOOKUP('Données projet'!$B$9,Paramètres!$A$1:$I$89,3,0)*VLOOKUP('Données projet'!$B$9,Paramètres!$A$1:$I$89,5,0)</f>
        <v>29.167643156672497</v>
      </c>
      <c r="P25" s="14">
        <f t="shared" si="33"/>
        <v>9.0769279301265016</v>
      </c>
      <c r="Q25" s="22">
        <f t="shared" si="2"/>
        <v>66.60929464284159</v>
      </c>
      <c r="R25" s="62">
        <f t="shared" si="0"/>
        <v>350.16485019839712</v>
      </c>
      <c r="S25" s="62">
        <f ca="1">AVERAGE(OFFSET($R$3,0,0,'Données projet'!$E$9+1,1))-AVERAGE(OFFSET($H$3,0,0,'Données projet'!$E$9+1,1))</f>
        <v>295.83974441964551</v>
      </c>
      <c r="T25" s="62">
        <f t="shared" si="34"/>
        <v>212.24900914818096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4.3703703703703702</v>
      </c>
      <c r="N26" s="14">
        <f>IF('Données projet'!$A$36&gt;35,N25+M26-V25,IF(A26&lt;'Données projet'!$A$36,$K$205^A26,IF(A26='Données projet'!$A$36,'Données projet'!$B$36,N25+M26-V25)))</f>
        <v>58.201814542189823</v>
      </c>
      <c r="O26" s="14">
        <f>N26*VLOOKUP('Données projet'!$B$9,Paramètres!$A$1:$I$89,3,0)*VLOOKUP('Données projet'!$B$9,Paramètres!$A$1:$I$89,5,0)</f>
        <v>34.804685096229512</v>
      </c>
      <c r="P26" s="14">
        <f t="shared" si="33"/>
        <v>10.610678220189007</v>
      </c>
      <c r="Q26" s="22">
        <f t="shared" si="2"/>
        <v>79.098424442762266</v>
      </c>
      <c r="R26" s="62">
        <f t="shared" si="0"/>
        <v>363.87620222054005</v>
      </c>
      <c r="S26" s="62">
        <f ca="1">AVERAGE(OFFSET($R$3,0,0,'Données projet'!$E$9+1,1))-AVERAGE(OFFSET($H$3,0,0,'Données projet'!$E$9+1,1))</f>
        <v>295.83974441964551</v>
      </c>
      <c r="T26" s="62">
        <f t="shared" si="34"/>
        <v>212.24900914818096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4.3703703703703702</v>
      </c>
      <c r="N27" s="14">
        <f>IF('Données projet'!$A$36&gt;35,N26+M27-V26,IF(A27&lt;'Données projet'!$A$36,$K$205^A27,IF(A27='Données projet'!$A$36,'Données projet'!$B$36,N26+M27-V26)))</f>
        <v>69.450103194459274</v>
      </c>
      <c r="O27" s="14">
        <f>N27*VLOOKUP('Données projet'!$B$9,Paramètres!$A$1:$I$89,3,0)*VLOOKUP('Données projet'!$B$9,Paramètres!$A$1:$I$89,5,0)</f>
        <v>41.531161710286646</v>
      </c>
      <c r="P27" s="14">
        <f t="shared" si="33"/>
        <v>12.40358997659513</v>
      </c>
      <c r="Q27" s="22">
        <f t="shared" si="2"/>
        <v>93.936359187985758</v>
      </c>
      <c r="R27" s="62">
        <f t="shared" si="0"/>
        <v>379.93635918798577</v>
      </c>
      <c r="S27" s="62">
        <f ca="1">AVERAGE(OFFSET($R$3,0,0,'Données projet'!$E$9+1,1))-AVERAGE(OFFSET($H$3,0,0,'Données projet'!$E$9+1,1))</f>
        <v>295.83974441964551</v>
      </c>
      <c r="T27" s="62">
        <f t="shared" si="34"/>
        <v>212.24900914818096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4.3703703703703702</v>
      </c>
      <c r="N28" s="14">
        <f>IF('Données projet'!$A$36&gt;35,N27+M28-V27,IF(A28&lt;'Données projet'!$A$36,$K$205^A28,IF(A28='Données projet'!$A$36,'Données projet'!$B$36,N27+M28-V27)))</f>
        <v>82.872275918900684</v>
      </c>
      <c r="O28" s="14">
        <f>N28*VLOOKUP('Données projet'!$B$9,Paramètres!$A$1:$I$89,3,0)*VLOOKUP('Données projet'!$B$9,Paramètres!$A$1:$I$89,5,0)</f>
        <v>49.557620999502618</v>
      </c>
      <c r="P28" s="14">
        <f t="shared" si="33"/>
        <v>14.49945433410293</v>
      </c>
      <c r="Q28" s="22">
        <f t="shared" si="2"/>
        <v>111.56607287269634</v>
      </c>
      <c r="R28" s="62">
        <f t="shared" si="0"/>
        <v>398.78829509491857</v>
      </c>
      <c r="S28" s="62">
        <f ca="1">AVERAGE(OFFSET($R$3,0,0,'Données projet'!$E$9+1,1))-AVERAGE(OFFSET($H$3,0,0,'Données projet'!$E$9+1,1))</f>
        <v>295.83974441964551</v>
      </c>
      <c r="T28" s="62">
        <f t="shared" si="34"/>
        <v>212.24900914818096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4.3703703703703702</v>
      </c>
      <c r="N29" s="14">
        <f>IF('Données projet'!$A$36&gt;35,N28+M29-V28,IF(A29&lt;'Données projet'!$A$36,$K$205^A29,IF(A29='Données projet'!$A$36,'Données projet'!$B$36,N28+M29-V28)))</f>
        <v>98.888465244589028</v>
      </c>
      <c r="O29" s="14">
        <f>N29*VLOOKUP('Données projet'!$B$9,Paramètres!$A$1:$I$89,3,0)*VLOOKUP('Données projet'!$B$9,Paramètres!$A$1:$I$89,5,0)</f>
        <v>59.135302216264243</v>
      </c>
      <c r="P29" s="14">
        <f t="shared" si="33"/>
        <v>16.949461920575921</v>
      </c>
      <c r="Q29" s="22">
        <f t="shared" si="2"/>
        <v>132.51429753832994</v>
      </c>
      <c r="R29" s="62">
        <f t="shared" si="0"/>
        <v>420.95874198277443</v>
      </c>
      <c r="S29" s="62">
        <f ca="1">AVERAGE(OFFSET($R$3,0,0,'Données projet'!$E$9+1,1))-AVERAGE(OFFSET($H$3,0,0,'Données projet'!$E$9+1,1))</f>
        <v>295.83974441964551</v>
      </c>
      <c r="T29" s="62">
        <f t="shared" si="34"/>
        <v>212.24900914818096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118</v>
      </c>
      <c r="L30" s="13">
        <f>VLOOKUP(A30,'Données projet'!$A$35:$I$55,9,0)</f>
        <v>4.3703703703703702</v>
      </c>
      <c r="M30" s="13">
        <f t="array" ref="M30">INDEX(L:L,MIN(IF(ISNUMBER(L30:L226),ROW(L30:L226),"")))</f>
        <v>4.3703703703703702</v>
      </c>
      <c r="N30" s="14">
        <f>IF('Données projet'!$A$36&gt;35,N29+M30-V29,IF(A30&lt;'Données projet'!$A$36,$K$205^A30,IF(A30='Données projet'!$A$36,'Données projet'!$B$36,N29+M30-V29)))</f>
        <v>118</v>
      </c>
      <c r="O30" s="14">
        <f>N30*VLOOKUP('Données projet'!$B$9,Paramètres!$A$1:$I$89,3,0)*VLOOKUP('Données projet'!$B$9,Paramètres!$A$1:$I$89,5,0)</f>
        <v>70.564000000000007</v>
      </c>
      <c r="P30" s="14">
        <f t="shared" si="33"/>
        <v>19.813453167086163</v>
      </c>
      <c r="Q30" s="22">
        <f t="shared" si="2"/>
        <v>157.40739759934175</v>
      </c>
      <c r="R30" s="62">
        <f t="shared" si="0"/>
        <v>447.07406426600846</v>
      </c>
      <c r="S30" s="62">
        <f ca="1">AVERAGE(OFFSET($R$3,0,0,'Données projet'!$E$9+1,1))-AVERAGE(OFFSET($H$3,0,0,'Données projet'!$E$9+1,1))</f>
        <v>295.83974441964551</v>
      </c>
      <c r="T30" s="62">
        <f t="shared" si="34"/>
        <v>212.24900914818096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15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9.6666666666666661</v>
      </c>
      <c r="N31" s="14">
        <f>IF('Données projet'!$A$36&gt;35,N30+M31-V30,IF(A31&lt;'Données projet'!$A$36,$K$205^A31,IF(A31='Données projet'!$A$36,'Données projet'!$B$36,N30+M31-V30)))</f>
        <v>112.66666666666667</v>
      </c>
      <c r="O31" s="14">
        <f>N31*VLOOKUP('Données projet'!$B$9,Paramètres!$A$1:$I$89,3,0)*VLOOKUP('Données projet'!$B$9,Paramètres!$A$1:$I$89,5,0)</f>
        <v>67.37466666666667</v>
      </c>
      <c r="P31" s="14">
        <f t="shared" si="33"/>
        <v>19.020051421525295</v>
      </c>
      <c r="Q31" s="22">
        <f t="shared" si="2"/>
        <v>150.47080067026766</v>
      </c>
      <c r="R31" s="62">
        <f t="shared" si="0"/>
        <v>441.35968955915655</v>
      </c>
      <c r="S31" s="62">
        <f ca="1">AVERAGE(OFFSET($R$3,0,0,'Données projet'!$E$9+1,1))-AVERAGE(OFFSET($H$3,0,0,'Données projet'!$E$9+1,1))</f>
        <v>295.83974441964551</v>
      </c>
      <c r="T31" s="62">
        <f t="shared" si="34"/>
        <v>212.24900914818096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9.6666666666666661</v>
      </c>
      <c r="N32" s="14">
        <f>IF('Données projet'!$A$36&gt;35,N31+M32-V31,IF(A32&lt;'Données projet'!$A$36,$K$205^A32,IF(A32='Données projet'!$A$36,'Données projet'!$B$36,N31+M32-V31)))</f>
        <v>122.33333333333334</v>
      </c>
      <c r="O32" s="14">
        <f>N32*VLOOKUP('Données projet'!$B$9,Paramètres!$A$1:$I$89,3,0)*VLOOKUP('Données projet'!$B$9,Paramètres!$A$1:$I$89,5,0)</f>
        <v>73.155333333333346</v>
      </c>
      <c r="P32" s="14">
        <f t="shared" si="33"/>
        <v>20.455016056663315</v>
      </c>
      <c r="Q32" s="22">
        <f t="shared" si="2"/>
        <v>163.03802518757752</v>
      </c>
      <c r="R32" s="62">
        <f t="shared" si="0"/>
        <v>455.14913629868863</v>
      </c>
      <c r="S32" s="62">
        <f ca="1">AVERAGE(OFFSET($R$3,0,0,'Données projet'!$E$9+1,1))-AVERAGE(OFFSET($H$3,0,0,'Données projet'!$E$9+1,1))</f>
        <v>295.83974441964551</v>
      </c>
      <c r="T32" s="62">
        <f t="shared" si="34"/>
        <v>212.24900914818096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132</v>
      </c>
      <c r="L33" s="13">
        <f>VLOOKUP(A33,'Données projet'!$A$35:$I$55,9,0)</f>
        <v>9.6666666666666661</v>
      </c>
      <c r="M33" s="13">
        <f t="array" ref="M33">INDEX(L:L,MIN(IF(ISNUMBER(L33:L229),ROW(L33:L229),"")))</f>
        <v>9.6666666666666661</v>
      </c>
      <c r="N33" s="14">
        <f>IF('Données projet'!$A$36&gt;35,N32+M33-V32,IF(A33&lt;'Données projet'!$A$36,$K$205^A33,IF(A33='Données projet'!$A$36,'Données projet'!$B$36,N32+M33-V32)))</f>
        <v>132</v>
      </c>
      <c r="O33" s="14">
        <f>N33*VLOOKUP('Données projet'!$B$9,Paramètres!$A$1:$I$89,3,0)*VLOOKUP('Données projet'!$B$9,Paramètres!$A$1:$I$89,5,0)</f>
        <v>78.936000000000007</v>
      </c>
      <c r="P33" s="14">
        <f t="shared" si="33"/>
        <v>21.876828219051273</v>
      </c>
      <c r="Q33" s="22">
        <f t="shared" si="2"/>
        <v>175.5823424815143</v>
      </c>
      <c r="R33" s="62">
        <f t="shared" si="0"/>
        <v>468.91567581484765</v>
      </c>
      <c r="S33" s="62">
        <f ca="1">AVERAGE(OFFSET($R$3,0,0,'Données projet'!$E$9+1,1))-AVERAGE(OFFSET($H$3,0,0,'Données projet'!$E$9+1,1))</f>
        <v>295.83974441964551</v>
      </c>
      <c r="T33" s="62">
        <f t="shared" si="34"/>
        <v>212.24900914818096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4.4009869404853736</v>
      </c>
      <c r="AC33" s="24">
        <f t="shared" si="3"/>
        <v>4.4009869404853736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129</v>
      </c>
      <c r="O34" s="14">
        <f>N34*VLOOKUP('Données projet'!$B$9,Paramètres!$A$1:$I$89,3,0)*VLOOKUP('Données projet'!$B$9,Paramètres!$A$1:$I$89,5,0)</f>
        <v>77.14200000000001</v>
      </c>
      <c r="P34" s="14">
        <f t="shared" si="33"/>
        <v>21.436915648510755</v>
      </c>
      <c r="Q34" s="22">
        <f t="shared" si="2"/>
        <v>171.69161142115624</v>
      </c>
      <c r="R34" s="62">
        <f t="shared" si="0"/>
        <v>465.02494475448952</v>
      </c>
      <c r="S34" s="62">
        <f ca="1">AVERAGE(OFFSET($R$3,0,0,'Données projet'!$E$9+1,1))-AVERAGE(OFFSET($H$3,0,0,'Données projet'!$E$9+1,1))</f>
        <v>295.83974441964551</v>
      </c>
      <c r="T34" s="62">
        <f t="shared" si="34"/>
        <v>212.24900914818096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3.1119677095306444</v>
      </c>
      <c r="AC34" s="24">
        <f t="shared" si="3"/>
        <v>3.1119677095306444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139</v>
      </c>
      <c r="O35" s="14">
        <f>N35*VLOOKUP('Données projet'!$B$9,Paramètres!$A$1:$I$89,3,0)*VLOOKUP('Données projet'!$B$9,Paramètres!$A$1:$I$89,5,0)</f>
        <v>83.122000000000014</v>
      </c>
      <c r="P35" s="14">
        <f t="shared" si="33"/>
        <v>22.898820278178533</v>
      </c>
      <c r="Q35" s="22">
        <f t="shared" ref="Q35:Q66" si="53">(O35+P35)*0.475*44/12</f>
        <v>184.65292865116098</v>
      </c>
      <c r="R35" s="62">
        <f t="shared" si="0"/>
        <v>477.98626198449426</v>
      </c>
      <c r="S35" s="62">
        <f ca="1">AVERAGE(OFFSET($R$3,0,0,'Données projet'!$E$9+1,1))-AVERAGE(OFFSET($H$3,0,0,'Données projet'!$E$9+1,1))</f>
        <v>295.83974441964551</v>
      </c>
      <c r="T35" s="62">
        <f t="shared" si="34"/>
        <v>212.24900914818096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2.2004934702426868</v>
      </c>
      <c r="AC35" s="24">
        <f t="shared" si="3"/>
        <v>2.2004934702426868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149</v>
      </c>
      <c r="O36" s="14">
        <f>N36*VLOOKUP('Données projet'!$B$9,Paramètres!$A$1:$I$89,3,0)*VLOOKUP('Données projet'!$B$9,Paramètres!$A$1:$I$89,5,0)</f>
        <v>89.102000000000018</v>
      </c>
      <c r="P36" s="14">
        <f t="shared" si="33"/>
        <v>24.348522781128082</v>
      </c>
      <c r="Q36" s="22">
        <f t="shared" si="53"/>
        <v>197.5929938437981</v>
      </c>
      <c r="R36" s="62">
        <f t="shared" si="0"/>
        <v>490.92632717713138</v>
      </c>
      <c r="S36" s="62">
        <f ca="1">AVERAGE(OFFSET($R$3,0,0,'Données projet'!$E$9+1,1))-AVERAGE(OFFSET($H$3,0,0,'Données projet'!$E$9+1,1))</f>
        <v>295.83974441964551</v>
      </c>
      <c r="T36" s="62">
        <f t="shared" si="34"/>
        <v>212.24900914818096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1.5559838547653222</v>
      </c>
      <c r="AC36" s="24">
        <f t="shared" si="3"/>
        <v>1.5559838547653222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159</v>
      </c>
      <c r="O37" s="14">
        <f>N37*VLOOKUP('Données projet'!$B$9,Paramètres!$A$1:$I$89,3,0)*VLOOKUP('Données projet'!$B$9,Paramètres!$A$1:$I$89,5,0)</f>
        <v>95.082000000000008</v>
      </c>
      <c r="P37" s="14">
        <f t="shared" si="33"/>
        <v>25.786935269387122</v>
      </c>
      <c r="Q37" s="22">
        <f t="shared" si="53"/>
        <v>210.51339559418258</v>
      </c>
      <c r="R37" s="62">
        <f t="shared" si="0"/>
        <v>503.84672892751587</v>
      </c>
      <c r="S37" s="62">
        <f ca="1">AVERAGE(OFFSET($R$3,0,0,'Données projet'!$E$9+1,1))-AVERAGE(OFFSET($H$3,0,0,'Données projet'!$E$9+1,1))</f>
        <v>295.83974441964551</v>
      </c>
      <c r="T37" s="62">
        <f t="shared" si="34"/>
        <v>212.24900914818096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1.1002467351213434</v>
      </c>
      <c r="AC37" s="24">
        <f t="shared" si="3"/>
        <v>1.1002467351213434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10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169</v>
      </c>
      <c r="O38" s="14">
        <f>N38*VLOOKUP('Données projet'!$B$9,Paramètres!$A$1:$I$89,3,0)*VLOOKUP('Données projet'!$B$9,Paramètres!$A$1:$I$89,5,0)</f>
        <v>101.06200000000001</v>
      </c>
      <c r="P38" s="14">
        <f t="shared" si="33"/>
        <v>27.214848638810562</v>
      </c>
      <c r="Q38" s="22">
        <f t="shared" si="53"/>
        <v>223.41551137926174</v>
      </c>
      <c r="R38" s="62">
        <f t="shared" si="0"/>
        <v>516.74884471259509</v>
      </c>
      <c r="S38" s="62">
        <f ca="1">AVERAGE(OFFSET($R$3,0,0,'Données projet'!$E$9+1,1))-AVERAGE(OFFSET($H$3,0,0,'Données projet'!$E$9+1,1))</f>
        <v>295.83974441964551</v>
      </c>
      <c r="T38" s="62">
        <f t="shared" si="34"/>
        <v>212.24900914818096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23</v>
      </c>
      <c r="W38" s="17">
        <f>IF(ISNA(VLOOKUP(A38,'Données projet'!$A$35:$I$55,5,0)),0%,VLOOKUP(A38,'Données projet'!$A$35:$I$55,5,0)*VLOOKUP('Données projet'!$B$9,Paramètres!$A$1:$I$89,7,0))</f>
        <v>0.1125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0.75</v>
      </c>
      <c r="Z38" s="23">
        <f>EXP(-LN(2)/35)*Z37+(1-EXP(-LN(2)/35))/(LN(2)/35)*V38*W38*VLOOKUP('Données projet'!$B$9,Paramètres!$A$1:$I$89,3,0)*0.475*44/12</f>
        <v>2.0526263460129868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12.457534192516921</v>
      </c>
      <c r="AC38" s="24">
        <f t="shared" si="3"/>
        <v>14.510160538529908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12.4</v>
      </c>
      <c r="N39" s="14">
        <f>IF('Données projet'!$A$36&gt;35,N38+M39-V38,IF(A39&lt;'Données projet'!$A$36,$K$205^A39,IF(A39='Données projet'!$A$36,'Données projet'!$B$36,N38+M39-V38)))</f>
        <v>158.4</v>
      </c>
      <c r="O39" s="14">
        <f>N39*VLOOKUP('Données projet'!$B$9,Paramètres!$A$1:$I$89,3,0)*VLOOKUP('Données projet'!$B$9,Paramètres!$A$1:$I$89,5,0)</f>
        <v>94.723200000000006</v>
      </c>
      <c r="P39" s="14">
        <f t="shared" si="33"/>
        <v>25.700933959119112</v>
      </c>
      <c r="Q39" s="22">
        <f t="shared" si="53"/>
        <v>209.7386999787991</v>
      </c>
      <c r="R39" s="62">
        <f t="shared" si="0"/>
        <v>503.07203331213242</v>
      </c>
      <c r="S39" s="62">
        <f ca="1">AVERAGE(OFFSET($R$3,0,0,'Données projet'!$E$9+1,1))-AVERAGE(OFFSET($H$3,0,0,'Données projet'!$E$9+1,1))</f>
        <v>295.83974441964551</v>
      </c>
      <c r="T39" s="62">
        <f t="shared" si="34"/>
        <v>212.24900914818096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2.0123755953461204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8.8088069043919965</v>
      </c>
      <c r="AC39" s="24">
        <f t="shared" si="3"/>
        <v>10.821182499738118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12.4</v>
      </c>
      <c r="N40" s="14">
        <f>IF('Données projet'!$A$36&gt;35,N39+M40-V39,IF(A40&lt;'Données projet'!$A$36,$K$205^A40,IF(A40='Données projet'!$A$36,'Données projet'!$B$36,N39+M40-V39)))</f>
        <v>170.8</v>
      </c>
      <c r="O40" s="14">
        <f>N40*VLOOKUP('Données projet'!$B$9,Paramètres!$A$1:$I$89,3,0)*VLOOKUP('Données projet'!$B$9,Paramètres!$A$1:$I$89,5,0)</f>
        <v>102.13840000000002</v>
      </c>
      <c r="P40" s="14">
        <f t="shared" si="33"/>
        <v>27.470812821300004</v>
      </c>
      <c r="Q40" s="22">
        <f t="shared" si="53"/>
        <v>225.7360456637642</v>
      </c>
      <c r="R40" s="62">
        <f t="shared" si="0"/>
        <v>519.06937899709749</v>
      </c>
      <c r="S40" s="62">
        <f ca="1">AVERAGE(OFFSET($R$3,0,0,'Données projet'!$E$9+1,1))-AVERAGE(OFFSET($H$3,0,0,'Données projet'!$E$9+1,1))</f>
        <v>295.83974441964551</v>
      </c>
      <c r="T40" s="62">
        <f t="shared" si="34"/>
        <v>212.24900914818096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1.9729141373492978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6.2287670962584611</v>
      </c>
      <c r="AC40" s="24">
        <f t="shared" si="3"/>
        <v>8.2016812336077596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12.4</v>
      </c>
      <c r="N41" s="14">
        <f>IF('Données projet'!$A$36&gt;35,N40+M41-V40,IF(A41&lt;'Données projet'!$A$36,$K$205^A41,IF(A41='Données projet'!$A$36,'Données projet'!$B$36,N40+M41-V40)))</f>
        <v>183.20000000000002</v>
      </c>
      <c r="O41" s="14">
        <f>N41*VLOOKUP('Données projet'!$B$9,Paramètres!$A$1:$I$89,3,0)*VLOOKUP('Données projet'!$B$9,Paramètres!$A$1:$I$89,5,0)</f>
        <v>109.55360000000002</v>
      </c>
      <c r="P41" s="14">
        <f t="shared" si="33"/>
        <v>29.225784372214765</v>
      </c>
      <c r="Q41" s="22">
        <f t="shared" si="53"/>
        <v>241.70742778160744</v>
      </c>
      <c r="R41" s="62">
        <f t="shared" si="0"/>
        <v>535.04076111494078</v>
      </c>
      <c r="S41" s="62">
        <f ca="1">AVERAGE(OFFSET($R$3,0,0,'Données projet'!$E$9+1,1))-AVERAGE(OFFSET($H$3,0,0,'Données projet'!$E$9+1,1))</f>
        <v>295.83974441964551</v>
      </c>
      <c r="T41" s="62">
        <f t="shared" si="34"/>
        <v>212.24900914818096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1.9342264944746801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4.4044034521959992</v>
      </c>
      <c r="AC41" s="24">
        <f t="shared" si="3"/>
        <v>6.3386299466706788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12.4</v>
      </c>
      <c r="N42" s="14">
        <f>IF('Données projet'!$A$36&gt;35,N41+M42-V41,IF(A42&lt;'Données projet'!$A$36,$K$205^A42,IF(A42='Données projet'!$A$36,'Données projet'!$B$36,N41+M42-V41)))</f>
        <v>195.60000000000002</v>
      </c>
      <c r="O42" s="14">
        <f>N42*VLOOKUP('Données projet'!$B$9,Paramètres!$A$1:$I$89,3,0)*VLOOKUP('Données projet'!$B$9,Paramètres!$A$1:$I$89,5,0)</f>
        <v>116.96880000000002</v>
      </c>
      <c r="P42" s="14">
        <f t="shared" si="33"/>
        <v>30.966972418998537</v>
      </c>
      <c r="Q42" s="22">
        <f t="shared" si="53"/>
        <v>257.6548036297558</v>
      </c>
      <c r="R42" s="62">
        <f t="shared" si="0"/>
        <v>550.98813696308912</v>
      </c>
      <c r="S42" s="62">
        <f ca="1">AVERAGE(OFFSET($R$3,0,0,'Données projet'!$E$9+1,1))-AVERAGE(OFFSET($H$3,0,0,'Données projet'!$E$9+1,1))</f>
        <v>295.83974441964551</v>
      </c>
      <c r="T42" s="62">
        <f t="shared" si="34"/>
        <v>212.24900914818096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1.8962974926797014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3.114383548129231</v>
      </c>
      <c r="AC42" s="24">
        <f t="shared" si="3"/>
        <v>5.0106810408089322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208</v>
      </c>
      <c r="L43" s="13">
        <f>VLOOKUP(A43,'Données projet'!$A$35:$I$55,9,0)</f>
        <v>12.4</v>
      </c>
      <c r="M43" s="13">
        <f t="array" ref="M43">INDEX(L:L,MIN(IF(ISNUMBER(L43:L239),ROW(L43:L239),"")))</f>
        <v>12.4</v>
      </c>
      <c r="N43" s="14">
        <f>IF('Données projet'!$A$36&gt;35,N42+M43-V42,IF(A43&lt;'Données projet'!$A$36,$K$205^A43,IF(A43='Données projet'!$A$36,'Données projet'!$B$36,N42+M43-V42)))</f>
        <v>208.00000000000003</v>
      </c>
      <c r="O43" s="14">
        <f>N43*VLOOKUP('Données projet'!$B$9,Paramètres!$A$1:$I$89,3,0)*VLOOKUP('Données projet'!$B$9,Paramètres!$A$1:$I$89,5,0)</f>
        <v>124.38400000000003</v>
      </c>
      <c r="P43" s="14">
        <f t="shared" si="33"/>
        <v>32.695350227217695</v>
      </c>
      <c r="Q43" s="22">
        <f t="shared" si="53"/>
        <v>273.57986831240419</v>
      </c>
      <c r="R43" s="62">
        <f t="shared" si="0"/>
        <v>566.91320164573744</v>
      </c>
      <c r="S43" s="62">
        <f ca="1">AVERAGE(OFFSET($R$3,0,0,'Données projet'!$E$9+1,1))-AVERAGE(OFFSET($H$3,0,0,'Données projet'!$E$9+1,1))</f>
        <v>295.83974441964551</v>
      </c>
      <c r="T43" s="62">
        <f t="shared" si="34"/>
        <v>212.24900914818096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34</v>
      </c>
      <c r="W43" s="17">
        <f>IF(ISNA(VLOOKUP(A43,'Données projet'!$A$35:$I$55,5,0)),0%,VLOOKUP(A43,'Données projet'!$A$35:$I$55,5,0)*VLOOKUP('Données projet'!$B$9,Paramètres!$A$1:$I$89,7,0))</f>
        <v>0.1575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0.65</v>
      </c>
      <c r="Z43" s="23">
        <f>EXP(-LN(2)/35)*Z42+(1-EXP(-LN(2)/35))/(LN(2)/35)*V43*W43*VLOOKUP('Données projet'!$B$9,Paramètres!$A$1:$I$89,3,0)*0.475*44/12</f>
        <v>6.1071563454850004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17.165557323748271</v>
      </c>
      <c r="AC43" s="24">
        <f t="shared" si="3"/>
        <v>23.272713669233269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14.1</v>
      </c>
      <c r="N44" s="14">
        <f>IF('Données projet'!$A$36&gt;35,N43+M44-V43,IF(A44&lt;'Données projet'!$A$36,$K$205^A44,IF(A44='Données projet'!$A$36,'Données projet'!$B$36,N43+M44-V43)))</f>
        <v>188.10000000000002</v>
      </c>
      <c r="O44" s="14">
        <f>N44*VLOOKUP('Données projet'!$B$9,Paramètres!$A$1:$I$89,3,0)*VLOOKUP('Données projet'!$B$9,Paramètres!$A$1:$I$89,5,0)</f>
        <v>112.48380000000002</v>
      </c>
      <c r="P44" s="14">
        <f t="shared" si="33"/>
        <v>29.915424563902814</v>
      </c>
      <c r="Q44" s="22">
        <f t="shared" si="53"/>
        <v>248.01198278213079</v>
      </c>
      <c r="R44" s="62">
        <f t="shared" si="0"/>
        <v>541.34531611546413</v>
      </c>
      <c r="S44" s="62">
        <f ca="1">AVERAGE(OFFSET($R$3,0,0,'Données projet'!$E$9+1,1))-AVERAGE(OFFSET($H$3,0,0,'Données projet'!$E$9+1,1))</f>
        <v>295.83974441964551</v>
      </c>
      <c r="T44" s="62">
        <f t="shared" si="34"/>
        <v>212.24900914818096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5.9873987345475976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12.137881986468807</v>
      </c>
      <c r="AC44" s="24">
        <f t="shared" si="3"/>
        <v>18.125280721016406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14.1</v>
      </c>
      <c r="N45" s="14">
        <f>IF('Données projet'!$A$36&gt;35,N44+M45-V44,IF(A45&lt;'Données projet'!$A$36,$K$205^A45,IF(A45='Données projet'!$A$36,'Données projet'!$B$36,N44+M45-V44)))</f>
        <v>202.20000000000002</v>
      </c>
      <c r="O45" s="14">
        <f>N45*VLOOKUP('Données projet'!$B$9,Paramètres!$A$1:$I$89,3,0)*VLOOKUP('Données projet'!$B$9,Paramètres!$A$1:$I$89,5,0)</f>
        <v>120.91560000000003</v>
      </c>
      <c r="P45" s="14">
        <f t="shared" si="33"/>
        <v>31.888453396738488</v>
      </c>
      <c r="Q45" s="22">
        <f t="shared" si="53"/>
        <v>266.13372633265288</v>
      </c>
      <c r="R45" s="62">
        <f t="shared" si="0"/>
        <v>559.4670596659862</v>
      </c>
      <c r="S45" s="62">
        <f ca="1">AVERAGE(OFFSET($R$3,0,0,'Données projet'!$E$9+1,1))-AVERAGE(OFFSET($H$3,0,0,'Données projet'!$E$9+1,1))</f>
        <v>295.83974441964551</v>
      </c>
      <c r="T45" s="62">
        <f t="shared" si="34"/>
        <v>212.24900914818096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5.8699894973157472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8.5827786618741371</v>
      </c>
      <c r="AC45" s="24">
        <f t="shared" si="3"/>
        <v>14.452768159189883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14.1</v>
      </c>
      <c r="N46" s="14">
        <f>IF('Données projet'!$A$36&gt;35,N45+M46-V45,IF(A46&lt;'Données projet'!$A$36,$K$205^A46,IF(A46='Données projet'!$A$36,'Données projet'!$B$36,N45+M46-V45)))</f>
        <v>216.3</v>
      </c>
      <c r="O46" s="14">
        <f>N46*VLOOKUP('Données projet'!$B$9,Paramètres!$A$1:$I$89,3,0)*VLOOKUP('Données projet'!$B$9,Paramètres!$A$1:$I$89,5,0)</f>
        <v>129.34740000000002</v>
      </c>
      <c r="P46" s="14">
        <f t="shared" si="33"/>
        <v>33.845518493267228</v>
      </c>
      <c r="Q46" s="22">
        <f t="shared" si="53"/>
        <v>284.22766637577377</v>
      </c>
      <c r="R46" s="62">
        <f t="shared" si="0"/>
        <v>577.56099970910714</v>
      </c>
      <c r="S46" s="62">
        <f ca="1">AVERAGE(OFFSET($R$3,0,0,'Données projet'!$E$9+1,1))-AVERAGE(OFFSET($H$3,0,0,'Données projet'!$E$9+1,1))</f>
        <v>295.83974441964551</v>
      </c>
      <c r="T46" s="62">
        <f t="shared" si="34"/>
        <v>212.24900914818096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5.7548825836134494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6.0689409932344054</v>
      </c>
      <c r="AC46" s="24">
        <f t="shared" si="3"/>
        <v>11.823823576847854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14.1</v>
      </c>
      <c r="N47" s="14">
        <f>IF('Données projet'!$A$36&gt;35,N46+M47-V46,IF(A47&lt;'Données projet'!$A$36,$K$205^A47,IF(A47='Données projet'!$A$36,'Données projet'!$B$36,N46+M47-V46)))</f>
        <v>230.4</v>
      </c>
      <c r="O47" s="14">
        <f>N47*VLOOKUP('Données projet'!$B$9,Paramètres!$A$1:$I$89,3,0)*VLOOKUP('Données projet'!$B$9,Paramètres!$A$1:$I$89,5,0)</f>
        <v>137.7792</v>
      </c>
      <c r="P47" s="14">
        <f t="shared" si="33"/>
        <v>35.787778913287674</v>
      </c>
      <c r="Q47" s="22">
        <f t="shared" si="53"/>
        <v>302.29582160730934</v>
      </c>
      <c r="R47" s="62">
        <f t="shared" si="0"/>
        <v>595.62915494064259</v>
      </c>
      <c r="S47" s="62">
        <f ca="1">AVERAGE(OFFSET($R$3,0,0,'Données projet'!$E$9+1,1))-AVERAGE(OFFSET($H$3,0,0,'Données projet'!$E$9+1,1))</f>
        <v>295.83974441964551</v>
      </c>
      <c r="T47" s="62">
        <f t="shared" si="34"/>
        <v>212.24900914818096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5.6420328462805687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4.2913893309370694</v>
      </c>
      <c r="AC47" s="24">
        <f t="shared" si="3"/>
        <v>9.9334221772176381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14.1</v>
      </c>
      <c r="N48" s="14">
        <f>IF('Données projet'!$A$36&gt;35,N47+M48-V47,IF(A48&lt;'Données projet'!$A$36,$K$205^A48,IF(A48='Données projet'!$A$36,'Données projet'!$B$36,N47+M48-V47)))</f>
        <v>244.5</v>
      </c>
      <c r="O48" s="14">
        <f>N48*VLOOKUP('Données projet'!$B$9,Paramètres!$A$1:$I$89,3,0)*VLOOKUP('Données projet'!$B$9,Paramètres!$A$1:$I$89,5,0)</f>
        <v>146.21100000000001</v>
      </c>
      <c r="P48" s="14">
        <f t="shared" si="33"/>
        <v>37.71624383608448</v>
      </c>
      <c r="Q48" s="22">
        <f t="shared" si="53"/>
        <v>320.33994968118049</v>
      </c>
      <c r="R48" s="62">
        <f t="shared" si="0"/>
        <v>613.6732830145138</v>
      </c>
      <c r="S48" s="62">
        <f ca="1">AVERAGE(OFFSET($R$3,0,0,'Données projet'!$E$9+1,1))-AVERAGE(OFFSET($H$3,0,0,'Données projet'!$E$9+1,1))</f>
        <v>295.83974441964551</v>
      </c>
      <c r="T48" s="62">
        <f t="shared" si="34"/>
        <v>212.24900914818096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5.5313960234652431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3.0344704966172031</v>
      </c>
      <c r="AC48" s="24">
        <f t="shared" si="3"/>
        <v>8.5658665200824462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14.1</v>
      </c>
      <c r="N49" s="14">
        <f>IF('Données projet'!$A$36&gt;35,N48+M49-V48,IF(A49&lt;'Données projet'!$A$36,$K$205^A49,IF(A49='Données projet'!$A$36,'Données projet'!$B$36,N48+M49-V48)))</f>
        <v>258.60000000000002</v>
      </c>
      <c r="O49" s="14">
        <f>N49*VLOOKUP('Données projet'!$B$9,Paramètres!$A$1:$I$89,3,0)*VLOOKUP('Données projet'!$B$9,Paramètres!$A$1:$I$89,5,0)</f>
        <v>154.64280000000002</v>
      </c>
      <c r="P49" s="14">
        <f t="shared" si="33"/>
        <v>39.631799470164985</v>
      </c>
      <c r="Q49" s="22">
        <f t="shared" si="53"/>
        <v>338.36159407720407</v>
      </c>
      <c r="R49" s="62">
        <f t="shared" si="0"/>
        <v>631.69492741053739</v>
      </c>
      <c r="S49" s="62">
        <f ca="1">AVERAGE(OFFSET($R$3,0,0,'Données projet'!$E$9+1,1))-AVERAGE(OFFSET($H$3,0,0,'Données projet'!$E$9+1,1))</f>
        <v>295.83974441964551</v>
      </c>
      <c r="T49" s="62">
        <f t="shared" si="34"/>
        <v>212.24900914818096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5.4229287212635269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2.1456946654685352</v>
      </c>
      <c r="AC49" s="24">
        <f t="shared" si="3"/>
        <v>7.568623386732062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14.1</v>
      </c>
      <c r="N50" s="14">
        <f>IF('Données projet'!$A$36&gt;35,N49+M50-V49,IF(A50&lt;'Données projet'!$A$36,$K$205^A50,IF(A50='Données projet'!$A$36,'Données projet'!$B$36,N49+M50-V49)))</f>
        <v>272.70000000000005</v>
      </c>
      <c r="O50" s="14">
        <f>N50*VLOOKUP('Données projet'!$B$9,Paramètres!$A$1:$I$89,3,0)*VLOOKUP('Données projet'!$B$9,Paramètres!$A$1:$I$89,5,0)</f>
        <v>163.07460000000003</v>
      </c>
      <c r="P50" s="14">
        <f t="shared" si="33"/>
        <v>41.535229926099966</v>
      </c>
      <c r="Q50" s="22">
        <f t="shared" si="53"/>
        <v>356.36212045462412</v>
      </c>
      <c r="R50" s="62">
        <f t="shared" si="0"/>
        <v>649.69545378795738</v>
      </c>
      <c r="S50" s="62">
        <f ca="1">AVERAGE(OFFSET($R$3,0,0,'Données projet'!$E$9+1,1))-AVERAGE(OFFSET($H$3,0,0,'Données projet'!$E$9+1,1))</f>
        <v>295.83974441964551</v>
      </c>
      <c r="T50" s="62">
        <f t="shared" si="34"/>
        <v>212.24900914818096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5.3165883966994647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1.5172352483086018</v>
      </c>
      <c r="AC50" s="24">
        <f t="shared" si="3"/>
        <v>6.8338236450080663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14.1</v>
      </c>
      <c r="N51" s="14">
        <f>IF('Données projet'!$A$36&gt;35,N50+M51-V50,IF(A51&lt;'Données projet'!$A$36,$K$205^A51,IF(A51='Données projet'!$A$36,'Données projet'!$B$36,N50+M51-V50)))</f>
        <v>286.80000000000007</v>
      </c>
      <c r="O51" s="14">
        <f>N51*VLOOKUP('Données projet'!$B$9,Paramètres!$A$1:$I$89,3,0)*VLOOKUP('Données projet'!$B$9,Paramètres!$A$1:$I$89,5,0)</f>
        <v>171.50640000000004</v>
      </c>
      <c r="P51" s="14">
        <f t="shared" si="33"/>
        <v>43.427233649451665</v>
      </c>
      <c r="Q51" s="22">
        <f t="shared" si="53"/>
        <v>374.34274527279507</v>
      </c>
      <c r="R51" s="62">
        <f t="shared" si="0"/>
        <v>667.67607860612839</v>
      </c>
      <c r="S51" s="62">
        <f ca="1">AVERAGE(OFFSET($R$3,0,0,'Données projet'!$E$9+1,1))-AVERAGE(OFFSET($H$3,0,0,'Données projet'!$E$9+1,1))</f>
        <v>295.83974441964551</v>
      </c>
      <c r="T51" s="62">
        <f t="shared" si="34"/>
        <v>212.24900914818096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5.2123333410389101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1.0728473327342676</v>
      </c>
      <c r="AC51" s="24">
        <f t="shared" si="3"/>
        <v>6.2851806737731781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14.1</v>
      </c>
      <c r="N52" s="14">
        <f>IF('Données projet'!$A$36&gt;35,N51+M52-V51,IF(A52&lt;'Données projet'!$A$36,$K$205^A52,IF(A52='Données projet'!$A$36,'Données projet'!$B$36,N51+M52-V51)))</f>
        <v>300.90000000000009</v>
      </c>
      <c r="O52" s="14">
        <f>N52*VLOOKUP('Données projet'!$B$9,Paramètres!$A$1:$I$89,3,0)*VLOOKUP('Données projet'!$B$9,Paramètres!$A$1:$I$89,5,0)</f>
        <v>179.93820000000005</v>
      </c>
      <c r="P52" s="14">
        <f t="shared" si="33"/>
        <v>45.308436530386629</v>
      </c>
      <c r="Q52" s="22">
        <f t="shared" si="53"/>
        <v>392.30455862375675</v>
      </c>
      <c r="R52" s="62">
        <f t="shared" si="0"/>
        <v>685.63789195709001</v>
      </c>
      <c r="S52" s="62">
        <f ca="1">AVERAGE(OFFSET($R$3,0,0,'Données projet'!$E$9+1,1))-AVERAGE(OFFSET($H$3,0,0,'Données projet'!$E$9+1,1))</f>
        <v>295.83974441964551</v>
      </c>
      <c r="T52" s="62">
        <f t="shared" si="34"/>
        <v>212.24900914818096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5.1101226634305545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0.7586176241543009</v>
      </c>
      <c r="AC52" s="24">
        <f t="shared" si="3"/>
        <v>5.8687402875848553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315</v>
      </c>
      <c r="L53" s="13">
        <f>VLOOKUP(A53,'Données projet'!$A$35:$I$55,9,0)</f>
        <v>14.1</v>
      </c>
      <c r="M53" s="13">
        <f t="array" ref="M53">INDEX(L:L,MIN(IF(ISNUMBER(L53:L249),ROW(L53:L249),"")))</f>
        <v>14.1</v>
      </c>
      <c r="N53" s="14">
        <f>IF('Données projet'!$A$36&gt;35,N52+M53-V52,IF(A53&lt;'Données projet'!$A$36,$K$205^A53,IF(A53='Données projet'!$A$36,'Données projet'!$B$36,N52+M53-V52)))</f>
        <v>315.00000000000011</v>
      </c>
      <c r="O53" s="14">
        <f>N53*VLOOKUP('Données projet'!$B$9,Paramètres!$A$1:$I$89,3,0)*VLOOKUP('Données projet'!$B$9,Paramètres!$A$1:$I$89,5,0)</f>
        <v>188.37000000000009</v>
      </c>
      <c r="P53" s="14">
        <f t="shared" si="33"/>
        <v>47.179402486491341</v>
      </c>
      <c r="Q53" s="22">
        <f t="shared" si="53"/>
        <v>410.24854266397256</v>
      </c>
      <c r="R53" s="62">
        <f t="shared" si="0"/>
        <v>703.58187599730581</v>
      </c>
      <c r="S53" s="62">
        <f ca="1">AVERAGE(OFFSET($R$3,0,0,'Données projet'!$E$9+1,1))-AVERAGE(OFFSET($H$3,0,0,'Données projet'!$E$9+1,1))</f>
        <v>295.83974441964551</v>
      </c>
      <c r="T53" s="62">
        <f t="shared" si="34"/>
        <v>212.24900914818096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79</v>
      </c>
      <c r="W53" s="17">
        <f>IF(ISNA(VLOOKUP(A53,'Données projet'!$A$35:$I$55,5,0)),0%,VLOOKUP(A53,'Données projet'!$A$35:$I$55,5,0)*VLOOKUP('Données projet'!$B$9,Paramètres!$A$1:$I$89,7,0))</f>
        <v>0.22500000000000001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0.5</v>
      </c>
      <c r="Z53" s="23">
        <f>EXP(-LN(2)/35)*Z52+(1-EXP(-LN(2)/35))/(LN(2)/35)*V53*W53*VLOOKUP('Données projet'!$B$9,Paramètres!$A$1:$I$89,3,0)*0.475*44/12</f>
        <v>19.110566825739561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27.280882766239781</v>
      </c>
      <c r="AC53" s="24">
        <f t="shared" si="3"/>
        <v>46.391449591979338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15.7</v>
      </c>
      <c r="N54" s="14">
        <f>IF('Données projet'!$A$36&gt;35,N53+M54-V53,IF(A54&lt;'Données projet'!$A$36,$K$205^A54,IF(A54='Données projet'!$A$36,'Données projet'!$B$36,N53+M54-V53)))</f>
        <v>251.7000000000001</v>
      </c>
      <c r="O54" s="14">
        <f>N54*VLOOKUP('Données projet'!$B$9,Paramètres!$A$1:$I$89,3,0)*VLOOKUP('Données projet'!$B$9,Paramètres!$A$1:$I$89,5,0)</f>
        <v>150.51660000000007</v>
      </c>
      <c r="P54" s="14">
        <f t="shared" si="33"/>
        <v>38.695961323116059</v>
      </c>
      <c r="Q54" s="22">
        <f t="shared" si="53"/>
        <v>329.54521097109392</v>
      </c>
      <c r="R54" s="62">
        <f t="shared" si="0"/>
        <v>622.87854430442724</v>
      </c>
      <c r="S54" s="62">
        <f ca="1">AVERAGE(OFFSET($R$3,0,0,'Données projet'!$E$9+1,1))-AVERAGE(OFFSET($H$3,0,0,'Données projet'!$E$9+1,1))</f>
        <v>295.83974441964551</v>
      </c>
      <c r="T54" s="62">
        <f t="shared" si="34"/>
        <v>212.24900914818096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18.735820266581609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19.290497200763369</v>
      </c>
      <c r="AC54" s="24">
        <f t="shared" si="3"/>
        <v>38.026317467344981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15.7</v>
      </c>
      <c r="N55" s="14">
        <f>IF('Données projet'!$A$36&gt;35,N54+M55-V54,IF(A55&lt;'Données projet'!$A$36,$K$205^A55,IF(A55='Données projet'!$A$36,'Données projet'!$B$36,N54+M55-V54)))</f>
        <v>267.40000000000009</v>
      </c>
      <c r="O55" s="14">
        <f>N55*VLOOKUP('Données projet'!$B$9,Paramètres!$A$1:$I$89,3,0)*VLOOKUP('Données projet'!$B$9,Paramètres!$A$1:$I$89,5,0)</f>
        <v>159.90520000000006</v>
      </c>
      <c r="P55" s="14">
        <f t="shared" si="33"/>
        <v>40.821132264574658</v>
      </c>
      <c r="Q55" s="22">
        <f t="shared" si="53"/>
        <v>349.59836202746766</v>
      </c>
      <c r="R55" s="62">
        <f t="shared" si="0"/>
        <v>642.93169536080097</v>
      </c>
      <c r="S55" s="62">
        <f ca="1">AVERAGE(OFFSET($R$3,0,0,'Données projet'!$E$9+1,1))-AVERAGE(OFFSET($H$3,0,0,'Données projet'!$E$9+1,1))</f>
        <v>295.83974441964551</v>
      </c>
      <c r="T55" s="62">
        <f t="shared" si="34"/>
        <v>212.24900914818096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18.368422258875913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13.640441383119892</v>
      </c>
      <c r="AC55" s="24">
        <f t="shared" si="3"/>
        <v>32.008863641995802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15.7</v>
      </c>
      <c r="N56" s="14">
        <f>IF('Données projet'!$A$36&gt;35,N55+M56-V55,IF(A56&lt;'Données projet'!$A$36,$K$205^A56,IF(A56='Données projet'!$A$36,'Données projet'!$B$36,N55+M56-V55)))</f>
        <v>283.10000000000008</v>
      </c>
      <c r="O56" s="14">
        <f>N56*VLOOKUP('Données projet'!$B$9,Paramètres!$A$1:$I$89,3,0)*VLOOKUP('Données projet'!$B$9,Paramètres!$A$1:$I$89,5,0)</f>
        <v>169.29380000000009</v>
      </c>
      <c r="P56" s="14">
        <f t="shared" si="33"/>
        <v>42.931819978697277</v>
      </c>
      <c r="Q56" s="22">
        <f t="shared" si="53"/>
        <v>369.6262881295645</v>
      </c>
      <c r="R56" s="62">
        <f t="shared" si="0"/>
        <v>662.95962146289776</v>
      </c>
      <c r="S56" s="62">
        <f ca="1">AVERAGE(OFFSET($R$3,0,0,'Données projet'!$E$9+1,1))-AVERAGE(OFFSET($H$3,0,0,'Données projet'!$E$9+1,1))</f>
        <v>295.83974441964551</v>
      </c>
      <c r="T56" s="62">
        <f t="shared" si="34"/>
        <v>212.24900914818096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18.008228702010669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9.6452486003816862</v>
      </c>
      <c r="AC56" s="24">
        <f t="shared" si="3"/>
        <v>27.653477302392353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15.7</v>
      </c>
      <c r="N57" s="14">
        <f>IF('Données projet'!$A$36&gt;35,N56+M57-V56,IF(A57&lt;'Données projet'!$A$36,$K$205^A57,IF(A57='Données projet'!$A$36,'Données projet'!$B$36,N56+M57-V56)))</f>
        <v>298.80000000000007</v>
      </c>
      <c r="O57" s="14">
        <f>N57*VLOOKUP('Données projet'!$B$9,Paramètres!$A$1:$I$89,3,0)*VLOOKUP('Données projet'!$B$9,Paramètres!$A$1:$I$89,5,0)</f>
        <v>178.68240000000006</v>
      </c>
      <c r="P57" s="14">
        <f t="shared" si="33"/>
        <v>45.028919214980071</v>
      </c>
      <c r="Q57" s="22">
        <f t="shared" si="53"/>
        <v>389.63054763275704</v>
      </c>
      <c r="R57" s="62">
        <f t="shared" si="0"/>
        <v>682.9638809660903</v>
      </c>
      <c r="S57" s="62">
        <f ca="1">AVERAGE(OFFSET($R$3,0,0,'Données projet'!$E$9+1,1))-AVERAGE(OFFSET($H$3,0,0,'Données projet'!$E$9+1,1))</f>
        <v>295.83974441964551</v>
      </c>
      <c r="T57" s="62">
        <f t="shared" si="34"/>
        <v>212.24900914818096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17.655098321099175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6.820220691559947</v>
      </c>
      <c r="AC57" s="24">
        <f t="shared" si="3"/>
        <v>24.475319012659121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15.7</v>
      </c>
      <c r="N58" s="14">
        <f>IF('Données projet'!$A$36&gt;35,N57+M58-V57,IF(A58&lt;'Données projet'!$A$36,$K$205^A58,IF(A58='Données projet'!$A$36,'Données projet'!$B$36,N57+M58-V57)))</f>
        <v>314.50000000000006</v>
      </c>
      <c r="O58" s="14">
        <f>N58*VLOOKUP('Données projet'!$B$9,Paramètres!$A$1:$I$89,3,0)*VLOOKUP('Données projet'!$B$9,Paramètres!$A$1:$I$89,5,0)</f>
        <v>188.07100000000005</v>
      </c>
      <c r="P58" s="14">
        <f t="shared" si="33"/>
        <v>47.113225385753083</v>
      </c>
      <c r="Q58" s="22">
        <f t="shared" si="53"/>
        <v>409.61252588018669</v>
      </c>
      <c r="R58" s="62">
        <f t="shared" si="0"/>
        <v>702.94585921351995</v>
      </c>
      <c r="S58" s="62">
        <f ca="1">AVERAGE(OFFSET($R$3,0,0,'Données projet'!$E$9+1,1))-AVERAGE(OFFSET($H$3,0,0,'Données projet'!$E$9+1,1))</f>
        <v>295.83974441964551</v>
      </c>
      <c r="T58" s="62">
        <f t="shared" si="34"/>
        <v>212.24900914818096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17.308892611569089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4.822624300190844</v>
      </c>
      <c r="AC58" s="24">
        <f t="shared" si="3"/>
        <v>22.131516911759931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15.7</v>
      </c>
      <c r="N59" s="14">
        <f>IF('Données projet'!$A$36&gt;35,N58+M59-V58,IF(A59&lt;'Données projet'!$A$36,$K$205^A59,IF(A59='Données projet'!$A$36,'Données projet'!$B$36,N58+M59-V58)))</f>
        <v>330.20000000000005</v>
      </c>
      <c r="O59" s="14">
        <f>N59*VLOOKUP('Données projet'!$B$9,Paramètres!$A$1:$I$89,3,0)*VLOOKUP('Données projet'!$B$9,Paramètres!$A$1:$I$89,5,0)</f>
        <v>197.45960000000005</v>
      </c>
      <c r="P59" s="14">
        <f t="shared" si="33"/>
        <v>49.185450002435452</v>
      </c>
      <c r="Q59" s="22">
        <f t="shared" si="53"/>
        <v>429.57346208757514</v>
      </c>
      <c r="R59" s="62">
        <f t="shared" si="0"/>
        <v>722.90679542090845</v>
      </c>
      <c r="S59" s="62">
        <f ca="1">AVERAGE(OFFSET($R$3,0,0,'Données projet'!$E$9+1,1))-AVERAGE(OFFSET($H$3,0,0,'Données projet'!$E$9+1,1))</f>
        <v>295.83974441964551</v>
      </c>
      <c r="T59" s="62">
        <f t="shared" si="34"/>
        <v>212.24900914818096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16.969475784838256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3.4101103457799744</v>
      </c>
      <c r="AC59" s="24">
        <f t="shared" si="3"/>
        <v>20.379586130618229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</v>
      </c>
      <c r="N60" s="14">
        <f>IF('Données projet'!$A$36&gt;35,N59+M60-V59,IF(A60&lt;'Données projet'!$A$36,$K$205^A60,IF(A60='Données projet'!$A$36,'Données projet'!$B$36,N59+M60-V59)))</f>
        <v>345.90000000000003</v>
      </c>
      <c r="O60" s="14">
        <f>N60*VLOOKUP('Données projet'!$B$9,Paramètres!$A$1:$I$89,3,0)*VLOOKUP('Données projet'!$B$9,Paramètres!$A$1:$I$89,5,0)</f>
        <v>206.84820000000005</v>
      </c>
      <c r="P60" s="14">
        <f t="shared" si="33"/>
        <v>51.246233092829954</v>
      </c>
      <c r="Q60" s="22">
        <f t="shared" si="53"/>
        <v>449.51447097001227</v>
      </c>
      <c r="R60" s="62">
        <f t="shared" si="0"/>
        <v>742.84780430334558</v>
      </c>
      <c r="S60" s="62">
        <f ca="1">AVERAGE(OFFSET($R$3,0,0,'Données projet'!$E$9+1,1))-AVERAGE(OFFSET($H$3,0,0,'Données projet'!$E$9+1,1))</f>
        <v>295.83974441964551</v>
      </c>
      <c r="T60" s="62">
        <f t="shared" si="34"/>
        <v>212.24900914818096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16.636714715055792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2.4113121500954224</v>
      </c>
      <c r="AC60" s="24">
        <f t="shared" si="3"/>
        <v>19.048026865151215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</v>
      </c>
      <c r="N61" s="14">
        <f>IF('Données projet'!$A$36&gt;35,N60+M61-V60,IF(A61&lt;'Données projet'!$A$36,$K$205^A61,IF(A61='Données projet'!$A$36,'Données projet'!$B$36,N60+M61-V60)))</f>
        <v>361.6</v>
      </c>
      <c r="O61" s="14">
        <f>N61*VLOOKUP('Données projet'!$B$9,Paramètres!$A$1:$I$89,3,0)*VLOOKUP('Données projet'!$B$9,Paramètres!$A$1:$I$89,5,0)</f>
        <v>216.23680000000002</v>
      </c>
      <c r="P61" s="14">
        <f t="shared" si="33"/>
        <v>53.296153300267918</v>
      </c>
      <c r="Q61" s="22">
        <f t="shared" si="53"/>
        <v>469.43656033129997</v>
      </c>
      <c r="R61" s="62">
        <f t="shared" si="0"/>
        <v>762.76989366463329</v>
      </c>
      <c r="S61" s="62">
        <f ca="1">AVERAGE(OFFSET($R$3,0,0,'Données projet'!$E$9+1,1))-AVERAGE(OFFSET($H$3,0,0,'Données projet'!$E$9+1,1))</f>
        <v>295.83974441964551</v>
      </c>
      <c r="T61" s="62">
        <f t="shared" si="34"/>
        <v>212.24900914818096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16.310478886887552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1.7050551728899874</v>
      </c>
      <c r="AC61" s="24">
        <f t="shared" si="3"/>
        <v>18.01553405977754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</v>
      </c>
      <c r="N62" s="14">
        <f>IF('Données projet'!$A$36&gt;35,N61+M62-V61,IF(A62&lt;'Données projet'!$A$36,$K$205^A62,IF(A62='Données projet'!$A$36,'Données projet'!$B$36,N61+M62-V61)))</f>
        <v>377.3</v>
      </c>
      <c r="O62" s="14">
        <f>N62*VLOOKUP('Données projet'!$B$9,Paramètres!$A$1:$I$89,3,0)*VLOOKUP('Données projet'!$B$9,Paramètres!$A$1:$I$89,5,0)</f>
        <v>225.62540000000004</v>
      </c>
      <c r="P62" s="14">
        <f t="shared" si="33"/>
        <v>55.335736179321074</v>
      </c>
      <c r="Q62" s="22">
        <f t="shared" si="53"/>
        <v>489.34064551231751</v>
      </c>
      <c r="R62" s="62">
        <f t="shared" si="0"/>
        <v>782.67397884565082</v>
      </c>
      <c r="S62" s="62">
        <f ca="1">AVERAGE(OFFSET($R$3,0,0,'Données projet'!$E$9+1,1))-AVERAGE(OFFSET($H$3,0,0,'Données projet'!$E$9+1,1))</f>
        <v>295.83974441964551</v>
      </c>
      <c r="T62" s="62">
        <f t="shared" si="34"/>
        <v>212.24900914818096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15.990640344325485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1.2056560750477114</v>
      </c>
      <c r="AC62" s="24">
        <f t="shared" si="3"/>
        <v>17.196296419373198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393</v>
      </c>
      <c r="L63" s="13">
        <f>VLOOKUP(A63,'Données projet'!$A$35:$I$55,9,0)</f>
        <v>15.7</v>
      </c>
      <c r="M63" s="13">
        <f t="array" ref="M63">INDEX(L:L,MIN(IF(ISNUMBER(L63:L259),ROW(L63:L259),"")))</f>
        <v>15.7</v>
      </c>
      <c r="N63" s="14">
        <f>IF('Données projet'!$A$36&gt;35,N62+M63-V62,IF(A63&lt;'Données projet'!$A$36,$K$205^A63,IF(A63='Données projet'!$A$36,'Données projet'!$B$36,N62+M63-V62)))</f>
        <v>393</v>
      </c>
      <c r="O63" s="14">
        <f>N63*VLOOKUP('Données projet'!$B$9,Paramètres!$A$1:$I$89,3,0)*VLOOKUP('Données projet'!$B$9,Paramètres!$A$1:$I$89,5,0)</f>
        <v>235.01400000000001</v>
      </c>
      <c r="P63" s="14">
        <f t="shared" si="33"/>
        <v>57.365461071820548</v>
      </c>
      <c r="Q63" s="22">
        <f t="shared" si="53"/>
        <v>509.22756136675412</v>
      </c>
      <c r="R63" s="62">
        <f t="shared" si="0"/>
        <v>802.56089470008737</v>
      </c>
      <c r="S63" s="62">
        <f ca="1">AVERAGE(OFFSET($R$3,0,0,'Données projet'!$E$9+1,1))-AVERAGE(OFFSET($H$3,0,0,'Données projet'!$E$9+1,1))</f>
        <v>295.83974441964551</v>
      </c>
      <c r="T63" s="62">
        <f t="shared" si="34"/>
        <v>212.24900914818096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88</v>
      </c>
      <c r="W63" s="17">
        <f>IF(ISNA(VLOOKUP(A63,'Données projet'!$A$35:$I$55,5,0)),0%,VLOOKUP(A63,'Données projet'!$A$35:$I$55,5,0)*VLOOKUP('Données projet'!$B$9,Paramètres!$A$1:$I$89,7,0))</f>
        <v>0.29250000000000004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0.35</v>
      </c>
      <c r="Z63" s="23">
        <f>EXP(-LN(2)/35)*Z62+(1-EXP(-LN(2)/35))/(LN(2)/35)*V63*W63*VLOOKUP('Données projet'!$B$9,Paramètres!$A$1:$I$89,3,0)*0.475*44/12</f>
        <v>36.096243552143051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21.706434935206449</v>
      </c>
      <c r="AC63" s="24">
        <f t="shared" si="3"/>
        <v>57.802678487349496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14.3</v>
      </c>
      <c r="N64" s="14">
        <f>IF('Données projet'!$A$36&gt;35,N63+M64-V63,IF(A64&lt;'Données projet'!$A$36,$K$205^A64,IF(A64='Données projet'!$A$36,'Données projet'!$B$36,N63+M64-V63)))</f>
        <v>319.3</v>
      </c>
      <c r="O64" s="14">
        <f>N64*VLOOKUP('Données projet'!$B$9,Paramètres!$A$1:$I$89,3,0)*VLOOKUP('Données projet'!$B$9,Paramètres!$A$1:$I$89,5,0)</f>
        <v>190.94140000000002</v>
      </c>
      <c r="P64" s="14">
        <f t="shared" si="33"/>
        <v>47.748023117802013</v>
      </c>
      <c r="Q64" s="22">
        <f t="shared" si="53"/>
        <v>415.71741193017186</v>
      </c>
      <c r="R64" s="62">
        <f t="shared" si="0"/>
        <v>709.05074526350518</v>
      </c>
      <c r="S64" s="62">
        <f ca="1">AVERAGE(OFFSET($R$3,0,0,'Données projet'!$E$9+1,1))-AVERAGE(OFFSET($H$3,0,0,'Données projet'!$E$9+1,1))</f>
        <v>295.83974441964551</v>
      </c>
      <c r="T64" s="62">
        <f t="shared" si="34"/>
        <v>212.24900914818096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35.38841823262014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15.348767338069058</v>
      </c>
      <c r="AC64" s="24">
        <f t="shared" si="3"/>
        <v>50.737185570689199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14.3</v>
      </c>
      <c r="N65" s="14">
        <f>IF('Données projet'!$A$36&gt;35,N64+M65-V64,IF(A65&lt;'Données projet'!$A$36,$K$205^A65,IF(A65='Données projet'!$A$36,'Données projet'!$B$36,N64+M65-V64)))</f>
        <v>333.6</v>
      </c>
      <c r="O65" s="14">
        <f>N65*VLOOKUP('Données projet'!$B$9,Paramètres!$A$1:$I$89,3,0)*VLOOKUP('Données projet'!$B$9,Paramètres!$A$1:$I$89,5,0)</f>
        <v>199.49280000000002</v>
      </c>
      <c r="P65" s="14">
        <f t="shared" si="33"/>
        <v>49.632684049228061</v>
      </c>
      <c r="Q65" s="22">
        <f t="shared" si="53"/>
        <v>433.89355138573887</v>
      </c>
      <c r="R65" s="62">
        <f t="shared" si="0"/>
        <v>727.22688471907213</v>
      </c>
      <c r="S65" s="62">
        <f ca="1">AVERAGE(OFFSET($R$3,0,0,'Données projet'!$E$9+1,1))-AVERAGE(OFFSET($H$3,0,0,'Données projet'!$E$9+1,1))</f>
        <v>295.83974441964551</v>
      </c>
      <c r="T65" s="62">
        <f t="shared" si="34"/>
        <v>212.24900914818096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34.69447293588226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10.853217467603226</v>
      </c>
      <c r="AC65" s="24">
        <f t="shared" si="3"/>
        <v>45.54769040348549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14.3</v>
      </c>
      <c r="N66" s="14">
        <f>IF('Données projet'!$A$36&gt;35,N65+M66-V65,IF(A66&lt;'Données projet'!$A$36,$K$205^A66,IF(A66='Données projet'!$A$36,'Données projet'!$B$36,N65+M66-V65)))</f>
        <v>347.90000000000003</v>
      </c>
      <c r="O66" s="14">
        <f>N66*VLOOKUP('Données projet'!$B$9,Paramètres!$A$1:$I$89,3,0)*VLOOKUP('Données projet'!$B$9,Paramètres!$A$1:$I$89,5,0)</f>
        <v>208.04420000000005</v>
      </c>
      <c r="P66" s="14">
        <f t="shared" si="33"/>
        <v>51.507961722634242</v>
      </c>
      <c r="Q66" s="22">
        <f t="shared" si="53"/>
        <v>452.05334833358802</v>
      </c>
      <c r="R66" s="62">
        <f t="shared" si="0"/>
        <v>745.38668166692128</v>
      </c>
      <c r="S66" s="62">
        <f ca="1">AVERAGE(OFFSET($R$3,0,0,'Données projet'!$E$9+1,1))-AVERAGE(OFFSET($H$3,0,0,'Données projet'!$E$9+1,1))</f>
        <v>295.83974441964551</v>
      </c>
      <c r="T66" s="62">
        <f t="shared" si="34"/>
        <v>212.24900914818096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34.014135483148571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7.6743836690345306</v>
      </c>
      <c r="AC66" s="24">
        <f t="shared" si="3"/>
        <v>41.688519152183105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14.3</v>
      </c>
      <c r="N67" s="14">
        <f>IF('Données projet'!$A$36&gt;35,N66+M67-V66,IF(A67&lt;'Données projet'!$A$36,$K$205^A67,IF(A67='Données projet'!$A$36,'Données projet'!$B$36,N66+M67-V66)))</f>
        <v>362.20000000000005</v>
      </c>
      <c r="O67" s="14">
        <f>N67*VLOOKUP('Données projet'!$B$9,Paramètres!$A$1:$I$89,3,0)*VLOOKUP('Données projet'!$B$9,Paramètres!$A$1:$I$89,5,0)</f>
        <v>216.59560000000005</v>
      </c>
      <c r="P67" s="14">
        <f t="shared" si="33"/>
        <v>53.374285937607603</v>
      </c>
      <c r="Q67" s="22">
        <f t="shared" ref="Q67:Q98" si="54">(O67+P67)*0.475*44/12</f>
        <v>470.19755134133334</v>
      </c>
      <c r="R67" s="62">
        <f t="shared" ref="R67:R130" si="55">Q67+(I67+J67)*44/12</f>
        <v>763.53088467466659</v>
      </c>
      <c r="S67" s="62">
        <f ca="1">AVERAGE(OFFSET($R$3,0,0,'Données projet'!$E$9+1,1))-AVERAGE(OFFSET($H$3,0,0,'Données projet'!$E$9+1,1))</f>
        <v>295.83974441964551</v>
      </c>
      <c r="T67" s="62">
        <f t="shared" si="34"/>
        <v>212.24900914818096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33.34713903289812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5.426608733801614</v>
      </c>
      <c r="AC67" s="24">
        <f t="shared" si="3"/>
        <v>38.773747766699735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14.3</v>
      </c>
      <c r="N68" s="14">
        <f>IF('Données projet'!$A$36&gt;35,N67+M68-V67,IF(A68&lt;'Données projet'!$A$36,$K$205^A68,IF(A68='Données projet'!$A$36,'Données projet'!$B$36,N67+M68-V67)))</f>
        <v>376.50000000000006</v>
      </c>
      <c r="O68" s="14">
        <f>N68*VLOOKUP('Données projet'!$B$9,Paramètres!$A$1:$I$89,3,0)*VLOOKUP('Données projet'!$B$9,Paramètres!$A$1:$I$89,5,0)</f>
        <v>225.14700000000005</v>
      </c>
      <c r="P68" s="14">
        <f t="shared" si="33"/>
        <v>55.232050634645063</v>
      </c>
      <c r="Q68" s="22">
        <f t="shared" si="54"/>
        <v>488.32684652200686</v>
      </c>
      <c r="R68" s="62">
        <f t="shared" si="55"/>
        <v>781.66017985534017</v>
      </c>
      <c r="S68" s="62">
        <f ca="1">AVERAGE(OFFSET($R$3,0,0,'Données projet'!$E$9+1,1))-AVERAGE(OFFSET($H$3,0,0,'Données projet'!$E$9+1,1))</f>
        <v>295.83974441964551</v>
      </c>
      <c r="T68" s="62">
        <f t="shared" si="34"/>
        <v>212.24900914818096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32.693221976209415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3.8371918345172658</v>
      </c>
      <c r="AC68" s="24">
        <f t="shared" ref="AC68:AC131" si="57">SUM(Z68:AB68)</f>
        <v>36.530413810726678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14.3</v>
      </c>
      <c r="N69" s="14">
        <f>IF('Données projet'!$A$36&gt;35,N68+M69-V68,IF(A69&lt;'Données projet'!$A$36,$K$205^A69,IF(A69='Données projet'!$A$36,'Données projet'!$B$36,N68+M69-V68)))</f>
        <v>390.80000000000007</v>
      </c>
      <c r="O69" s="14">
        <f>N69*VLOOKUP('Données projet'!$B$9,Paramètres!$A$1:$I$89,3,0)*VLOOKUP('Données projet'!$B$9,Paramètres!$A$1:$I$89,5,0)</f>
        <v>233.69840000000005</v>
      </c>
      <c r="P69" s="14">
        <f t="shared" ref="P69:P132" si="87">EXP(-1.0587+0.8836*LN(O69)+0.284)</f>
        <v>57.081618134454175</v>
      </c>
      <c r="Q69" s="22">
        <f t="shared" si="54"/>
        <v>506.44186491750776</v>
      </c>
      <c r="R69" s="62">
        <f t="shared" si="55"/>
        <v>799.77519825084107</v>
      </c>
      <c r="S69" s="62">
        <f ca="1">AVERAGE(OFFSET($R$3,0,0,'Données projet'!$E$9+1,1))-AVERAGE(OFFSET($H$3,0,0,'Données projet'!$E$9+1,1))</f>
        <v>295.83974441964551</v>
      </c>
      <c r="T69" s="62">
        <f t="shared" ref="T69:T132" si="88">$T$3</f>
        <v>212.24900914818096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32.052127834152351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2.7133043669008075</v>
      </c>
      <c r="AC69" s="24">
        <f t="shared" si="57"/>
        <v>34.765432201053159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14.3</v>
      </c>
      <c r="N70" s="14">
        <f>IF('Données projet'!$A$36&gt;35,N69+M70-V69,IF(A70&lt;'Données projet'!$A$36,$K$205^A70,IF(A70='Données projet'!$A$36,'Données projet'!$B$36,N69+M70-V69)))</f>
        <v>405.10000000000008</v>
      </c>
      <c r="O70" s="14">
        <f>N70*VLOOKUP('Données projet'!$B$9,Paramètres!$A$1:$I$89,3,0)*VLOOKUP('Données projet'!$B$9,Paramètres!$A$1:$I$89,5,0)</f>
        <v>242.24980000000005</v>
      </c>
      <c r="P70" s="14">
        <f t="shared" si="87"/>
        <v>58.923322739321947</v>
      </c>
      <c r="Q70" s="22">
        <f t="shared" si="54"/>
        <v>524.54318877098581</v>
      </c>
      <c r="R70" s="62">
        <f t="shared" si="55"/>
        <v>817.87652210431906</v>
      </c>
      <c r="S70" s="62">
        <f ca="1">AVERAGE(OFFSET($R$3,0,0,'Données projet'!$E$9+1,1))-AVERAGE(OFFSET($H$3,0,0,'Données projet'!$E$9+1,1))</f>
        <v>295.83974441964551</v>
      </c>
      <c r="T70" s="62">
        <f t="shared" si="88"/>
        <v>212.24900914818096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31.423605157192213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1.9185959172586333</v>
      </c>
      <c r="AC70" s="24">
        <f t="shared" si="57"/>
        <v>33.342201074450848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14.3</v>
      </c>
      <c r="N71" s="14">
        <f>IF('Données projet'!$A$36&gt;35,N70+M71-V70,IF(A71&lt;'Données projet'!$A$36,$K$205^A71,IF(A71='Données projet'!$A$36,'Données projet'!$B$36,N70+M71-V70)))</f>
        <v>419.40000000000009</v>
      </c>
      <c r="O71" s="14">
        <f>N71*VLOOKUP('Données projet'!$B$9,Paramètres!$A$1:$I$89,3,0)*VLOOKUP('Données projet'!$B$9,Paramètres!$A$1:$I$89,5,0)</f>
        <v>250.80120000000008</v>
      </c>
      <c r="P71" s="14">
        <f t="shared" si="87"/>
        <v>60.757473811682686</v>
      </c>
      <c r="Q71" s="22">
        <f t="shared" si="54"/>
        <v>542.63135688868078</v>
      </c>
      <c r="R71" s="62">
        <f t="shared" si="55"/>
        <v>835.96469022201404</v>
      </c>
      <c r="S71" s="62">
        <f ca="1">AVERAGE(OFFSET($R$3,0,0,'Données projet'!$E$9+1,1))-AVERAGE(OFFSET($H$3,0,0,'Données projet'!$E$9+1,1))</f>
        <v>295.83974441964551</v>
      </c>
      <c r="T71" s="62">
        <f t="shared" si="88"/>
        <v>212.24900914818096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30.807407426566286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1.3566521834504039</v>
      </c>
      <c r="AC71" s="24">
        <f t="shared" si="57"/>
        <v>32.164059610016693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14.3</v>
      </c>
      <c r="N72" s="14">
        <f>IF('Données projet'!$A$36&gt;35,N71+M72-V71,IF(A72&lt;'Données projet'!$A$36,$K$205^A72,IF(A72='Données projet'!$A$36,'Données projet'!$B$36,N71+M72-V71)))</f>
        <v>433.7000000000001</v>
      </c>
      <c r="O72" s="14">
        <f>N72*VLOOKUP('Données projet'!$B$9,Paramètres!$A$1:$I$89,3,0)*VLOOKUP('Données projet'!$B$9,Paramètres!$A$1:$I$89,5,0)</f>
        <v>259.35260000000011</v>
      </c>
      <c r="P72" s="14">
        <f t="shared" si="87"/>
        <v>62.58435842101963</v>
      </c>
      <c r="Q72" s="22">
        <f t="shared" si="54"/>
        <v>560.70686924994277</v>
      </c>
      <c r="R72" s="62">
        <f t="shared" si="55"/>
        <v>854.04020258327614</v>
      </c>
      <c r="S72" s="62">
        <f ca="1">AVERAGE(OFFSET($R$3,0,0,'Données projet'!$E$9+1,1))-AVERAGE(OFFSET($H$3,0,0,'Données projet'!$E$9+1,1))</f>
        <v>295.83974441964551</v>
      </c>
      <c r="T72" s="62">
        <f t="shared" si="88"/>
        <v>212.24900914818096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30.203292957594428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0.95929795862931677</v>
      </c>
      <c r="AC72" s="24">
        <f t="shared" si="57"/>
        <v>31.162590916223746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448</v>
      </c>
      <c r="L73" s="13">
        <f>VLOOKUP(A73,'Données projet'!$A$35:$I$55,9,0)</f>
        <v>14.3</v>
      </c>
      <c r="M73" s="13">
        <f t="array" ref="M73">INDEX(L:L,MIN(IF(ISNUMBER(L73:L269),ROW(L73:L269),"")))</f>
        <v>14.3</v>
      </c>
      <c r="N73" s="14">
        <f>IF('Données projet'!$A$36&gt;35,N72+M73-V72,IF(A73&lt;'Données projet'!$A$36,$K$205^A73,IF(A73='Données projet'!$A$36,'Données projet'!$B$36,N72+M73-V72)))</f>
        <v>448.00000000000011</v>
      </c>
      <c r="O73" s="14">
        <f>N73*VLOOKUP('Données projet'!$B$9,Paramètres!$A$1:$I$89,3,0)*VLOOKUP('Données projet'!$B$9,Paramètres!$A$1:$I$89,5,0)</f>
        <v>267.90400000000011</v>
      </c>
      <c r="P73" s="14">
        <f t="shared" si="87"/>
        <v>64.404243631863267</v>
      </c>
      <c r="Q73" s="22">
        <f t="shared" si="54"/>
        <v>578.77019099216204</v>
      </c>
      <c r="R73" s="62">
        <f t="shared" si="55"/>
        <v>872.1035243254953</v>
      </c>
      <c r="S73" s="62">
        <f ca="1">AVERAGE(OFFSET($R$3,0,0,'Données projet'!$E$9+1,1))-AVERAGE(OFFSET($H$3,0,0,'Données projet'!$E$9+1,1))</f>
        <v>295.83974441964551</v>
      </c>
      <c r="T73" s="62">
        <f t="shared" si="88"/>
        <v>212.24900914818096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78</v>
      </c>
      <c r="W73" s="17">
        <f>IF(ISNA(VLOOKUP(A73,'Données projet'!$A$35:$I$55,5,0)),0%,VLOOKUP(A73,'Données projet'!$A$35:$I$55,5,0)*VLOOKUP('Données projet'!$B$9,Paramètres!$A$1:$I$89,7,0))</f>
        <v>0.36000000000000004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0.2</v>
      </c>
      <c r="Z73" s="23">
        <f>EXP(-LN(2)/35)*Z72+(1-EXP(-LN(2)/35))/(LN(2)/35)*V73*W73*VLOOKUP('Données projet'!$B$9,Paramètres!$A$1:$I$89,3,0)*0.475*44/12</f>
        <v>51.886482890313559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11.240694748890098</v>
      </c>
      <c r="AC73" s="24">
        <f t="shared" si="57"/>
        <v>63.127177639203659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</v>
      </c>
      <c r="N74" s="14">
        <f>IF('Données projet'!$A$36&gt;35,N73+M74-V73,IF(A74&lt;'Données projet'!$A$36,$K$205^A74,IF(A74='Données projet'!$A$36,'Données projet'!$B$36,N73+M74-V73)))</f>
        <v>379.00000000000011</v>
      </c>
      <c r="O74" s="14">
        <f>N74*VLOOKUP('Données projet'!$B$9,Paramètres!$A$1:$I$89,3,0)*VLOOKUP('Données projet'!$B$9,Paramètres!$A$1:$I$89,5,0)</f>
        <v>226.64200000000008</v>
      </c>
      <c r="P74" s="14">
        <f t="shared" si="87"/>
        <v>55.555983079812862</v>
      </c>
      <c r="Q74" s="22">
        <f t="shared" si="54"/>
        <v>491.49482053067413</v>
      </c>
      <c r="R74" s="62">
        <f t="shared" si="55"/>
        <v>784.82815386400739</v>
      </c>
      <c r="S74" s="62">
        <f ca="1">AVERAGE(OFFSET($R$3,0,0,'Données projet'!$E$9+1,1))-AVERAGE(OFFSET($H$3,0,0,'Données projet'!$E$9+1,1))</f>
        <v>295.83974441964551</v>
      </c>
      <c r="T74" s="62">
        <f t="shared" si="88"/>
        <v>212.24900914818096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50.869020608464126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7.9483714821882048</v>
      </c>
      <c r="AC74" s="24">
        <f t="shared" si="57"/>
        <v>58.817392090652334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</v>
      </c>
      <c r="N75" s="14">
        <f>IF('Données projet'!$A$36&gt;35,N74+M75-V74,IF(A75&lt;'Données projet'!$A$36,$K$205^A75,IF(A75='Données projet'!$A$36,'Données projet'!$B$36,N74+M75-V74)))</f>
        <v>388.00000000000011</v>
      </c>
      <c r="O75" s="14">
        <f>N75*VLOOKUP('Données projet'!$B$9,Paramètres!$A$1:$I$89,3,0)*VLOOKUP('Données projet'!$B$9,Paramètres!$A$1:$I$89,5,0)</f>
        <v>232.02400000000006</v>
      </c>
      <c r="P75" s="14">
        <f t="shared" si="87"/>
        <v>56.720094243161071</v>
      </c>
      <c r="Q75" s="22">
        <f t="shared" si="54"/>
        <v>502.89596414017234</v>
      </c>
      <c r="R75" s="62">
        <f t="shared" si="55"/>
        <v>796.22929747350565</v>
      </c>
      <c r="S75" s="62">
        <f ca="1">AVERAGE(OFFSET($R$3,0,0,'Données projet'!$E$9+1,1))-AVERAGE(OFFSET($H$3,0,0,'Données projet'!$E$9+1,1))</f>
        <v>295.83974441964551</v>
      </c>
      <c r="T75" s="62">
        <f t="shared" si="88"/>
        <v>212.24900914818096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49.871510141371047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5.6203473744450498</v>
      </c>
      <c r="AC75" s="24">
        <f t="shared" si="57"/>
        <v>55.491857515816093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</v>
      </c>
      <c r="N76" s="14">
        <f>IF('Données projet'!$A$36&gt;35,N75+M76-V75,IF(A76&lt;'Données projet'!$A$36,$K$205^A76,IF(A76='Données projet'!$A$36,'Données projet'!$B$36,N75+M76-V75)))</f>
        <v>397.00000000000011</v>
      </c>
      <c r="O76" s="14">
        <f>N76*VLOOKUP('Données projet'!$B$9,Paramètres!$A$1:$I$89,3,0)*VLOOKUP('Données projet'!$B$9,Paramètres!$A$1:$I$89,5,0)</f>
        <v>237.40600000000009</v>
      </c>
      <c r="P76" s="14">
        <f t="shared" si="87"/>
        <v>57.881066248213493</v>
      </c>
      <c r="Q76" s="22">
        <f t="shared" si="54"/>
        <v>514.29164038230522</v>
      </c>
      <c r="R76" s="62">
        <f t="shared" si="55"/>
        <v>807.62497371563859</v>
      </c>
      <c r="S76" s="62">
        <f ca="1">AVERAGE(OFFSET($R$3,0,0,'Données projet'!$E$9+1,1))-AVERAGE(OFFSET($H$3,0,0,'Données projet'!$E$9+1,1))</f>
        <v>295.83974441964551</v>
      </c>
      <c r="T76" s="62">
        <f t="shared" si="88"/>
        <v>212.24900914818096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48.893560246116358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3.9741857410941028</v>
      </c>
      <c r="AC76" s="24">
        <f t="shared" si="57"/>
        <v>52.867745987210462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</v>
      </c>
      <c r="N77" s="14">
        <f>IF('Données projet'!$A$36&gt;35,N76+M77-V76,IF(A77&lt;'Données projet'!$A$36,$K$205^A77,IF(A77='Données projet'!$A$36,'Données projet'!$B$36,N76+M77-V76)))</f>
        <v>406.00000000000011</v>
      </c>
      <c r="O77" s="14">
        <f>N77*VLOOKUP('Données projet'!$B$9,Paramètres!$A$1:$I$89,3,0)*VLOOKUP('Données projet'!$B$9,Paramètres!$A$1:$I$89,5,0)</f>
        <v>242.78800000000007</v>
      </c>
      <c r="P77" s="14">
        <f t="shared" si="87"/>
        <v>59.038978452354563</v>
      </c>
      <c r="Q77" s="22">
        <f t="shared" si="54"/>
        <v>525.68198747118436</v>
      </c>
      <c r="R77" s="62">
        <f t="shared" si="55"/>
        <v>819.01532080451761</v>
      </c>
      <c r="S77" s="62">
        <f ca="1">AVERAGE(OFFSET($R$3,0,0,'Données projet'!$E$9+1,1))-AVERAGE(OFFSET($H$3,0,0,'Données projet'!$E$9+1,1))</f>
        <v>295.83974441964551</v>
      </c>
      <c r="T77" s="62">
        <f t="shared" si="88"/>
        <v>212.24900914818096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47.934787351817079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2.8101736872225254</v>
      </c>
      <c r="AC77" s="24">
        <f t="shared" si="57"/>
        <v>50.744961039039602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9</v>
      </c>
      <c r="N78" s="14">
        <f>IF('Données projet'!$A$36&gt;35,N77+M78-V77,IF(A78&lt;'Données projet'!$A$36,$K$205^A78,IF(A78='Données projet'!$A$36,'Données projet'!$B$36,N77+M78-V77)))</f>
        <v>415.00000000000011</v>
      </c>
      <c r="O78" s="14">
        <f>N78*VLOOKUP('Données projet'!$B$9,Paramètres!$A$1:$I$89,3,0)*VLOOKUP('Données projet'!$B$9,Paramètres!$A$1:$I$89,5,0)</f>
        <v>248.1700000000001</v>
      </c>
      <c r="P78" s="14">
        <f t="shared" si="87"/>
        <v>60.193906493778854</v>
      </c>
      <c r="Q78" s="22">
        <f t="shared" si="54"/>
        <v>537.06713714333159</v>
      </c>
      <c r="R78" s="62">
        <f t="shared" si="55"/>
        <v>830.40047047666485</v>
      </c>
      <c r="S78" s="62">
        <f ca="1">AVERAGE(OFFSET($R$3,0,0,'Données projet'!$E$9+1,1))-AVERAGE(OFFSET($H$3,0,0,'Données projet'!$E$9+1,1))</f>
        <v>295.83974441964551</v>
      </c>
      <c r="T78" s="62">
        <f t="shared" si="88"/>
        <v>212.24900914818096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46.994815409181285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1.9870928705470519</v>
      </c>
      <c r="AC78" s="24">
        <f t="shared" si="57"/>
        <v>48.981908279728337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9</v>
      </c>
      <c r="N79" s="14">
        <f>IF('Données projet'!$A$36&gt;35,N78+M79-V78,IF(A79&lt;'Données projet'!$A$36,$K$205^A79,IF(A79='Données projet'!$A$36,'Données projet'!$B$36,N78+M79-V78)))</f>
        <v>424.00000000000011</v>
      </c>
      <c r="O79" s="14">
        <f>N79*VLOOKUP('Données projet'!$B$9,Paramètres!$A$1:$I$89,3,0)*VLOOKUP('Données projet'!$B$9,Paramètres!$A$1:$I$89,5,0)</f>
        <v>253.55200000000008</v>
      </c>
      <c r="P79" s="14">
        <f t="shared" si="87"/>
        <v>61.345922542613536</v>
      </c>
      <c r="Q79" s="22">
        <f t="shared" si="54"/>
        <v>548.447215095052</v>
      </c>
      <c r="R79" s="62">
        <f t="shared" si="55"/>
        <v>841.78054842838537</v>
      </c>
      <c r="S79" s="62">
        <f ca="1">AVERAGE(OFFSET($R$3,0,0,'Données projet'!$E$9+1,1))-AVERAGE(OFFSET($H$3,0,0,'Données projet'!$E$9+1,1))</f>
        <v>295.83974441964551</v>
      </c>
      <c r="T79" s="62">
        <f t="shared" si="88"/>
        <v>212.24900914818096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46.073275743014307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1.4050868436112629</v>
      </c>
      <c r="AC79" s="24">
        <f t="shared" si="57"/>
        <v>47.478362586625572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9</v>
      </c>
      <c r="N80" s="14">
        <f>IF('Données projet'!$A$36&gt;35,N79+M80-V79,IF(A80&lt;'Données projet'!$A$36,$K$205^A80,IF(A80='Données projet'!$A$36,'Données projet'!$B$36,N79+M80-V79)))</f>
        <v>433.00000000000011</v>
      </c>
      <c r="O80" s="14">
        <f>N80*VLOOKUP('Données projet'!$B$9,Paramètres!$A$1:$I$89,3,0)*VLOOKUP('Données projet'!$B$9,Paramètres!$A$1:$I$89,5,0)</f>
        <v>258.93400000000008</v>
      </c>
      <c r="P80" s="14">
        <f t="shared" si="87"/>
        <v>62.495095530116075</v>
      </c>
      <c r="Q80" s="22">
        <f t="shared" si="54"/>
        <v>559.82234138161891</v>
      </c>
      <c r="R80" s="62">
        <f t="shared" si="55"/>
        <v>853.15567471495228</v>
      </c>
      <c r="S80" s="62">
        <f ca="1">AVERAGE(OFFSET($R$3,0,0,'Données projet'!$E$9+1,1))-AVERAGE(OFFSET($H$3,0,0,'Données projet'!$E$9+1,1))</f>
        <v>295.83974441964551</v>
      </c>
      <c r="T80" s="62">
        <f t="shared" si="88"/>
        <v>212.24900914818096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45.169806907617165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0.99354643527352604</v>
      </c>
      <c r="AC80" s="24">
        <f t="shared" si="57"/>
        <v>46.163353342890694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9</v>
      </c>
      <c r="N81" s="14">
        <f>IF('Données projet'!$A$36&gt;35,N80+M81-V80,IF(A81&lt;'Données projet'!$A$36,$K$205^A81,IF(A81='Données projet'!$A$36,'Données projet'!$B$36,N80+M81-V80)))</f>
        <v>442.00000000000011</v>
      </c>
      <c r="O81" s="14">
        <f>N81*VLOOKUP('Données projet'!$B$9,Paramètres!$A$1:$I$89,3,0)*VLOOKUP('Données projet'!$B$9,Paramètres!$A$1:$I$89,5,0)</f>
        <v>264.31600000000009</v>
      </c>
      <c r="P81" s="14">
        <f t="shared" si="87"/>
        <v>63.641491358279801</v>
      </c>
      <c r="Q81" s="22">
        <f t="shared" si="54"/>
        <v>571.19263078233746</v>
      </c>
      <c r="R81" s="62">
        <f t="shared" si="55"/>
        <v>864.52596411567083</v>
      </c>
      <c r="S81" s="62">
        <f ca="1">AVERAGE(OFFSET($R$3,0,0,'Données projet'!$E$9+1,1))-AVERAGE(OFFSET($H$3,0,0,'Données projet'!$E$9+1,1))</f>
        <v>295.83974441964551</v>
      </c>
      <c r="T81" s="62">
        <f t="shared" si="88"/>
        <v>212.24900914818096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44.284054545020581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0.70254342180563156</v>
      </c>
      <c r="AC81" s="24">
        <f t="shared" si="57"/>
        <v>44.98659796682621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9</v>
      </c>
      <c r="N82" s="14">
        <f>IF('Données projet'!$A$36&gt;35,N81+M82-V81,IF(A82&lt;'Données projet'!$A$36,$K$205^A82,IF(A82='Données projet'!$A$36,'Données projet'!$B$36,N81+M82-V81)))</f>
        <v>451.00000000000011</v>
      </c>
      <c r="O82" s="14">
        <f>N82*VLOOKUP('Données projet'!$B$9,Paramètres!$A$1:$I$89,3,0)*VLOOKUP('Données projet'!$B$9,Paramètres!$A$1:$I$89,5,0)</f>
        <v>269.69800000000009</v>
      </c>
      <c r="P82" s="14">
        <f t="shared" si="87"/>
        <v>64.785173091884289</v>
      </c>
      <c r="Q82" s="22">
        <f t="shared" si="54"/>
        <v>582.55819313503196</v>
      </c>
      <c r="R82" s="62">
        <f t="shared" si="55"/>
        <v>875.89152646836533</v>
      </c>
      <c r="S82" s="62">
        <f ca="1">AVERAGE(OFFSET($R$3,0,0,'Données projet'!$E$9+1,1))-AVERAGE(OFFSET($H$3,0,0,'Données projet'!$E$9+1,1))</f>
        <v>295.83974441964551</v>
      </c>
      <c r="T82" s="62">
        <f t="shared" si="88"/>
        <v>212.24900914818096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43.415671245998922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0.49677321763676313</v>
      </c>
      <c r="AC82" s="24">
        <f t="shared" si="57"/>
        <v>43.912444463635687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460</v>
      </c>
      <c r="L83" s="13">
        <f>VLOOKUP(A83,'Données projet'!$A$35:$I$55,9,0)</f>
        <v>9</v>
      </c>
      <c r="M83" s="13">
        <f t="array" ref="M83">INDEX(L:L,MIN(IF(ISNUMBER(L83:L279),ROW(L83:L279),"")))</f>
        <v>9</v>
      </c>
      <c r="N83" s="14">
        <f>IF('Données projet'!$A$36&gt;35,N82+M83-V82,IF(A83&lt;'Données projet'!$A$36,$K$205^A83,IF(A83='Données projet'!$A$36,'Données projet'!$B$36,N82+M83-V82)))</f>
        <v>460.00000000000011</v>
      </c>
      <c r="O83" s="14">
        <f>N83*VLOOKUP('Données projet'!$B$9,Paramètres!$A$1:$I$89,3,0)*VLOOKUP('Données projet'!$B$9,Paramètres!$A$1:$I$89,5,0)</f>
        <v>275.0800000000001</v>
      </c>
      <c r="P83" s="14">
        <f t="shared" si="87"/>
        <v>65.926201134783341</v>
      </c>
      <c r="Q83" s="22">
        <f t="shared" si="54"/>
        <v>593.91913364308118</v>
      </c>
      <c r="R83" s="62">
        <f t="shared" si="55"/>
        <v>887.25246697641455</v>
      </c>
      <c r="S83" s="62">
        <f ca="1">AVERAGE(OFFSET($R$3,0,0,'Données projet'!$E$9+1,1))-AVERAGE(OFFSET($H$3,0,0,'Données projet'!$E$9+1,1))</f>
        <v>295.83974441964551</v>
      </c>
      <c r="T83" s="62">
        <f t="shared" si="88"/>
        <v>212.24900914818096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460</v>
      </c>
      <c r="W83" s="17">
        <f>IF(ISNA(VLOOKUP(A83,'Données projet'!$A$35:$I$55,5,0)),0%,VLOOKUP(A83,'Données projet'!$A$35:$I$55,5,0)*VLOOKUP('Données projet'!$B$9,Paramètres!$A$1:$I$89,7,0))</f>
        <v>0.40500000000000003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0.1</v>
      </c>
      <c r="Z83" s="23">
        <f>EXP(-LN(2)/35)*Z82+(1-EXP(-LN(2)/35))/(LN(2)/35)*V83*W83*VLOOKUP('Données projet'!$B$9,Paramètres!$A$1:$I$89,3,0)*0.475*44/12</f>
        <v>190.35341332674463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31.496717751260835</v>
      </c>
      <c r="AC83" s="24">
        <f t="shared" si="57"/>
        <v>221.85013107800546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295.83974441964551</v>
      </c>
      <c r="T84" s="62">
        <f t="shared" si="88"/>
        <v>212.24900914818096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186.62069899552498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22.271542707035245</v>
      </c>
      <c r="AC84" s="24">
        <f t="shared" si="57"/>
        <v>208.89224170256023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295.83974441964551</v>
      </c>
      <c r="T85" s="62">
        <f t="shared" si="88"/>
        <v>212.24900914818096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182.96118091560959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15.748358875630419</v>
      </c>
      <c r="AC85" s="24">
        <f t="shared" si="57"/>
        <v>198.70953979124002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295.83974441964551</v>
      </c>
      <c r="T86" s="62">
        <f t="shared" si="88"/>
        <v>212.24900914818096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179.37342375315572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11.135771353517624</v>
      </c>
      <c r="AC86" s="24">
        <f t="shared" si="57"/>
        <v>190.50919510667333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295.83974441964551</v>
      </c>
      <c r="T87" s="62">
        <f t="shared" si="88"/>
        <v>212.24900914818096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175.85602032034177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7.8741794378152115</v>
      </c>
      <c r="AC87" s="24">
        <f t="shared" si="57"/>
        <v>183.73019975815697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295.83974441964551</v>
      </c>
      <c r="T88" s="62">
        <f t="shared" si="88"/>
        <v>212.24900914818096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172.40759102344106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5.567885676758813</v>
      </c>
      <c r="AC88" s="24">
        <f t="shared" si="57"/>
        <v>177.97547670019986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295.83974441964551</v>
      </c>
      <c r="T89" s="62">
        <f t="shared" si="88"/>
        <v>212.24900914818096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169.0267833217184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3.9370897189076062</v>
      </c>
      <c r="AC89" s="24">
        <f t="shared" si="57"/>
        <v>172.963873040626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295.83974441964551</v>
      </c>
      <c r="T90" s="62">
        <f t="shared" si="88"/>
        <v>212.24900914818096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165.71227119693742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2.7839428383794069</v>
      </c>
      <c r="AC90" s="24">
        <f t="shared" si="57"/>
        <v>168.49621403531683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295.83974441964551</v>
      </c>
      <c r="T91" s="62">
        <f t="shared" si="88"/>
        <v>212.24900914818096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162.46275463327063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1.9685448594538035</v>
      </c>
      <c r="AC91" s="24">
        <f t="shared" si="57"/>
        <v>164.43129949272443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295.83974441964551</v>
      </c>
      <c r="T92" s="62">
        <f t="shared" si="88"/>
        <v>212.24900914818096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159.27695910740795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1.3919714191897037</v>
      </c>
      <c r="AC92" s="24">
        <f t="shared" si="57"/>
        <v>160.66893052659765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295.83974441964551</v>
      </c>
      <c r="T93" s="62">
        <f t="shared" si="88"/>
        <v>212.24900914818096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156.15363508866403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0.98427242972690188</v>
      </c>
      <c r="AC93" s="24">
        <f t="shared" si="57"/>
        <v>157.13790751839093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295.83974441964551</v>
      </c>
      <c r="T94" s="62">
        <f t="shared" si="88"/>
        <v>212.24900914818096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153.09155754888815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0.69598570959485195</v>
      </c>
      <c r="AC94" s="24">
        <f t="shared" si="57"/>
        <v>153.787543258483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295.83974441964551</v>
      </c>
      <c r="T95" s="62">
        <f t="shared" si="88"/>
        <v>212.24900914818096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150.08952548198437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0.49213621486345105</v>
      </c>
      <c r="AC95" s="24">
        <f t="shared" si="57"/>
        <v>150.58166169684782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295.83974441964551</v>
      </c>
      <c r="T96" s="62">
        <f t="shared" si="88"/>
        <v>212.24900914818096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147.14636143285384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0.34799285479742603</v>
      </c>
      <c r="AC96" s="24">
        <f t="shared" si="57"/>
        <v>147.49435428765128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295.83974441964551</v>
      </c>
      <c r="T97" s="62">
        <f t="shared" si="88"/>
        <v>212.24900914818096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144.26091103557394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0.24606810743172555</v>
      </c>
      <c r="AC97" s="24">
        <f t="shared" si="57"/>
        <v>144.50697914300568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295.83974441964551</v>
      </c>
      <c r="T98" s="62">
        <f t="shared" si="88"/>
        <v>212.24900914818096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141.43204256063373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0.17399642739871304</v>
      </c>
      <c r="AC98" s="24">
        <f t="shared" si="57"/>
        <v>141.60603898803245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295.83974441964551</v>
      </c>
      <c r="T99" s="62">
        <f t="shared" si="88"/>
        <v>212.24900914818096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138.65864647104769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0.12303405371586279</v>
      </c>
      <c r="AC99" s="24">
        <f t="shared" si="57"/>
        <v>138.78168052476354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295.83974441964551</v>
      </c>
      <c r="T100" s="62">
        <f t="shared" si="88"/>
        <v>212.24900914818096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135.93963498717386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8.6998213699356536E-2</v>
      </c>
      <c r="AC100" s="24">
        <f t="shared" si="57"/>
        <v>136.02663320087322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295.83974441964551</v>
      </c>
      <c r="T101" s="62">
        <f t="shared" si="88"/>
        <v>212.24900914818096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133.27394166006556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6.1517026857931409E-2</v>
      </c>
      <c r="AC101" s="24">
        <f t="shared" si="57"/>
        <v>133.33545868692349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295.83974441964551</v>
      </c>
      <c r="T102" s="62">
        <f t="shared" si="88"/>
        <v>212.24900914818096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130.66052095318946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4.3499106849678275E-2</v>
      </c>
      <c r="AC102" s="24">
        <f t="shared" si="57"/>
        <v>130.70402006003914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295.83974441964551</v>
      </c>
      <c r="T103" s="62">
        <f t="shared" si="88"/>
        <v>212.24900914818096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128.09834783234598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3.0758513428965708E-2</v>
      </c>
      <c r="AC103" s="24">
        <f t="shared" si="57"/>
        <v>128.12910634577494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295.83974441964551</v>
      </c>
      <c r="T104" s="62">
        <f t="shared" si="88"/>
        <v>212.24900914818096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125.58641736363093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2.1749553424839141E-2</v>
      </c>
      <c r="AC104" s="24">
        <f t="shared" si="57"/>
        <v>125.60816691705577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295.83974441964551</v>
      </c>
      <c r="T105" s="62">
        <f t="shared" si="88"/>
        <v>212.24900914818096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123.12374431928109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1.5379256714482857E-2</v>
      </c>
      <c r="AC105" s="24">
        <f t="shared" si="57"/>
        <v>123.13912357599557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295.83974441964551</v>
      </c>
      <c r="T106" s="62">
        <f t="shared" si="88"/>
        <v>212.24900914818096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120.70936279124871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1.0874776712419572E-2</v>
      </c>
      <c r="AC106" s="24">
        <f t="shared" si="57"/>
        <v>120.72023756796112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295.83974441964551</v>
      </c>
      <c r="T107" s="62">
        <f t="shared" si="88"/>
        <v>212.24900914818096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118.34232581235372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7.6896283572414296E-3</v>
      </c>
      <c r="AC107" s="24">
        <f t="shared" si="57"/>
        <v>118.35001544071096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295.83974441964551</v>
      </c>
      <c r="T108" s="62">
        <f t="shared" si="88"/>
        <v>212.24900914818096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116.02170498486485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5.437388356209787E-3</v>
      </c>
      <c r="AC108" s="24">
        <f t="shared" si="57"/>
        <v>116.02714237322107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295.83974441964551</v>
      </c>
      <c r="T109" s="62">
        <f t="shared" si="88"/>
        <v>212.24900914818096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113.7465901163641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3.8448141786207152E-3</v>
      </c>
      <c r="AC109" s="24">
        <f t="shared" si="57"/>
        <v>113.75043493054272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295.83974441964551</v>
      </c>
      <c r="T110" s="62">
        <f t="shared" si="88"/>
        <v>212.24900914818096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111.51608886275162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2.7186941781048939E-3</v>
      </c>
      <c r="AC110" s="24">
        <f t="shared" si="57"/>
        <v>111.51880755692972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295.83974441964551</v>
      </c>
      <c r="T111" s="62">
        <f t="shared" si="88"/>
        <v>212.24900914818096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109.32932637825104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1.922407089310358E-3</v>
      </c>
      <c r="AC111" s="24">
        <f t="shared" si="57"/>
        <v>109.33124878534035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295.83974441964551</v>
      </c>
      <c r="T112" s="62">
        <f t="shared" si="88"/>
        <v>212.24900914818096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107.18544497227811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1.3593470890524472E-3</v>
      </c>
      <c r="AC112" s="24">
        <f t="shared" si="57"/>
        <v>107.18680431936716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295.83974441964551</v>
      </c>
      <c r="T113" s="62">
        <f t="shared" si="88"/>
        <v>212.24900914818096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105.08360377303775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9.6120354465517913E-4</v>
      </c>
      <c r="AC113" s="24">
        <f t="shared" si="57"/>
        <v>105.08456497658241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295.83974441964551</v>
      </c>
      <c r="T114" s="62">
        <f t="shared" si="88"/>
        <v>212.24900914818096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103.02297839771796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6.7967354452622369E-4</v>
      </c>
      <c r="AC114" s="24">
        <f t="shared" si="57"/>
        <v>103.02365807126249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295.83974441964551</v>
      </c>
      <c r="T115" s="62">
        <f t="shared" si="88"/>
        <v>212.24900914818096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101.00276062915081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4.8060177232758967E-4</v>
      </c>
      <c r="AC115" s="24">
        <f t="shared" si="57"/>
        <v>101.00324123092314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295.83974441964551</v>
      </c>
      <c r="T116" s="62">
        <f t="shared" si="88"/>
        <v>212.24900914818096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99.022158098814103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3.398367722631119E-4</v>
      </c>
      <c r="AC116" s="24">
        <f t="shared" si="57"/>
        <v>99.022497935586372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295.83974441964551</v>
      </c>
      <c r="T117" s="62">
        <f t="shared" si="88"/>
        <v>212.24900914818096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97.080393976049038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2.4030088616379486E-4</v>
      </c>
      <c r="AC117" s="24">
        <f t="shared" si="57"/>
        <v>97.0806342769352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295.83974441964551</v>
      </c>
      <c r="T118" s="62">
        <f t="shared" si="88"/>
        <v>212.24900914818096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95.176706663372229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1.6991838613155598E-4</v>
      </c>
      <c r="AC118" s="24">
        <f t="shared" si="57"/>
        <v>95.176876581758364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295.83974441964551</v>
      </c>
      <c r="T119" s="62">
        <f t="shared" si="88"/>
        <v>212.24900914818096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93.310349497762402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1.2015044308189746E-4</v>
      </c>
      <c r="AC119" s="24">
        <f t="shared" si="57"/>
        <v>93.310469648205483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295.83974441964551</v>
      </c>
      <c r="T120" s="62">
        <f t="shared" si="88"/>
        <v>212.24900914818096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91.480590457804709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8.4959193065778003E-5</v>
      </c>
      <c r="AC120" s="24">
        <f t="shared" si="57"/>
        <v>91.480675416997769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295.83974441964551</v>
      </c>
      <c r="T121" s="62">
        <f t="shared" si="88"/>
        <v>212.24900914818096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89.686711876577775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6.0075221540948736E-5</v>
      </c>
      <c r="AC121" s="24">
        <f t="shared" si="57"/>
        <v>89.686771951799315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295.83974441964551</v>
      </c>
      <c r="T122" s="62">
        <f t="shared" si="88"/>
        <v>212.24900914818096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87.928010160170814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4.2479596532889008E-5</v>
      </c>
      <c r="AC122" s="24">
        <f t="shared" si="57"/>
        <v>87.928052639767344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295.83974441964551</v>
      </c>
      <c r="T123" s="62">
        <f t="shared" si="88"/>
        <v>212.24900914818096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86.203795511720458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3.0037610770474372E-5</v>
      </c>
      <c r="AC123" s="24">
        <f t="shared" si="57"/>
        <v>86.203825549331228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295.83974441964551</v>
      </c>
      <c r="T124" s="62">
        <f t="shared" si="88"/>
        <v>212.24900914818096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84.513391660859128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2.1239798266444507E-5</v>
      </c>
      <c r="AC124" s="24">
        <f t="shared" si="57"/>
        <v>84.5134129006574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295.83974441964551</v>
      </c>
      <c r="T125" s="62">
        <f t="shared" si="88"/>
        <v>212.24900914818096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82.85613559846864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1.5018805385237189E-5</v>
      </c>
      <c r="AC125" s="24">
        <f t="shared" si="57"/>
        <v>82.856150617274025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295.83974441964551</v>
      </c>
      <c r="T126" s="62">
        <f t="shared" si="88"/>
        <v>212.24900914818096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81.231377316635246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1.0619899133222255E-5</v>
      </c>
      <c r="AC126" s="24">
        <f t="shared" si="57"/>
        <v>81.231387936534375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295.83974441964551</v>
      </c>
      <c r="T127" s="62">
        <f t="shared" si="88"/>
        <v>212.24900914818096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79.638479553703903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7.5094026926185954E-6</v>
      </c>
      <c r="AC127" s="24">
        <f t="shared" si="57"/>
        <v>79.638487063106595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295.83974441964551</v>
      </c>
      <c r="T128" s="62">
        <f t="shared" si="88"/>
        <v>212.24900914818096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78.076817544331945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5.3099495666111285E-6</v>
      </c>
      <c r="AC128" s="24">
        <f t="shared" si="57"/>
        <v>78.076822854281517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295.83974441964551</v>
      </c>
      <c r="T129" s="62">
        <f t="shared" si="88"/>
        <v>212.24900914818096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76.545778774444003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3.7547013463092986E-6</v>
      </c>
      <c r="AC129" s="24">
        <f t="shared" si="57"/>
        <v>76.545782529145356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295.83974441964551</v>
      </c>
      <c r="T130" s="62">
        <f t="shared" si="88"/>
        <v>212.24900914818096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75.044762740992127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2.6549747833055647E-6</v>
      </c>
      <c r="AC130" s="24">
        <f t="shared" si="57"/>
        <v>75.044765395966905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295.83974441964551</v>
      </c>
      <c r="T131" s="62">
        <f t="shared" si="88"/>
        <v>212.24900914818096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73.573180716426862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1.8773506731546495E-6</v>
      </c>
      <c r="AC131" s="24">
        <f t="shared" si="57"/>
        <v>73.573182593777531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295.83974441964551</v>
      </c>
      <c r="T132" s="62">
        <f t="shared" si="88"/>
        <v>212.24900914818096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72.130455517786913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1.3274873916527826E-6</v>
      </c>
      <c r="AC132" s="24">
        <f t="shared" ref="AC132:AC153" si="111">SUM(Z132:AB132)</f>
        <v>72.13045684527431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295.83974441964551</v>
      </c>
      <c r="T133" s="62">
        <f t="shared" ref="T133:T196" si="142">$T$3</f>
        <v>212.24900914818096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70.716021280316809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9.3867533657732485E-7</v>
      </c>
      <c r="AC133" s="24">
        <f t="shared" si="111"/>
        <v>70.716022218992151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295.83974441964551</v>
      </c>
      <c r="T134" s="62">
        <f t="shared" si="142"/>
        <v>212.24900914818096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69.329323235523802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6.6374369582639139E-7</v>
      </c>
      <c r="AC134" s="24">
        <f t="shared" si="111"/>
        <v>69.329323899267493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295.83974441964551</v>
      </c>
      <c r="T135" s="62">
        <f t="shared" si="142"/>
        <v>212.24900914818096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67.969817493586888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4.6933766828866253E-7</v>
      </c>
      <c r="AC135" s="24">
        <f t="shared" si="111"/>
        <v>67.969817962924552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295.83974441964551</v>
      </c>
      <c r="T136" s="62">
        <f t="shared" si="142"/>
        <v>212.24900914818096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66.636970830032737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3.3187184791319575E-7</v>
      </c>
      <c r="AC136" s="24">
        <f t="shared" si="111"/>
        <v>66.636971161904583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295.83974441964551</v>
      </c>
      <c r="T137" s="62">
        <f t="shared" si="142"/>
        <v>212.24900914818096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65.330260476594688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2.3466883414433129E-7</v>
      </c>
      <c r="AC137" s="24">
        <f t="shared" si="111"/>
        <v>65.33026071126352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295.83974441964551</v>
      </c>
      <c r="T138" s="62">
        <f t="shared" si="142"/>
        <v>212.24900914818096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64.049173916172947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1.659359239565979E-7</v>
      </c>
      <c r="AC138" s="24">
        <f t="shared" si="111"/>
        <v>64.049174082108877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295.83974441964551</v>
      </c>
      <c r="T139" s="62">
        <f t="shared" si="142"/>
        <v>212.24900914818096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62.793208681815422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1.1733441707216567E-7</v>
      </c>
      <c r="AC139" s="24">
        <f t="shared" si="111"/>
        <v>62.793208799149838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295.83974441964551</v>
      </c>
      <c r="T140" s="62">
        <f t="shared" si="142"/>
        <v>212.24900914818096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61.561872159640501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8.2967961978298963E-8</v>
      </c>
      <c r="AC140" s="24">
        <f t="shared" si="111"/>
        <v>61.561872242608466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295.83974441964551</v>
      </c>
      <c r="T141" s="62">
        <f t="shared" si="142"/>
        <v>212.24900914818096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60.354681395624311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5.8667208536082843E-8</v>
      </c>
      <c r="AC141" s="24">
        <f t="shared" si="111"/>
        <v>60.354681454291523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295.83974441964551</v>
      </c>
      <c r="T142" s="62">
        <f t="shared" si="142"/>
        <v>212.24900914818096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59.171162906176818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4.1483980989149488E-8</v>
      </c>
      <c r="AC142" s="24">
        <f t="shared" si="111"/>
        <v>59.171162947660797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295.83974441964551</v>
      </c>
      <c r="T143" s="62">
        <f t="shared" si="142"/>
        <v>212.24900914818096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58.010852492432392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2.9333604268041425E-8</v>
      </c>
      <c r="AC143" s="24">
        <f t="shared" si="111"/>
        <v>58.010852521765997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295.83974441964551</v>
      </c>
      <c r="T144" s="62">
        <f t="shared" si="142"/>
        <v>212.24900914818096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56.873295058182016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2.0741990494574747E-8</v>
      </c>
      <c r="AC144" s="24">
        <f t="shared" si="111"/>
        <v>56.873295078924009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295.83974441964551</v>
      </c>
      <c r="T145" s="62">
        <f t="shared" si="142"/>
        <v>212.24900914818096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55.758044431375772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1.4666802134020716E-8</v>
      </c>
      <c r="AC145" s="24">
        <f t="shared" si="111"/>
        <v>55.758044446042575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295.83974441964551</v>
      </c>
      <c r="T146" s="62">
        <f t="shared" si="142"/>
        <v>212.24900914818096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54.664663189125484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1.0370995247287375E-8</v>
      </c>
      <c r="AC146" s="24">
        <f t="shared" si="111"/>
        <v>54.664663199496481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295.83974441964551</v>
      </c>
      <c r="T147" s="62">
        <f t="shared" si="142"/>
        <v>212.24900914818096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53.592722486139017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7.3334010670103587E-9</v>
      </c>
      <c r="AC147" s="24">
        <f t="shared" si="111"/>
        <v>53.592722493472415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295.83974441964551</v>
      </c>
      <c r="T148" s="62">
        <f t="shared" si="142"/>
        <v>212.24900914818096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52.54180188651884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5.1854976236436885E-9</v>
      </c>
      <c r="AC148" s="24">
        <f t="shared" si="111"/>
        <v>52.541801891704338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295.83974441964551</v>
      </c>
      <c r="T149" s="62">
        <f t="shared" si="142"/>
        <v>212.24900914818096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51.511489198858946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3.6667005335051802E-9</v>
      </c>
      <c r="AC149" s="24">
        <f t="shared" si="111"/>
        <v>51.511489202525645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295.83974441964551</v>
      </c>
      <c r="T150" s="62">
        <f t="shared" si="142"/>
        <v>212.24900914818096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50.501380314575371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2.5927488118218447E-9</v>
      </c>
      <c r="AC150" s="24">
        <f t="shared" si="111"/>
        <v>50.50138031716812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295.83974441964551</v>
      </c>
      <c r="T151" s="62">
        <f t="shared" si="142"/>
        <v>212.24900914818096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49.511079049407016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1.8333502667525903E-9</v>
      </c>
      <c r="AC151" s="24">
        <f t="shared" si="111"/>
        <v>49.511079051240365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295.83974441964551</v>
      </c>
      <c r="T152" s="62">
        <f t="shared" si="142"/>
        <v>212.24900914818096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48.540196988024483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1.2963744059109225E-9</v>
      </c>
      <c r="AC152" s="24">
        <f t="shared" si="111"/>
        <v>48.540196989320854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295.83974441964551</v>
      </c>
      <c r="T153" s="62">
        <f t="shared" si="142"/>
        <v>212.24900914818096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47.588353331686079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9.1667513337629535E-10</v>
      </c>
      <c r="AC153" s="24">
        <f t="shared" si="111"/>
        <v>47.588353332602757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295.83974441964551</v>
      </c>
      <c r="T154" s="62">
        <f t="shared" si="142"/>
        <v>212.24900914818096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46.655174748881166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6.4818720295546137E-10</v>
      </c>
      <c r="AC154" s="24">
        <f t="shared" ref="AC154:AC203" si="163">SUM(Z154:AB154)</f>
        <v>46.655174749529351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295.83974441964551</v>
      </c>
      <c r="T155" s="62">
        <f t="shared" si="142"/>
        <v>212.24900914818096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45.740295228902326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4.5833756668814773E-10</v>
      </c>
      <c r="AC155" s="24">
        <f t="shared" si="163"/>
        <v>45.740295229360662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295.83974441964551</v>
      </c>
      <c r="T156" s="62">
        <f t="shared" si="142"/>
        <v>212.24900914818096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44.843355938288859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3.2409360147773074E-10</v>
      </c>
      <c r="AC156" s="24">
        <f t="shared" si="163"/>
        <v>44.843355938612952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295.83974441964551</v>
      </c>
      <c r="T157" s="62">
        <f t="shared" si="142"/>
        <v>212.24900914818096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43.964005080085379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2.2916878334407389E-10</v>
      </c>
      <c r="AC157" s="24">
        <f t="shared" si="163"/>
        <v>43.96400508031455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295.83974441964551</v>
      </c>
      <c r="T158" s="62">
        <f t="shared" si="142"/>
        <v>212.24900914818096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43.1018977558602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1.6204680073886539E-10</v>
      </c>
      <c r="AC158" s="24">
        <f t="shared" si="163"/>
        <v>43.101897756022247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295.83974441964551</v>
      </c>
      <c r="T159" s="62">
        <f t="shared" si="142"/>
        <v>212.24900914818096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42.256695830429535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1.1458439167203697E-10</v>
      </c>
      <c r="AC159" s="24">
        <f t="shared" si="163"/>
        <v>42.256695830544118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295.83974441964551</v>
      </c>
      <c r="T160" s="62">
        <f t="shared" si="142"/>
        <v>212.24900914818096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41.428067799234292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8.102340036943271E-11</v>
      </c>
      <c r="AC160" s="24">
        <f t="shared" si="163"/>
        <v>41.428067799315315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295.83974441964551</v>
      </c>
      <c r="T161" s="62">
        <f t="shared" si="142"/>
        <v>212.24900914818096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40.615688658317595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5.7292195836018492E-11</v>
      </c>
      <c r="AC161" s="24">
        <f t="shared" si="163"/>
        <v>40.615688658374886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295.83974441964551</v>
      </c>
      <c r="T162" s="62">
        <f t="shared" si="142"/>
        <v>212.24900914818096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39.819239776851923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4.0511700184716362E-11</v>
      </c>
      <c r="AC162" s="24">
        <f t="shared" si="163"/>
        <v>39.819239776892438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295.83974441964551</v>
      </c>
      <c r="T163" s="62">
        <f t="shared" si="142"/>
        <v>212.24900914818096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39.038408772165944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2.8646097918009252E-11</v>
      </c>
      <c r="AC163" s="24">
        <f t="shared" si="163"/>
        <v>39.038408772194593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295.83974441964551</v>
      </c>
      <c r="T164" s="62">
        <f t="shared" si="142"/>
        <v>212.24900914818096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38.272889387221973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2.0255850092358184E-11</v>
      </c>
      <c r="AC164" s="24">
        <f t="shared" si="163"/>
        <v>38.27288938724223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295.83974441964551</v>
      </c>
      <c r="T165" s="62">
        <f t="shared" si="142"/>
        <v>212.24900914818096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37.522381370496035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1.4323048959004628E-11</v>
      </c>
      <c r="AC165" s="24">
        <f t="shared" si="163"/>
        <v>37.522381370510359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295.83974441964551</v>
      </c>
      <c r="T166" s="62">
        <f t="shared" si="142"/>
        <v>212.24900914818096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36.786590358213402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1.0127925046179094E-11</v>
      </c>
      <c r="AC166" s="24">
        <f t="shared" si="163"/>
        <v>36.786590358223528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295.83974441964551</v>
      </c>
      <c r="T167" s="62">
        <f t="shared" si="142"/>
        <v>212.24900914818096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36.065227758893428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7.1615244795023147E-12</v>
      </c>
      <c r="AC167" s="24">
        <f t="shared" si="163"/>
        <v>36.065227758900591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295.83974441964551</v>
      </c>
      <c r="T168" s="62">
        <f t="shared" si="142"/>
        <v>212.24900914818096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35.358010640158376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5.0639625230895476E-12</v>
      </c>
      <c r="AC168" s="24">
        <f t="shared" si="163"/>
        <v>35.358010640163442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295.83974441964551</v>
      </c>
      <c r="T169" s="62">
        <f t="shared" si="142"/>
        <v>212.24900914818096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34.664661617761872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3.5807622397511582E-12</v>
      </c>
      <c r="AC169" s="24">
        <f t="shared" si="163"/>
        <v>34.664661617765454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295.83974441964551</v>
      </c>
      <c r="T170" s="62">
        <f t="shared" si="142"/>
        <v>212.24900914818096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33.984908746793415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2.5319812615447742E-12</v>
      </c>
      <c r="AC170" s="24">
        <f t="shared" si="163"/>
        <v>33.984908746795945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295.83974441964551</v>
      </c>
      <c r="T171" s="62">
        <f t="shared" si="142"/>
        <v>212.24900914818096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33.31848541501634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1.7903811198755793E-12</v>
      </c>
      <c r="AC171" s="24">
        <f t="shared" si="163"/>
        <v>33.318485415018131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295.83974441964551</v>
      </c>
      <c r="T172" s="62">
        <f t="shared" si="142"/>
        <v>212.24900914818096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32.665130238297316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1.2659906307723873E-12</v>
      </c>
      <c r="AC172" s="24">
        <f t="shared" si="163"/>
        <v>32.66513023829858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295.83974441964551</v>
      </c>
      <c r="T173" s="62">
        <f t="shared" si="142"/>
        <v>212.24900914818096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32.024586958086445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8.9519055993778984E-13</v>
      </c>
      <c r="AC173" s="24">
        <f t="shared" si="163"/>
        <v>32.02458695808734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295.83974441964551</v>
      </c>
      <c r="T174" s="62">
        <f t="shared" si="142"/>
        <v>212.24900914818096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31.396604340907682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6.3299531538619376E-13</v>
      </c>
      <c r="AC174" s="24">
        <f t="shared" si="163"/>
        <v>31.396604340908315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295.83974441964551</v>
      </c>
      <c r="T175" s="62">
        <f t="shared" si="142"/>
        <v>212.24900914818096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30.780936079820222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4.4759527996889497E-13</v>
      </c>
      <c r="AC175" s="24">
        <f t="shared" si="163"/>
        <v>30.78093607982067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295.83974441964551</v>
      </c>
      <c r="T176" s="62">
        <f t="shared" si="142"/>
        <v>212.24900914818096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30.177340697812127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3.1649765769309693E-13</v>
      </c>
      <c r="AC176" s="24">
        <f t="shared" si="163"/>
        <v>30.177340697812443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295.83974441964551</v>
      </c>
      <c r="T177" s="62">
        <f t="shared" si="142"/>
        <v>212.24900914818096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29.58558145308838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2.2379763998444754E-13</v>
      </c>
      <c r="AC177" s="24">
        <f t="shared" si="163"/>
        <v>29.585581453088604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295.83974441964551</v>
      </c>
      <c r="T178" s="62">
        <f t="shared" si="142"/>
        <v>212.24900914818096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29.005426246216167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1.5824882884654849E-13</v>
      </c>
      <c r="AC178" s="24">
        <f t="shared" si="163"/>
        <v>29.005426246216327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295.83974441964551</v>
      </c>
      <c r="T179" s="62">
        <f t="shared" si="142"/>
        <v>212.24900914818096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28.436647529090983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1.1189881999222378E-13</v>
      </c>
      <c r="AC179" s="24">
        <f t="shared" si="163"/>
        <v>28.436647529091093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295.83974441964551</v>
      </c>
      <c r="T180" s="62">
        <f t="shared" si="142"/>
        <v>212.24900914818096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27.879022215687861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7.9124414423274257E-14</v>
      </c>
      <c r="AC180" s="24">
        <f t="shared" si="163"/>
        <v>27.879022215687939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295.83974441964551</v>
      </c>
      <c r="T181" s="62">
        <f t="shared" si="142"/>
        <v>212.24900914818096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27.332331594562717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5.5949409996111897E-14</v>
      </c>
      <c r="AC181" s="24">
        <f t="shared" si="163"/>
        <v>27.332331594562774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295.83974441964551</v>
      </c>
      <c r="T182" s="62">
        <f t="shared" si="142"/>
        <v>212.24900914818096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26.796361243069484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3.9562207211637135E-14</v>
      </c>
      <c r="AC182" s="24">
        <f t="shared" si="163"/>
        <v>26.796361243069523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295.83974441964551</v>
      </c>
      <c r="T183" s="62">
        <f t="shared" si="142"/>
        <v>212.24900914818096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26.270900943259399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2.7974704998055955E-14</v>
      </c>
      <c r="AC183" s="24">
        <f t="shared" si="163"/>
        <v>26.270900943259427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295.83974441964551</v>
      </c>
      <c r="T184" s="62">
        <f t="shared" si="142"/>
        <v>212.24900914818096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25.755744599429452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1.9781103605818571E-14</v>
      </c>
      <c r="AC184" s="24">
        <f t="shared" si="163"/>
        <v>25.755744599429473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295.83974441964551</v>
      </c>
      <c r="T185" s="62">
        <f t="shared" si="142"/>
        <v>212.24900914818096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25.250690157287668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1.3987352499027979E-14</v>
      </c>
      <c r="AC185" s="24">
        <f t="shared" si="163"/>
        <v>25.250690157287682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295.83974441964551</v>
      </c>
      <c r="T186" s="62">
        <f t="shared" si="142"/>
        <v>212.24900914818096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24.75553952470349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9.8905518029092869E-15</v>
      </c>
      <c r="AC186" s="24">
        <f t="shared" si="163"/>
        <v>24.755539524703501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295.83974441964551</v>
      </c>
      <c r="T187" s="62">
        <f t="shared" si="142"/>
        <v>212.24900914818096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24.270098494012224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6.993676249513991E-15</v>
      </c>
      <c r="AC187" s="24">
        <f t="shared" si="163"/>
        <v>24.270098494012231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295.83974441964551</v>
      </c>
      <c r="T188" s="62">
        <f t="shared" si="142"/>
        <v>212.24900914818096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23.794176665843022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4.9452759014546442E-15</v>
      </c>
      <c r="AC188" s="24">
        <f t="shared" si="163"/>
        <v>23.794176665843025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295.83974441964551</v>
      </c>
      <c r="T189" s="62">
        <f t="shared" si="142"/>
        <v>212.24900914818096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23.327587374440565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3.4968381247569959E-15</v>
      </c>
      <c r="AC189" s="24">
        <f t="shared" si="163"/>
        <v>23.327587374440569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295.83974441964551</v>
      </c>
      <c r="T190" s="62">
        <f t="shared" si="142"/>
        <v>212.24900914818096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22.870147614451145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2.4726379507273225E-15</v>
      </c>
      <c r="AC190" s="24">
        <f t="shared" si="163"/>
        <v>22.870147614451149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295.83974441964551</v>
      </c>
      <c r="T191" s="62">
        <f t="shared" si="142"/>
        <v>212.24900914818096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22.421677969144412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1.7484190623784982E-15</v>
      </c>
      <c r="AC191" s="24">
        <f t="shared" si="163"/>
        <v>22.421677969144412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295.83974441964551</v>
      </c>
      <c r="T192" s="62">
        <f t="shared" si="142"/>
        <v>212.24900914818096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21.982002540042672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1.2363189753636615E-15</v>
      </c>
      <c r="AC192" s="24">
        <f t="shared" si="163"/>
        <v>21.982002540042672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295.83974441964551</v>
      </c>
      <c r="T193" s="62">
        <f t="shared" si="142"/>
        <v>212.24900914818096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21.550948877930082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8.7420953118924927E-16</v>
      </c>
      <c r="AC193" s="24">
        <f t="shared" si="163"/>
        <v>21.550948877930082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295.83974441964551</v>
      </c>
      <c r="T194" s="62">
        <f t="shared" si="142"/>
        <v>212.24900914818096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21.12834791521475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6.1815948768183083E-16</v>
      </c>
      <c r="AC194" s="24">
        <f t="shared" si="163"/>
        <v>21.12834791521475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295.83974441964551</v>
      </c>
      <c r="T195" s="62">
        <f t="shared" si="142"/>
        <v>212.24900914818096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20.714033899617128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4.3710476559462469E-16</v>
      </c>
      <c r="AC195" s="24">
        <f t="shared" si="163"/>
        <v>20.714033899617128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295.83974441964551</v>
      </c>
      <c r="T196" s="62">
        <f t="shared" si="142"/>
        <v>212.24900914818096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20.30784432915878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3.0907974384091546E-16</v>
      </c>
      <c r="AC196" s="24">
        <f t="shared" si="163"/>
        <v>20.30784432915878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295.83974441964551</v>
      </c>
      <c r="T197" s="62">
        <f t="shared" ref="T197:T203" si="204">$T$3</f>
        <v>212.24900914818096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19.909619888425944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2.1855238279731239E-16</v>
      </c>
      <c r="AC197" s="24">
        <f t="shared" si="163"/>
        <v>19.909619888425944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295.83974441964551</v>
      </c>
      <c r="T198" s="62">
        <f t="shared" si="204"/>
        <v>212.24900914818096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19.519204386082954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1.5453987192045776E-16</v>
      </c>
      <c r="AC198" s="24">
        <f t="shared" si="163"/>
        <v>19.519204386082954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295.83974441964551</v>
      </c>
      <c r="T199" s="62">
        <f t="shared" si="204"/>
        <v>212.24900914818096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19.136444693610969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1.0927619139865621E-16</v>
      </c>
      <c r="AC199" s="24">
        <f t="shared" si="163"/>
        <v>19.136444693610969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295.83974441964551</v>
      </c>
      <c r="T200" s="62">
        <f t="shared" si="204"/>
        <v>212.24900914818096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18.761190685248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7.726993596022889E-17</v>
      </c>
      <c r="AC200" s="24">
        <f t="shared" si="163"/>
        <v>18.761190685248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295.83974441964551</v>
      </c>
      <c r="T201" s="62">
        <f t="shared" si="204"/>
        <v>212.24900914818096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18.393295179106683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5.463809569932811E-17</v>
      </c>
      <c r="AC201" s="24">
        <f t="shared" si="163"/>
        <v>18.393295179106683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295.83974441964551</v>
      </c>
      <c r="T202" s="62">
        <f t="shared" si="204"/>
        <v>212.24900914818096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18.032613879446696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3.8634967980114451E-17</v>
      </c>
      <c r="AC202" s="24">
        <f t="shared" si="163"/>
        <v>18.032613879446696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295.83974441964551</v>
      </c>
      <c r="T203" s="62">
        <f t="shared" si="204"/>
        <v>212.24900914818096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17.67900532007917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2.7319047849664061E-17</v>
      </c>
      <c r="AC203" s="24">
        <f t="shared" si="163"/>
        <v>17.67900532007917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1.1932635389591795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workbookViewId="0">
      <selection activeCell="L7" sqref="L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1.1000000000000001</v>
      </c>
      <c r="C6" s="156">
        <f ca="1">IF(OR('Données projet'!B9="",'Données projet'!C9="",'Données projet'!C9=0%),0,Calculateur!S3)</f>
        <v>295.83974441964551</v>
      </c>
      <c r="D6" s="156">
        <f>IF(OR('Données projet'!B9="",'Données projet'!C9="",'Données projet'!C9=0%),0,Calculateur!T3)</f>
        <v>212.24900914818096</v>
      </c>
      <c r="E6" s="156">
        <f ca="1">MIN(C6,D6)</f>
        <v>212.24900914818096</v>
      </c>
      <c r="F6" s="156">
        <f ca="1">E6*B6</f>
        <v>233.47391006299907</v>
      </c>
      <c r="G6" s="156">
        <f ca="1">F6*(100%-'Données projet'!$C$24)*(100%-'Données projet'!$C$25)*(100%-'Données projet'!$C$26)*(100%-'Données projet'!$C$27)</f>
        <v>189.11386715102924</v>
      </c>
      <c r="H6" s="157">
        <f>IF(OR('Données projet'!B9="",'Données projet'!C9="",'Données projet'!C9=0%),0,AVERAGE(Calculateur!$AC$3:$AC$33)*B6)</f>
        <v>0.15616405272690034</v>
      </c>
      <c r="I6" s="158">
        <f>H6*(100%-'Données projet'!$C$24)*(100%-'Données projet'!$C$25)*(100%-'Données projet'!$C$26)*(100%-'Données projet'!$C$27)</f>
        <v>0.12649288270878928</v>
      </c>
      <c r="J6" s="159">
        <f>IF(OR('Données projet'!B9="",'Données projet'!C9="",'Données projet'!C9=0%),0,SUM(Calculateur!$V$3:$V$33)*VLOOKUP('Données projet'!$B$9,Paramètres!$A$1:$I$89,9,0)*B6)</f>
        <v>13.244</v>
      </c>
      <c r="K6" s="160">
        <f>J6*(100%-'Données projet'!$C$24)*(100%-'Données projet'!$C$25)*(100%-'Données projet'!$C$26)*(100%-'Données projet'!$C$27)</f>
        <v>10.727640000000001</v>
      </c>
      <c r="L6" s="161">
        <f ca="1">G6+I6+K6</f>
        <v>199.96800003373804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233.47391006299907</v>
      </c>
      <c r="G16" s="175">
        <f t="shared" ca="1" si="3"/>
        <v>189.11386715102924</v>
      </c>
      <c r="H16" s="176">
        <f t="shared" si="3"/>
        <v>0.15616405272690034</v>
      </c>
      <c r="I16" s="176">
        <f t="shared" si="3"/>
        <v>0.12649288270878928</v>
      </c>
      <c r="J16" s="177">
        <f t="shared" si="3"/>
        <v>13.244</v>
      </c>
      <c r="K16" s="177">
        <f t="shared" si="3"/>
        <v>10.727640000000001</v>
      </c>
      <c r="L16" s="178">
        <f t="shared" ca="1" si="3"/>
        <v>199.96800003373804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7" zoomScale="85" zoomScaleNormal="85" workbookViewId="0">
      <selection activeCell="B97" sqref="B9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738.32513864277894</v>
      </c>
      <c r="U10" s="190">
        <f>'Données projet'!D9</f>
        <v>1.1000000000000001</v>
      </c>
      <c r="V10" s="189">
        <f>U10*T10</f>
        <v>812.15765250705692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3750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27</v>
      </c>
      <c r="B23" s="193">
        <f>'Données projet'!D36</f>
        <v>15</v>
      </c>
      <c r="C23" s="206">
        <v>1</v>
      </c>
      <c r="D23" s="194">
        <f>B23*C23</f>
        <v>15</v>
      </c>
      <c r="E23" s="206"/>
      <c r="F23" s="261"/>
      <c r="H23" s="203">
        <v>3</v>
      </c>
      <c r="I23" s="204">
        <v>150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-4829.4881924106639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13</v>
      </c>
      <c r="C24" s="206">
        <v>2</v>
      </c>
      <c r="D24" s="194">
        <f t="shared" ref="D24:D42" si="2">B24*C24</f>
        <v>26</v>
      </c>
      <c r="E24" s="206"/>
      <c r="F24" s="264"/>
      <c r="H24" s="203">
        <v>4</v>
      </c>
      <c r="I24" s="204">
        <v>150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23</v>
      </c>
      <c r="C25" s="206">
        <v>5</v>
      </c>
      <c r="D25" s="194">
        <f t="shared" si="2"/>
        <v>115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-4829.4881924106639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34</v>
      </c>
      <c r="C26" s="206">
        <v>6</v>
      </c>
      <c r="D26" s="194">
        <f t="shared" si="2"/>
        <v>204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79</v>
      </c>
      <c r="C27" s="206">
        <v>9</v>
      </c>
      <c r="D27" s="194">
        <f t="shared" si="2"/>
        <v>711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60</v>
      </c>
      <c r="B28" s="193">
        <f>'Données projet'!D41</f>
        <v>88</v>
      </c>
      <c r="C28" s="206">
        <v>21</v>
      </c>
      <c r="D28" s="194">
        <f t="shared" si="2"/>
        <v>1848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70</v>
      </c>
      <c r="B29" s="193">
        <f>'Données projet'!D42</f>
        <v>78</v>
      </c>
      <c r="C29" s="206">
        <v>25</v>
      </c>
      <c r="D29" s="194">
        <f t="shared" si="2"/>
        <v>1950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80</v>
      </c>
      <c r="B30" s="193">
        <f>'Données projet'!D43</f>
        <v>460</v>
      </c>
      <c r="C30" s="206">
        <v>27</v>
      </c>
      <c r="D30" s="194">
        <f t="shared" si="2"/>
        <v>12420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1083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561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2024-05-21T08:55:56Z</dcterms:modified>
</cp:coreProperties>
</file>