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gabr\OneDrive\Bureau\"/>
    </mc:Choice>
  </mc:AlternateContent>
  <xr:revisionPtr revIDLastSave="0" documentId="13_ncr:1_{E50F75BC-E9A9-4EB6-A2C2-FFAC10C8B933}" xr6:coauthVersionLast="47" xr6:coauthVersionMax="47" xr10:uidLastSave="{00000000-0000-0000-0000-000000000000}"/>
  <bookViews>
    <workbookView xWindow="14295" yWindow="0" windowWidth="14610" windowHeight="15585" tabRatio="866" activeTab="6" xr2:uid="{00000000-000D-0000-FFFF-FFFF00000000}"/>
  </bookViews>
  <sheets>
    <sheet name="Accueil" sheetId="5" r:id="rId1"/>
    <sheet name="Données projet" sheetId="1" r:id="rId2"/>
    <sheet name="Calculateur" sheetId="2" state="hidden" r:id="rId3"/>
    <sheet name="Paramètres" sheetId="3" state="hidden" r:id="rId4"/>
    <sheet name="Scénario référence" sheetId="7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0" i="6" l="1"/>
  <c r="C179" i="6"/>
  <c r="C180" i="6"/>
  <c r="C181" i="6"/>
  <c r="C182" i="6"/>
  <c r="C178" i="6"/>
  <c r="C148" i="6"/>
  <c r="C149" i="6"/>
  <c r="C150" i="6"/>
  <c r="C151" i="6"/>
  <c r="C152" i="6"/>
  <c r="C153" i="6"/>
  <c r="C154" i="6"/>
  <c r="C155" i="6"/>
  <c r="C156" i="6"/>
  <c r="C157" i="6"/>
  <c r="C147" i="6"/>
  <c r="C117" i="6"/>
  <c r="C118" i="6"/>
  <c r="C119" i="6"/>
  <c r="C120" i="6"/>
  <c r="C121" i="6"/>
  <c r="C122" i="6"/>
  <c r="C123" i="6"/>
  <c r="C124" i="6"/>
  <c r="C125" i="6"/>
  <c r="C126" i="6"/>
  <c r="C127" i="6"/>
  <c r="C128" i="6"/>
  <c r="C129" i="6"/>
  <c r="C130" i="6"/>
  <c r="C131" i="6"/>
  <c r="C132" i="6"/>
  <c r="C133" i="6"/>
  <c r="C134" i="6"/>
  <c r="C135" i="6"/>
  <c r="C116" i="6"/>
  <c r="C87" i="6"/>
  <c r="C88" i="6"/>
  <c r="C89" i="6"/>
  <c r="C90" i="6"/>
  <c r="C91" i="6"/>
  <c r="C92" i="6"/>
  <c r="C93" i="6"/>
  <c r="C94" i="6"/>
  <c r="C95" i="6"/>
  <c r="C96" i="6"/>
  <c r="C97" i="6"/>
  <c r="C98" i="6"/>
  <c r="C99" i="6"/>
  <c r="C100" i="6"/>
  <c r="C101" i="6"/>
  <c r="C102" i="6"/>
  <c r="C103" i="6"/>
  <c r="C104" i="6"/>
  <c r="C86" i="6"/>
  <c r="C55" i="6"/>
  <c r="C56" i="6"/>
  <c r="C57" i="6"/>
  <c r="C58" i="6"/>
  <c r="C59" i="6"/>
  <c r="C60" i="6"/>
  <c r="C61" i="6"/>
  <c r="C62" i="6"/>
  <c r="C63" i="6"/>
  <c r="C64" i="6"/>
  <c r="C65" i="6"/>
  <c r="C66" i="6"/>
  <c r="C67" i="6"/>
  <c r="C68" i="6"/>
  <c r="C69" i="6"/>
  <c r="C70" i="6"/>
  <c r="C71" i="6"/>
  <c r="C72" i="6"/>
  <c r="C73" i="6"/>
  <c r="C54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23" i="6"/>
  <c r="C183" i="6"/>
  <c r="C184" i="6"/>
  <c r="C185" i="6"/>
  <c r="C186" i="6"/>
  <c r="C187" i="6"/>
  <c r="C188" i="6"/>
  <c r="C189" i="6"/>
  <c r="C190" i="6"/>
  <c r="C191" i="6"/>
  <c r="C192" i="6"/>
  <c r="C193" i="6"/>
  <c r="C194" i="6"/>
  <c r="C195" i="6"/>
  <c r="C196" i="6"/>
  <c r="C197" i="6"/>
  <c r="C303" i="6"/>
  <c r="C304" i="6"/>
  <c r="C305" i="6"/>
  <c r="C306" i="6"/>
  <c r="C307" i="6"/>
  <c r="C308" i="6"/>
  <c r="C309" i="6"/>
  <c r="C310" i="6"/>
  <c r="C311" i="6"/>
  <c r="C312" i="6"/>
  <c r="C313" i="6"/>
  <c r="C314" i="6"/>
  <c r="C315" i="6"/>
  <c r="C316" i="6"/>
  <c r="C317" i="6"/>
  <c r="C318" i="6"/>
  <c r="C319" i="6"/>
  <c r="C320" i="6"/>
  <c r="C321" i="6"/>
  <c r="C302" i="6"/>
  <c r="C272" i="6"/>
  <c r="C273" i="6"/>
  <c r="C274" i="6"/>
  <c r="C275" i="6"/>
  <c r="C276" i="6"/>
  <c r="C277" i="6"/>
  <c r="C278" i="6"/>
  <c r="C279" i="6"/>
  <c r="C280" i="6"/>
  <c r="C281" i="6"/>
  <c r="C282" i="6"/>
  <c r="C283" i="6"/>
  <c r="C284" i="6"/>
  <c r="C285" i="6"/>
  <c r="C286" i="6"/>
  <c r="C287" i="6"/>
  <c r="C288" i="6"/>
  <c r="C289" i="6"/>
  <c r="C290" i="6"/>
  <c r="C271" i="6"/>
  <c r="C241" i="6"/>
  <c r="C242" i="6"/>
  <c r="C243" i="6"/>
  <c r="C244" i="6"/>
  <c r="C245" i="6"/>
  <c r="C246" i="6"/>
  <c r="C247" i="6"/>
  <c r="C248" i="6"/>
  <c r="C249" i="6"/>
  <c r="C250" i="6"/>
  <c r="C251" i="6"/>
  <c r="C252" i="6"/>
  <c r="C253" i="6"/>
  <c r="C254" i="6"/>
  <c r="C255" i="6"/>
  <c r="C256" i="6"/>
  <c r="C257" i="6"/>
  <c r="C258" i="6"/>
  <c r="C259" i="6"/>
  <c r="C240" i="6"/>
  <c r="C210" i="6"/>
  <c r="C211" i="6"/>
  <c r="C212" i="6"/>
  <c r="C213" i="6"/>
  <c r="C214" i="6"/>
  <c r="C215" i="6"/>
  <c r="C216" i="6"/>
  <c r="C217" i="6"/>
  <c r="C218" i="6"/>
  <c r="C219" i="6"/>
  <c r="C220" i="6"/>
  <c r="C221" i="6"/>
  <c r="C222" i="6"/>
  <c r="C223" i="6"/>
  <c r="C224" i="6"/>
  <c r="C225" i="6"/>
  <c r="C226" i="6"/>
  <c r="C227" i="6"/>
  <c r="C228" i="6"/>
  <c r="C209" i="6"/>
  <c r="C158" i="6"/>
  <c r="C159" i="6"/>
  <c r="C160" i="6"/>
  <c r="C161" i="6"/>
  <c r="C162" i="6"/>
  <c r="C163" i="6"/>
  <c r="C164" i="6"/>
  <c r="C165" i="6"/>
  <c r="C166" i="6"/>
  <c r="C85" i="6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EC4" i="2"/>
  <c r="GL4" i="2"/>
  <c r="F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C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HI7" i="2"/>
  <c r="EX7" i="2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G10" i="2"/>
  <c r="FS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G14" i="2" l="1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G18" i="2" l="1"/>
  <c r="FS18" i="2"/>
  <c r="EW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FS20" i="2"/>
  <c r="EC20" i="2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HI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EW22" i="2" s="1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HG22" i="2"/>
  <c r="EC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HG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FS28" i="2"/>
  <c r="HI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EW33" i="2" s="1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V33" i="2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HH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B37" i="2" l="1"/>
  <c r="EA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HG38" i="2"/>
  <c r="FS38" i="2"/>
  <c r="HH38" i="2"/>
  <c r="HI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HG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HG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HI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HI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I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EV57" i="2"/>
  <c r="FS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B59" i="2"/>
  <c r="HH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X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HG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HH71" i="2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HG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FS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B77" i="2" l="1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B78" i="2" l="1"/>
  <c r="HI78" i="2"/>
  <c r="EV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G85" i="2"/>
  <c r="HH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FQ95" i="2" s="1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A105" i="2"/>
  <c r="FS105" i="2"/>
  <c r="EV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A107" i="2"/>
  <c r="EX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G110" i="2" l="1"/>
  <c r="EB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EW113" i="2" s="1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HG113" i="2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EW114" i="2" s="1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V116" i="2"/>
  <c r="EC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HG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C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EX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HH120" i="2" s="1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FQ120" i="2"/>
  <c r="HI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FR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EB128" i="2"/>
  <c r="FS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EW130" i="2" s="1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B130" i="2" l="1"/>
  <c r="HH130" i="2"/>
  <c r="HI130" i="2"/>
  <c r="HG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EW134" i="2" s="1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X135" i="2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EV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A139" i="2"/>
  <c r="HH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HH140" i="2" s="1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FS140" i="2"/>
  <c r="FR140" i="2"/>
  <c r="EC140" i="2"/>
  <c r="EB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HH141" i="2"/>
  <c r="FS141" i="2"/>
  <c r="EA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H144" i="2"/>
  <c r="HG144" i="2"/>
  <c r="EX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HG145" i="2"/>
  <c r="HH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I146" i="2"/>
  <c r="HG146" i="2"/>
  <c r="FS146" i="2"/>
  <c r="FR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HG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HI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B154" i="2" l="1"/>
  <c r="HH154" i="2"/>
  <c r="EX154" i="2"/>
  <c r="AA154" i="2"/>
  <c r="EV154" i="2"/>
  <c r="EY154" i="2" s="1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ED154" i="2"/>
  <c r="AC154" i="2"/>
  <c r="EA155" i="2"/>
  <c r="EW155" i="2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DH156" i="2" l="1"/>
  <c r="AB156" i="2"/>
  <c r="HG156" i="2"/>
  <c r="EX156" i="2"/>
  <c r="HH156" i="2"/>
  <c r="EB156" i="2"/>
  <c r="FS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X157" i="2"/>
  <c r="EC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C158" i="2" l="1"/>
  <c r="EV158" i="2"/>
  <c r="EW158" i="2"/>
  <c r="HH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HI159" i="2"/>
  <c r="EC159" i="2"/>
  <c r="EA159" i="2"/>
  <c r="HH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HG160" i="2"/>
  <c r="EC160" i="2"/>
  <c r="DG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D160" i="2" l="1"/>
  <c r="EB161" i="2"/>
  <c r="EA161" i="2"/>
  <c r="AB161" i="2"/>
  <c r="HH161" i="2"/>
  <c r="FS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DI161" i="2" l="1"/>
  <c r="ED161" i="2"/>
  <c r="EB162" i="2"/>
  <c r="EC162" i="2"/>
  <c r="EW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D162" i="2" l="1"/>
  <c r="HI163" i="2"/>
  <c r="EB163" i="2"/>
  <c r="EV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/>
  <c r="EA164" i="2" l="1"/>
  <c r="ED163" i="2"/>
  <c r="DH164" i="2"/>
  <c r="EX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B165" i="2"/>
  <c r="HH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A167" i="2"/>
  <c r="EB167" i="2"/>
  <c r="FR167" i="2"/>
  <c r="EC167" i="2"/>
  <c r="HH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EB168" i="2"/>
  <c r="EW168" i="2"/>
  <c r="HI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HH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D171" i="2" l="1"/>
  <c r="EW172" i="2"/>
  <c r="HG172" i="2"/>
  <c r="EC172" i="2"/>
  <c r="ED172" i="2" s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B175" i="2" l="1"/>
  <c r="EW175" i="2"/>
  <c r="HI175" i="2"/>
  <c r="EA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HH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FQ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EA178" i="2"/>
  <c r="EB178" i="2"/>
  <c r="FQ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DF179" i="2"/>
  <c r="EB179" i="2"/>
  <c r="FS179" i="2"/>
  <c r="EX179" i="2"/>
  <c r="AW179" i="2"/>
  <c r="EC179" i="2"/>
  <c r="ED179" i="2" s="1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HG181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X182" i="2"/>
  <c r="DG182" i="2"/>
  <c r="FS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A183" i="2" l="1"/>
  <c r="ED182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 l="1"/>
  <c r="EA185" i="2"/>
  <c r="HG185" i="2"/>
  <c r="EB185" i="2"/>
  <c r="EW185" i="2"/>
  <c r="EV185" i="2"/>
  <c r="HI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A186" i="2" l="1"/>
  <c r="EW186" i="2"/>
  <c r="HH186" i="2"/>
  <c r="HG186" i="2"/>
  <c r="ED185" i="2"/>
  <c r="FS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B187" i="2" l="1"/>
  <c r="EC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HH189" i="2"/>
  <c r="EB189" i="2"/>
  <c r="EV189" i="2"/>
  <c r="EY189" i="2" s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D189" i="2" l="1"/>
  <c r="EW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I191" i="2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C192" i="2" l="1"/>
  <c r="EB192" i="2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DI192" i="2" l="1"/>
  <c r="EB193" i="2"/>
  <c r="EA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EB194" i="2"/>
  <c r="EA194" i="2"/>
  <c r="HG194" i="2"/>
  <c r="HI194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AA195" i="2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C197" i="2" l="1"/>
  <c r="EW197" i="2"/>
  <c r="EA197" i="2"/>
  <c r="AA197" i="2"/>
  <c r="HH197" i="2"/>
  <c r="FS197" i="2"/>
  <c r="HG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EA199" i="2"/>
  <c r="EB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EB201" i="2" l="1"/>
  <c r="DI200" i="2"/>
  <c r="HG201" i="2"/>
  <c r="EA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D201" i="2" l="1"/>
  <c r="HI202" i="2"/>
  <c r="EX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82" i="2" a="1"/>
  <c r="BC82" i="2" s="1"/>
  <c r="BC181" i="2" a="1"/>
  <c r="BC181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29" i="2" a="1"/>
  <c r="DN29" i="2" s="1"/>
  <c r="EI195" i="2" a="1"/>
  <c r="EI195" i="2" s="1"/>
  <c r="AH151" i="2" a="1"/>
  <c r="AH151" i="2" s="1"/>
  <c r="AH166" i="2" a="1"/>
  <c r="AH166" i="2" s="1"/>
  <c r="AH62" i="2" a="1"/>
  <c r="AH62" i="2" s="1"/>
  <c r="AH163" i="2" a="1"/>
  <c r="AH163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32" i="2" a="1"/>
  <c r="BC32" i="2" s="1"/>
  <c r="BC185" i="2" a="1"/>
  <c r="BC185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4" i="2" a="1"/>
  <c r="DN164" i="2" s="1"/>
  <c r="DN167" i="2" a="1"/>
  <c r="DN167" i="2" s="1"/>
  <c r="DN65" i="2" a="1"/>
  <c r="DN65" i="2" s="1"/>
  <c r="DN6" i="2" a="1"/>
  <c r="DN6" i="2" s="1"/>
  <c r="DO6" i="2" s="1"/>
  <c r="BX107" i="2" a="1"/>
  <c r="BX107" i="2" s="1"/>
  <c r="FD82" i="2" a="1"/>
  <c r="FD82" i="2" s="1"/>
  <c r="HJ202" i="2"/>
  <c r="EY202" i="2"/>
  <c r="AX200" i="2"/>
  <c r="CS72" i="2" l="1" a="1"/>
  <c r="CS72" i="2" s="1"/>
  <c r="CS56" i="2" a="1"/>
  <c r="CS56" i="2" s="1"/>
  <c r="CS134" i="2" a="1"/>
  <c r="CS134" i="2" s="1"/>
  <c r="CS120" i="2" a="1"/>
  <c r="CS120" i="2" s="1"/>
  <c r="CS38" i="2" a="1"/>
  <c r="CS38" i="2" s="1"/>
  <c r="CS137" i="2" a="1"/>
  <c r="CS137" i="2" s="1"/>
  <c r="CS129" i="2" a="1"/>
  <c r="CS129" i="2" s="1"/>
  <c r="CS185" i="2" a="1"/>
  <c r="CS185" i="2" s="1"/>
  <c r="CS24" i="2" a="1"/>
  <c r="CS24" i="2" s="1"/>
  <c r="CS105" i="2" a="1"/>
  <c r="CS105" i="2" s="1"/>
  <c r="CS52" i="2" a="1"/>
  <c r="CS52" i="2" s="1"/>
  <c r="CS114" i="2" a="1"/>
  <c r="CS114" i="2" s="1"/>
  <c r="CS161" i="2" a="1"/>
  <c r="CS161" i="2" s="1"/>
  <c r="CS77" i="2" a="1"/>
  <c r="CS77" i="2" s="1"/>
  <c r="CS116" i="2" a="1"/>
  <c r="CS116" i="2" s="1"/>
  <c r="CS66" i="2" a="1"/>
  <c r="CS66" i="2" s="1"/>
  <c r="DN176" i="2" a="1"/>
  <c r="DN176" i="2" s="1"/>
  <c r="DN70" i="2" a="1"/>
  <c r="DN70" i="2" s="1"/>
  <c r="DN16" i="2" a="1"/>
  <c r="DN16" i="2" s="1"/>
  <c r="DN135" i="2" a="1"/>
  <c r="DN135" i="2" s="1"/>
  <c r="DN80" i="2" a="1"/>
  <c r="DN80" i="2" s="1"/>
  <c r="DN41" i="2" a="1"/>
  <c r="DN41" i="2" s="1"/>
  <c r="DN45" i="2" a="1"/>
  <c r="DN45" i="2" s="1"/>
  <c r="DN30" i="2" a="1"/>
  <c r="DN30" i="2" s="1"/>
  <c r="DN190" i="2" a="1"/>
  <c r="DN190" i="2" s="1"/>
  <c r="DN55" i="2" a="1"/>
  <c r="DN55" i="2" s="1"/>
  <c r="DN162" i="2" a="1"/>
  <c r="DN162" i="2" s="1"/>
  <c r="DN38" i="2" a="1"/>
  <c r="DN38" i="2" s="1"/>
  <c r="DN177" i="2" a="1"/>
  <c r="DN177" i="2" s="1"/>
  <c r="DN132" i="2" a="1"/>
  <c r="DN132" i="2" s="1"/>
  <c r="DN187" i="2" a="1"/>
  <c r="DN187" i="2" s="1"/>
  <c r="DN46" i="2" a="1"/>
  <c r="DN46" i="2" s="1"/>
  <c r="DN133" i="2" a="1"/>
  <c r="DN133" i="2" s="1"/>
  <c r="DN31" i="2" a="1"/>
  <c r="DN31" i="2" s="1"/>
  <c r="DN49" i="2" a="1"/>
  <c r="DN49" i="2" s="1"/>
  <c r="DN168" i="2" a="1"/>
  <c r="DN168" i="2" s="1"/>
  <c r="DN115" i="2" a="1"/>
  <c r="DN115" i="2" s="1"/>
  <c r="BC83" i="2" a="1"/>
  <c r="BC83" i="2" s="1"/>
  <c r="BC143" i="2" a="1"/>
  <c r="BC143" i="2" s="1"/>
  <c r="BC164" i="2" a="1"/>
  <c r="BC164" i="2" s="1"/>
  <c r="BC65" i="2" a="1"/>
  <c r="BC65" i="2" s="1"/>
  <c r="BC58" i="2" a="1"/>
  <c r="BC58" i="2" s="1"/>
  <c r="BC151" i="2" a="1"/>
  <c r="BC151" i="2" s="1"/>
  <c r="BC31" i="2" a="1"/>
  <c r="BC31" i="2" s="1"/>
  <c r="BC192" i="2" a="1"/>
  <c r="BC192" i="2" s="1"/>
  <c r="BC114" i="2" a="1"/>
  <c r="BC114" i="2" s="1"/>
  <c r="BC7" i="2" a="1"/>
  <c r="BC7" i="2" s="1"/>
  <c r="BC84" i="2" a="1"/>
  <c r="BC84" i="2" s="1"/>
  <c r="BC55" i="2" a="1"/>
  <c r="BC55" i="2" s="1"/>
  <c r="BC117" i="2" a="1"/>
  <c r="BC117" i="2" s="1"/>
  <c r="BC126" i="2" a="1"/>
  <c r="BC126" i="2" s="1"/>
  <c r="BC34" i="2" a="1"/>
  <c r="BC34" i="2" s="1"/>
  <c r="BC47" i="2" a="1"/>
  <c r="BC47" i="2" s="1"/>
  <c r="BC68" i="2" a="1"/>
  <c r="BC68" i="2" s="1"/>
  <c r="DN103" i="2" a="1"/>
  <c r="DN103" i="2" s="1"/>
  <c r="DN86" i="2" a="1"/>
  <c r="DN86" i="2" s="1"/>
  <c r="DN152" i="2" a="1"/>
  <c r="DN152" i="2" s="1"/>
  <c r="DN155" i="2" a="1"/>
  <c r="DN155" i="2" s="1"/>
  <c r="HH203" i="2"/>
  <c r="DN123" i="2" a="1"/>
  <c r="DN123" i="2" s="1"/>
  <c r="DN153" i="2" a="1"/>
  <c r="DN153" i="2" s="1"/>
  <c r="DN43" i="2" a="1"/>
  <c r="DN43" i="2" s="1"/>
  <c r="AH199" i="2" a="1"/>
  <c r="AH199" i="2" s="1"/>
  <c r="DN170" i="2" a="1"/>
  <c r="DN170" i="2" s="1"/>
  <c r="DN186" i="2" a="1"/>
  <c r="DN186" i="2" s="1"/>
  <c r="DN56" i="2" a="1"/>
  <c r="DN56" i="2" s="1"/>
  <c r="DN129" i="2" a="1"/>
  <c r="DN129" i="2" s="1"/>
  <c r="DN137" i="2" a="1"/>
  <c r="DN137" i="2" s="1"/>
  <c r="AH19" i="2" a="1"/>
  <c r="AH19" i="2" s="1"/>
  <c r="DN150" i="2" a="1"/>
  <c r="DN150" i="2" s="1"/>
  <c r="DN50" i="2" a="1"/>
  <c r="DN50" i="2" s="1"/>
  <c r="AH90" i="2" a="1"/>
  <c r="AH90" i="2" s="1"/>
  <c r="DN192" i="2" a="1"/>
  <c r="DN192" i="2" s="1"/>
  <c r="DN113" i="2" a="1"/>
  <c r="DN113" i="2" s="1"/>
  <c r="DN66" i="2" a="1"/>
  <c r="DN66" i="2" s="1"/>
  <c r="DN25" i="2" a="1"/>
  <c r="DN25" i="2" s="1"/>
  <c r="DN124" i="2" a="1"/>
  <c r="DN124" i="2" s="1"/>
  <c r="DN110" i="2" a="1"/>
  <c r="DN110" i="2" s="1"/>
  <c r="DN114" i="2" a="1"/>
  <c r="DN114" i="2" s="1"/>
  <c r="DN188" i="2" a="1"/>
  <c r="DN188" i="2" s="1"/>
  <c r="DN184" i="2" a="1"/>
  <c r="DN184" i="2" s="1"/>
  <c r="AH92" i="2" a="1"/>
  <c r="AH92" i="2" s="1"/>
  <c r="FR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DI203" i="2" l="1"/>
  <c r="ED203" i="2"/>
  <c r="CN203" i="2"/>
  <c r="FZ9" i="2"/>
  <c r="FZ10" i="2" s="1"/>
  <c r="FZ11" i="2" s="1"/>
  <c r="FZ12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CD105" i="2" l="1"/>
  <c r="CD60" i="2"/>
  <c r="CD65" i="2"/>
  <c r="CD19" i="2"/>
  <c r="CD75" i="2"/>
  <c r="CD124" i="2"/>
  <c r="CD164" i="2"/>
  <c r="CD42" i="2"/>
  <c r="CD192" i="2"/>
  <c r="CD4" i="2"/>
  <c r="CD197" i="2"/>
  <c r="CD106" i="2"/>
  <c r="CD36" i="2"/>
  <c r="CD64" i="2"/>
  <c r="CD76" i="2"/>
  <c r="CD85" i="2"/>
  <c r="CD127" i="2"/>
  <c r="CD70" i="2"/>
  <c r="CD151" i="2"/>
  <c r="CD173" i="2"/>
  <c r="CD67" i="2"/>
  <c r="CD12" i="2"/>
  <c r="CD39" i="2"/>
  <c r="CD40" i="2"/>
  <c r="CD125" i="2"/>
  <c r="CD137" i="2"/>
  <c r="CD186" i="2"/>
  <c r="CD93" i="2"/>
  <c r="CD58" i="2"/>
  <c r="CD34" i="2"/>
  <c r="CD179" i="2"/>
  <c r="CD47" i="2"/>
  <c r="CD131" i="2"/>
  <c r="CD130" i="2"/>
  <c r="CD72" i="2"/>
  <c r="CD50" i="2"/>
  <c r="CD20" i="2"/>
  <c r="CD183" i="2"/>
  <c r="CD155" i="2"/>
  <c r="CD203" i="2"/>
  <c r="CD21" i="2"/>
  <c r="CD181" i="2"/>
  <c r="CD157" i="2"/>
  <c r="CD31" i="2"/>
  <c r="CD168" i="2"/>
  <c r="CD22" i="2"/>
  <c r="CD83" i="2"/>
  <c r="CD28" i="2"/>
  <c r="CD88" i="2"/>
  <c r="CD30" i="2"/>
  <c r="CD41" i="2"/>
  <c r="CD122" i="2"/>
  <c r="CD180" i="2"/>
  <c r="CD194" i="2"/>
  <c r="CD25" i="2"/>
  <c r="CD56" i="2"/>
  <c r="CD152" i="2"/>
  <c r="CD104" i="2"/>
  <c r="CD169" i="2"/>
  <c r="CD91" i="2"/>
  <c r="CD17" i="2"/>
  <c r="CD59" i="2"/>
  <c r="CD108" i="2"/>
  <c r="CD23" i="2"/>
  <c r="CD37" i="2"/>
  <c r="CD6" i="2"/>
  <c r="CD190" i="2"/>
  <c r="CD145" i="2"/>
  <c r="CD9" i="2"/>
  <c r="CD193" i="2"/>
  <c r="CD133" i="2"/>
  <c r="CD7" i="2"/>
  <c r="CD94" i="2"/>
  <c r="CD156" i="2"/>
  <c r="CD14" i="2"/>
  <c r="CD46" i="2"/>
  <c r="CD90" i="2"/>
  <c r="CD89" i="2"/>
  <c r="CD150" i="2"/>
  <c r="CD171" i="2"/>
  <c r="CD100" i="2"/>
  <c r="CD52" i="2"/>
  <c r="CD112" i="2"/>
  <c r="CD147" i="2"/>
  <c r="CD117" i="2"/>
  <c r="CD128" i="2"/>
  <c r="CD176" i="2"/>
  <c r="CD129" i="2"/>
  <c r="CD102" i="2"/>
  <c r="CD98" i="2"/>
  <c r="CD202" i="2"/>
  <c r="CD51" i="2"/>
  <c r="CD113" i="2"/>
  <c r="CD81" i="2"/>
  <c r="CD154" i="2"/>
  <c r="CD33" i="2"/>
  <c r="CD10" i="2"/>
  <c r="CD38" i="2"/>
  <c r="CD191" i="2"/>
  <c r="CD139" i="2"/>
  <c r="CD107" i="2"/>
  <c r="CD121" i="2"/>
  <c r="CD84" i="2"/>
  <c r="CD188" i="2"/>
  <c r="CD68" i="2"/>
  <c r="CD61" i="2"/>
  <c r="CD96" i="2"/>
  <c r="CD132" i="2"/>
  <c r="CD174" i="2"/>
  <c r="CD86" i="2"/>
  <c r="CD80" i="2"/>
  <c r="CD99" i="2"/>
  <c r="CD101" i="2"/>
  <c r="CD153" i="2"/>
  <c r="CD77" i="2"/>
  <c r="CD146" i="2"/>
  <c r="CD73" i="2"/>
  <c r="CD43" i="2"/>
  <c r="CD119" i="2"/>
  <c r="CD27" i="2"/>
  <c r="CD35" i="2"/>
  <c r="CD161" i="2"/>
  <c r="CD149" i="2"/>
  <c r="CD136" i="2"/>
  <c r="CD199" i="2"/>
  <c r="CD189" i="2"/>
  <c r="CD55" i="2"/>
  <c r="CD182" i="2"/>
  <c r="CD32" i="2"/>
  <c r="CD82" i="2"/>
  <c r="CD162" i="2"/>
  <c r="CD8" i="2"/>
  <c r="CD200" i="2"/>
  <c r="CD62" i="2"/>
  <c r="CD144" i="2"/>
  <c r="CD95" i="2"/>
  <c r="CD187" i="2"/>
  <c r="CD172" i="2"/>
  <c r="CD13" i="2"/>
  <c r="CD120" i="2"/>
  <c r="CD57" i="2"/>
  <c r="CD71" i="2"/>
  <c r="CD185" i="2"/>
  <c r="CD5" i="2"/>
  <c r="CD167" i="2"/>
  <c r="CD18" i="2"/>
  <c r="CD66" i="2"/>
  <c r="CD111" i="2"/>
  <c r="CD184" i="2"/>
  <c r="CD15" i="2"/>
  <c r="CD97" i="2"/>
  <c r="CD198" i="2"/>
  <c r="CD110" i="2"/>
  <c r="CD103" i="2"/>
  <c r="CD11" i="2"/>
  <c r="CD44" i="2"/>
  <c r="CD123" i="2"/>
  <c r="CD138" i="2"/>
  <c r="CD74" i="2"/>
  <c r="CD143" i="2"/>
  <c r="CD201" i="2"/>
  <c r="CD196" i="2"/>
  <c r="CD16" i="2"/>
  <c r="CD177" i="2"/>
  <c r="CD87" i="2"/>
  <c r="CD141" i="2"/>
  <c r="CD170" i="2"/>
  <c r="CD159" i="2"/>
  <c r="CD116" i="2"/>
  <c r="CD118" i="2"/>
  <c r="CD158" i="2"/>
  <c r="CD166" i="2"/>
  <c r="CD63" i="2"/>
  <c r="CD126" i="2"/>
  <c r="CD69" i="2"/>
  <c r="CD115" i="2"/>
  <c r="CD142" i="2"/>
  <c r="CD45" i="2"/>
  <c r="CD26" i="2"/>
  <c r="CD49" i="2"/>
  <c r="CD160" i="2"/>
  <c r="CD114" i="2"/>
  <c r="CD135" i="2"/>
  <c r="CD48" i="2"/>
  <c r="CD29" i="2"/>
  <c r="CD134" i="2"/>
  <c r="CD175" i="2"/>
  <c r="CD3" i="2"/>
  <c r="C9" i="4" s="1"/>
  <c r="E9" i="4" s="1"/>
  <c r="F9" i="4" s="1"/>
  <c r="G9" i="4" s="1"/>
  <c r="L9" i="4" s="1"/>
  <c r="CD78" i="2"/>
  <c r="CD195" i="2"/>
  <c r="CD109" i="2"/>
  <c r="CD24" i="2"/>
  <c r="CD178" i="2"/>
  <c r="CD163" i="2"/>
  <c r="CD140" i="2"/>
  <c r="CD54" i="2"/>
  <c r="CD165" i="2"/>
  <c r="CD148" i="2"/>
  <c r="CD53" i="2"/>
  <c r="CD92" i="2"/>
  <c r="CD79" i="2"/>
  <c r="FE125" i="2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I47" i="2" l="1"/>
  <c r="BI70" i="2"/>
  <c r="BI183" i="2"/>
  <c r="BI60" i="2"/>
  <c r="BI179" i="2"/>
  <c r="BI198" i="2"/>
  <c r="BI121" i="2"/>
  <c r="BI32" i="2"/>
  <c r="BI133" i="2"/>
  <c r="BI43" i="2"/>
  <c r="BI146" i="2"/>
  <c r="BI63" i="2"/>
  <c r="BI190" i="2"/>
  <c r="BI191" i="2"/>
  <c r="BI105" i="2"/>
  <c r="BI85" i="2"/>
  <c r="BI109" i="2"/>
  <c r="BI151" i="2"/>
  <c r="BI163" i="2"/>
  <c r="BI142" i="2"/>
  <c r="BI149" i="2"/>
  <c r="BI174" i="2"/>
  <c r="BI38" i="2"/>
  <c r="BI169" i="2"/>
  <c r="BI26" i="2"/>
  <c r="BI157" i="2"/>
  <c r="BI145" i="2"/>
  <c r="BI196" i="2"/>
  <c r="BI18" i="2"/>
  <c r="BI168" i="2"/>
  <c r="BI24" i="2"/>
  <c r="BI128" i="2"/>
  <c r="BI37" i="2"/>
  <c r="BI141" i="2"/>
  <c r="BI199" i="2"/>
  <c r="BI81" i="2"/>
  <c r="BI13" i="2"/>
  <c r="BI156" i="2"/>
  <c r="BI56" i="2"/>
  <c r="BI155" i="2"/>
  <c r="BI7" i="2"/>
  <c r="BI67" i="2"/>
  <c r="BI110" i="2"/>
  <c r="BI19" i="2"/>
  <c r="BI165" i="2"/>
  <c r="BI59" i="2"/>
  <c r="BI124" i="2"/>
  <c r="BI21" i="2"/>
  <c r="BI49" i="2"/>
  <c r="BI170" i="2"/>
  <c r="BI131" i="2"/>
  <c r="BI36" i="2"/>
  <c r="BI33" i="2"/>
  <c r="BI14" i="2"/>
  <c r="BI83" i="2"/>
  <c r="BI92" i="2"/>
  <c r="BI10" i="2"/>
  <c r="BI97" i="2"/>
  <c r="BI20" i="2"/>
  <c r="BI186" i="2"/>
  <c r="BI55" i="2"/>
  <c r="BI102" i="2"/>
  <c r="BI29" i="2"/>
  <c r="BI143" i="2"/>
  <c r="BI147" i="2"/>
  <c r="BI84" i="2"/>
  <c r="BI189" i="2"/>
  <c r="BI119" i="2"/>
  <c r="BI188" i="2"/>
  <c r="BI177" i="2"/>
  <c r="BI160" i="2"/>
  <c r="BI120" i="2"/>
  <c r="BI148" i="2"/>
  <c r="BI64" i="2"/>
  <c r="BI104" i="2"/>
  <c r="BI107" i="2"/>
  <c r="BI75" i="2"/>
  <c r="BI164" i="2"/>
  <c r="BI197" i="2"/>
  <c r="BI8" i="2"/>
  <c r="BI35" i="2"/>
  <c r="BI80" i="2"/>
  <c r="BI48" i="2"/>
  <c r="BI58" i="2"/>
  <c r="BI114" i="2"/>
  <c r="BI11" i="2"/>
  <c r="BI30" i="2"/>
  <c r="BI44" i="2"/>
  <c r="BI111" i="2"/>
  <c r="BI153" i="2"/>
  <c r="BI45" i="2"/>
  <c r="BI178" i="2"/>
  <c r="BI74" i="2"/>
  <c r="BI25" i="2"/>
  <c r="BI113" i="2"/>
  <c r="BI118" i="2"/>
  <c r="BI22" i="2"/>
  <c r="BI40" i="2"/>
  <c r="BI108" i="2"/>
  <c r="BI39" i="2"/>
  <c r="BI130" i="2"/>
  <c r="BI41" i="2"/>
  <c r="BI181" i="2"/>
  <c r="BI187" i="2"/>
  <c r="BI17" i="2"/>
  <c r="BI135" i="2"/>
  <c r="BI144" i="2"/>
  <c r="BI91" i="2"/>
  <c r="BI171" i="2"/>
  <c r="BI54" i="2"/>
  <c r="BI150" i="2"/>
  <c r="BI202" i="2"/>
  <c r="BI154" i="2"/>
  <c r="BI79" i="2"/>
  <c r="BI87" i="2"/>
  <c r="BI96" i="2"/>
  <c r="BI134" i="2"/>
  <c r="BI139" i="2"/>
  <c r="BI123" i="2"/>
  <c r="BI73" i="2"/>
  <c r="BI93" i="2"/>
  <c r="BI182" i="2"/>
  <c r="BI116" i="2"/>
  <c r="BI203" i="2"/>
  <c r="BI27" i="2"/>
  <c r="BI5" i="2"/>
  <c r="BI95" i="2"/>
  <c r="BI132" i="2"/>
  <c r="BI57" i="2"/>
  <c r="BI50" i="2"/>
  <c r="BI122" i="2"/>
  <c r="BI184" i="2"/>
  <c r="BI140" i="2"/>
  <c r="BI167" i="2"/>
  <c r="BI9" i="2"/>
  <c r="BI129" i="2"/>
  <c r="BI4" i="2"/>
  <c r="BI65" i="2"/>
  <c r="BI77" i="2"/>
  <c r="BI162" i="2"/>
  <c r="BI61" i="2"/>
  <c r="BI117" i="2"/>
  <c r="BI101" i="2"/>
  <c r="BI161" i="2"/>
  <c r="BI185" i="2"/>
  <c r="BI192" i="2"/>
  <c r="BI86" i="2"/>
  <c r="BI31" i="2"/>
  <c r="BI90" i="2"/>
  <c r="BI68" i="2"/>
  <c r="BI200" i="2"/>
  <c r="BI172" i="2"/>
  <c r="BI193" i="2"/>
  <c r="BI152" i="2"/>
  <c r="BI158" i="2"/>
  <c r="BI72" i="2"/>
  <c r="BI194" i="2"/>
  <c r="BI138" i="2"/>
  <c r="BI16" i="2"/>
  <c r="BI62" i="2"/>
  <c r="BI88" i="2"/>
  <c r="BI53" i="2"/>
  <c r="BI12" i="2"/>
  <c r="BI115" i="2"/>
  <c r="BI46" i="2"/>
  <c r="BI23" i="2"/>
  <c r="BI159" i="2"/>
  <c r="BI69" i="2"/>
  <c r="BI15" i="2"/>
  <c r="BI100" i="2"/>
  <c r="BI176" i="2"/>
  <c r="BI195" i="2"/>
  <c r="BI180" i="2"/>
  <c r="BI125" i="2"/>
  <c r="BI99" i="2"/>
  <c r="BI6" i="2"/>
  <c r="BI136" i="2"/>
  <c r="BI42" i="2"/>
  <c r="BI51" i="2"/>
  <c r="BI126" i="2"/>
  <c r="BI78" i="2"/>
  <c r="BI201" i="2"/>
  <c r="BI76" i="2"/>
  <c r="BI175" i="2"/>
  <c r="BI173" i="2"/>
  <c r="BI3" i="2"/>
  <c r="C8" i="4" s="1"/>
  <c r="E8" i="4" s="1"/>
  <c r="F8" i="4" s="1"/>
  <c r="G8" i="4" s="1"/>
  <c r="L8" i="4" s="1"/>
  <c r="BI28" i="2"/>
  <c r="BI137" i="2"/>
  <c r="BI52" i="2"/>
  <c r="BI89" i="2"/>
  <c r="BI34" i="2"/>
  <c r="BI66" i="2"/>
  <c r="BI82" i="2"/>
  <c r="BI98" i="2"/>
  <c r="BI106" i="2"/>
  <c r="BI112" i="2"/>
  <c r="BI166" i="2"/>
  <c r="BI71" i="2"/>
  <c r="BI127" i="2"/>
  <c r="BI103" i="2"/>
  <c r="BI94" i="2"/>
  <c r="BF124" i="2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<sst xmlns="http://schemas.openxmlformats.org/spreadsheetml/2006/main" count="1175" uniqueCount="324">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</sst>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3.1707548346542</c:v>
                </c:pt>
                <c:pt idx="2">
                  <c:v>3.8994070069335893</c:v>
                </c:pt>
                <c:pt idx="3">
                  <c:v>4.7961395743139903</c:v>
                </c:pt>
                <c:pt idx="4">
                  <c:v>5.8998617479716442</c:v>
                </c:pt>
                <c:pt idx="5">
                  <c:v>7.2585196858425398</c:v>
                </c:pt>
                <c:pt idx="6">
                  <c:v>8.9312018151497536</c:v>
                </c:pt>
                <c:pt idx="7">
                  <c:v>10.990736010102614</c:v>
                </c:pt>
                <c:pt idx="8">
                  <c:v>13.526893830411311</c:v>
                </c:pt>
                <c:pt idx="9">
                  <c:v>16.650344073811482</c:v>
                </c:pt>
                <c:pt idx="10">
                  <c:v>20.497531306964643</c:v>
                </c:pt>
                <c:pt idx="11">
                  <c:v>25.23669631396508</c:v>
                </c:pt>
                <c:pt idx="12">
                  <c:v>31.075306394532003</c:v>
                </c:pt>
                <c:pt idx="13">
                  <c:v>38.269226447074438</c:v>
                </c:pt>
                <c:pt idx="14">
                  <c:v>47.134039619059727</c:v>
                </c:pt>
                <c:pt idx="15">
                  <c:v>58.059022502120392</c:v>
                </c:pt>
                <c:pt idx="16">
                  <c:v>71.524398723990075</c:v>
                </c:pt>
                <c:pt idx="17">
                  <c:v>88.122641699910204</c:v>
                </c:pt>
                <c:pt idx="18">
                  <c:v>108.58477887574996</c:v>
                </c:pt>
                <c:pt idx="19">
                  <c:v>133.81287421387319</c:v>
                </c:pt>
                <c:pt idx="20">
                  <c:v>164.92014306911736</c:v>
                </c:pt>
                <c:pt idx="21">
                  <c:v>180.75557672577415</c:v>
                </c:pt>
                <c:pt idx="22">
                  <c:v>196.55853182882308</c:v>
                </c:pt>
                <c:pt idx="23">
                  <c:v>212.33198814382544</c:v>
                </c:pt>
                <c:pt idx="24">
                  <c:v>228.07844610125684</c:v>
                </c:pt>
                <c:pt idx="25">
                  <c:v>243.80003239943395</c:v>
                </c:pt>
                <c:pt idx="26">
                  <c:v>263.85541384215668</c:v>
                </c:pt>
                <c:pt idx="27">
                  <c:v>283.87641689700024</c:v>
                </c:pt>
                <c:pt idx="28">
                  <c:v>303.86580648514382</c:v>
                </c:pt>
                <c:pt idx="29">
                  <c:v>323.82595401882173</c:v>
                </c:pt>
                <c:pt idx="30">
                  <c:v>343.75891472050535</c:v>
                </c:pt>
                <c:pt idx="31">
                  <c:v>232.44796515158802</c:v>
                </c:pt>
                <c:pt idx="32">
                  <c:v>256.01191793762854</c:v>
                </c:pt>
                <c:pt idx="33">
                  <c:v>279.52680294324563</c:v>
                </c:pt>
                <c:pt idx="34">
                  <c:v>302.9973265846117</c:v>
                </c:pt>
                <c:pt idx="35">
                  <c:v>326.42740643086177</c:v>
                </c:pt>
                <c:pt idx="36">
                  <c:v>289.96337472940417</c:v>
                </c:pt>
                <c:pt idx="37">
                  <c:v>314.28330815365297</c:v>
                </c:pt>
                <c:pt idx="38">
                  <c:v>338.56152844098659</c:v>
                </c:pt>
                <c:pt idx="39">
                  <c:v>362.80144525672222</c:v>
                </c:pt>
                <c:pt idx="40">
                  <c:v>387.00597559413154</c:v>
                </c:pt>
                <c:pt idx="41">
                  <c:v>351.11892985232765</c:v>
                </c:pt>
                <c:pt idx="42">
                  <c:v>375.77238986983883</c:v>
                </c:pt>
                <c:pt idx="43">
                  <c:v>400.3906327370201</c:v>
                </c:pt>
                <c:pt idx="44">
                  <c:v>424.97612632602937</c:v>
                </c:pt>
                <c:pt idx="45">
                  <c:v>449.53102985794368</c:v>
                </c:pt>
                <c:pt idx="46">
                  <c:v>412.90299192267594</c:v>
                </c:pt>
                <c:pt idx="47">
                  <c:v>436.61108755732994</c:v>
                </c:pt>
                <c:pt idx="48">
                  <c:v>460.29157019967289</c:v>
                </c:pt>
                <c:pt idx="49">
                  <c:v>483.94605890429244</c:v>
                </c:pt>
                <c:pt idx="50">
                  <c:v>507.57600167435936</c:v>
                </c:pt>
                <c:pt idx="51">
                  <c:v>469.32626959947999</c:v>
                </c:pt>
                <c:pt idx="52">
                  <c:v>491.25241699045142</c:v>
                </c:pt>
                <c:pt idx="53">
                  <c:v>513.15781891487734</c:v>
                </c:pt>
                <c:pt idx="54">
                  <c:v>535.04348473955281</c:v>
                </c:pt>
                <c:pt idx="55">
                  <c:v>556.91033459423954</c:v>
                </c:pt>
                <c:pt idx="56">
                  <c:v>517.02140203717238</c:v>
                </c:pt>
                <c:pt idx="57">
                  <c:v>537.18811127897277</c:v>
                </c:pt>
                <c:pt idx="58">
                  <c:v>557.33891405416773</c:v>
                </c:pt>
                <c:pt idx="59">
                  <c:v>577.47446592353504</c:v>
                </c:pt>
                <c:pt idx="60">
                  <c:v>597.59537304263756</c:v>
                </c:pt>
                <c:pt idx="61">
                  <c:v>556.48174822611566</c:v>
                </c:pt>
                <c:pt idx="62">
                  <c:v>575.333092286274</c:v>
                </c:pt>
                <c:pt idx="63">
                  <c:v>594.17154727265404</c:v>
                </c:pt>
                <c:pt idx="64">
                  <c:v>612.99757903900309</c:v>
                </c:pt>
                <c:pt idx="65">
                  <c:v>631.81162251582634</c:v>
                </c:pt>
                <c:pt idx="66">
                  <c:v>589.46311584770126</c:v>
                </c:pt>
                <c:pt idx="67">
                  <c:v>607.00879854794744</c:v>
                </c:pt>
                <c:pt idx="68">
                  <c:v>624.54395486132705</c:v>
                </c:pt>
                <c:pt idx="69">
                  <c:v>642.06892172602966</c:v>
                </c:pt>
                <c:pt idx="70">
                  <c:v>659.58401620212533</c:v>
                </c:pt>
                <c:pt idx="71">
                  <c:v>615.99151338618651</c:v>
                </c:pt>
                <c:pt idx="72">
                  <c:v>632.23907832556165</c:v>
                </c:pt>
                <c:pt idx="73">
                  <c:v>648.47801217956487</c:v>
                </c:pt>
                <c:pt idx="74">
                  <c:v>664.70856137271744</c:v>
                </c:pt>
                <c:pt idx="75">
                  <c:v>680.93095932318113</c:v>
                </c:pt>
                <c:pt idx="76">
                  <c:v>636.51330847982445</c:v>
                </c:pt>
                <c:pt idx="77">
                  <c:v>651.89565867529109</c:v>
                </c:pt>
                <c:pt idx="78">
                  <c:v>667.27052872062904</c:v>
                </c:pt>
                <c:pt idx="79">
                  <c:v>682.63811513058749</c:v>
                </c:pt>
                <c:pt idx="80">
                  <c:v>697.99860485695478</c:v>
                </c:pt>
                <c:pt idx="81">
                  <c:v>652.75001250200091</c:v>
                </c:pt>
                <c:pt idx="82">
                  <c:v>667.27052872062904</c:v>
                </c:pt>
                <c:pt idx="83">
                  <c:v>681.78454819307171</c:v>
                </c:pt>
                <c:pt idx="84">
                  <c:v>696.29222861974165</c:v>
                </c:pt>
                <c:pt idx="85">
                  <c:v>710.79372059813102</c:v>
                </c:pt>
                <c:pt idx="86">
                  <c:v>664.70856137271744</c:v>
                </c:pt>
                <c:pt idx="87">
                  <c:v>678.37006080489357</c:v>
                </c:pt>
                <c:pt idx="88">
                  <c:v>692.02591280075649</c:v>
                </c:pt>
                <c:pt idx="89">
                  <c:v>705.67624443748446</c:v>
                </c:pt>
                <c:pt idx="90">
                  <c:v>719.32117747825203</c:v>
                </c:pt>
                <c:pt idx="91">
                  <c:v>672.82076514505172</c:v>
                </c:pt>
                <c:pt idx="92">
                  <c:v>686.05216418180908</c:v>
                </c:pt>
                <c:pt idx="93">
                  <c:v>699.27833097368693</c:v>
                </c:pt>
                <c:pt idx="94">
                  <c:v>712.49937837079085</c:v>
                </c:pt>
                <c:pt idx="95">
                  <c:v>725.71541469625163</c:v>
                </c:pt>
                <c:pt idx="96">
                  <c:v>677.94322510709105</c:v>
                </c:pt>
                <c:pt idx="97">
                  <c:v>689.89255298185071</c:v>
                </c:pt>
                <c:pt idx="98">
                  <c:v>701.8376394844596</c:v>
                </c:pt>
                <c:pt idx="99">
                  <c:v>713.77856694008221</c:v>
                </c:pt>
                <c:pt idx="100">
                  <c:v>725.71541469625197</c:v>
                </c:pt>
                <c:pt idx="101">
                  <c:v>679.22371566061372</c:v>
                </c:pt>
                <c:pt idx="102">
                  <c:v>690.31923574953726</c:v>
                </c:pt>
                <c:pt idx="103">
                  <c:v>701.41110134898747</c:v>
                </c:pt>
                <c:pt idx="104">
                  <c:v>712.49937837079085</c:v>
                </c:pt>
                <c:pt idx="105">
                  <c:v>723.58413050890942</c:v>
                </c:pt>
                <c:pt idx="106">
                  <c:v>734.66541934761574</c:v>
                </c:pt>
                <c:pt idx="107">
                  <c:v>745.74330446280692</c:v>
                </c:pt>
                <c:pt idx="108">
                  <c:v>756.81784351698707</c:v>
                </c:pt>
                <c:pt idx="109">
                  <c:v>767.8890923484081</c:v>
                </c:pt>
                <c:pt idx="110">
                  <c:v>778.95710505480247</c:v>
                </c:pt>
                <c:pt idx="111">
                  <c:v>680.50415665378739</c:v>
                </c:pt>
                <c:pt idx="112">
                  <c:v>690.74591311146139</c:v>
                </c:pt>
                <c:pt idx="113">
                  <c:v>700.9845579052411</c:v>
                </c:pt>
                <c:pt idx="114">
                  <c:v>711.22014287488298</c:v>
                </c:pt>
                <c:pt idx="115">
                  <c:v>721.45271824692566</c:v>
                </c:pt>
                <c:pt idx="116">
                  <c:v>679.22371566061349</c:v>
                </c:pt>
                <c:pt idx="117">
                  <c:v>688.1857677770563</c:v>
                </c:pt>
                <c:pt idx="118">
                  <c:v>697.14542742909498</c:v>
                </c:pt>
                <c:pt idx="119">
                  <c:v>706.10272969198616</c:v>
                </c:pt>
                <c:pt idx="120">
                  <c:v>715.05770867875617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3.2647516674612578</c:v>
                </c:pt>
                <c:pt idx="2">
                  <c:v>4.0150798908873933</c:v>
                </c:pt>
                <c:pt idx="3">
                  <c:v>4.9385049314225391</c:v>
                </c:pt>
                <c:pt idx="4">
                  <c:v>6.0751007979600642</c:v>
                </c:pt>
                <c:pt idx="5">
                  <c:v>7.4742497420629066</c:v>
                </c:pt>
                <c:pt idx="6">
                  <c:v>9.1968109479427493</c:v>
                </c:pt>
                <c:pt idx="7">
                  <c:v>11.317795916981858</c:v>
                </c:pt>
                <c:pt idx="8">
                  <c:v>13.929669235737409</c:v>
                </c:pt>
                <c:pt idx="9">
                  <c:v>17.14642128331749</c:v>
                </c:pt>
                <c:pt idx="10">
                  <c:v>21.108593857712506</c:v>
                </c:pt>
                <c:pt idx="11">
                  <c:v>25.989482226776222</c:v>
                </c:pt>
                <c:pt idx="12">
                  <c:v>32.002789648745868</c:v>
                </c:pt>
                <c:pt idx="13">
                  <c:v>39.412075321462829</c:v>
                </c:pt>
                <c:pt idx="14">
                  <c:v>48.542416928887945</c:v>
                </c:pt>
                <c:pt idx="15">
                  <c:v>59.794808068333602</c:v>
                </c:pt>
                <c:pt idx="16">
                  <c:v>73.663933325798567</c:v>
                </c:pt>
                <c:pt idx="17">
                  <c:v>90.760115139196031</c:v>
                </c:pt>
                <c:pt idx="18">
                  <c:v>111.83641367495041</c:v>
                </c:pt>
                <c:pt idx="19">
                  <c:v>137.82209218199722</c:v>
                </c:pt>
                <c:pt idx="20">
                  <c:v>169.86394611557276</c:v>
                </c:pt>
                <c:pt idx="21">
                  <c:v>186.17529975179778</c:v>
                </c:pt>
                <c:pt idx="22">
                  <c:v>202.45329338095564</c:v>
                </c:pt>
                <c:pt idx="23">
                  <c:v>218.70098763811578</c:v>
                </c:pt>
                <c:pt idx="24">
                  <c:v>234.92095081432191</c:v>
                </c:pt>
                <c:pt idx="25">
                  <c:v>251.11536732553444</c:v>
                </c:pt>
                <c:pt idx="26">
                  <c:v>271.77401662995709</c:v>
                </c:pt>
                <c:pt idx="27">
                  <c:v>292.39735453238615</c:v>
                </c:pt>
                <c:pt idx="28">
                  <c:v>312.98822099272905</c:v>
                </c:pt>
                <c:pt idx="29">
                  <c:v>333.54905178228984</c:v>
                </c:pt>
                <c:pt idx="30">
                  <c:v>354.08195790136142</c:v>
                </c:pt>
                <c:pt idx="31">
                  <c:v>239.42187704418757</c:v>
                </c:pt>
                <c:pt idx="32">
                  <c:v>263.69457505841393</c:v>
                </c:pt>
                <c:pt idx="33">
                  <c:v>287.91687361454052</c:v>
                </c:pt>
                <c:pt idx="34">
                  <c:v>312.09360685877562</c:v>
                </c:pt>
                <c:pt idx="35">
                  <c:v>336.22879868133322</c:v>
                </c:pt>
                <c:pt idx="36">
                  <c:v>298.66745821941805</c:v>
                </c:pt>
                <c:pt idx="37">
                  <c:v>323.71921792546942</c:v>
                </c:pt>
                <c:pt idx="38">
                  <c:v>348.72813241867397</c:v>
                </c:pt>
                <c:pt idx="39">
                  <c:v>373.69770390114485</c:v>
                </c:pt>
                <c:pt idx="40">
                  <c:v>398.63092853204995</c:v>
                </c:pt>
                <c:pt idx="41">
                  <c:v>361.66351520952867</c:v>
                </c:pt>
                <c:pt idx="42">
                  <c:v>387.05913530996236</c:v>
                </c:pt>
                <c:pt idx="43">
                  <c:v>412.41858248231324</c:v>
                </c:pt>
                <c:pt idx="44">
                  <c:v>437.74439157568878</c:v>
                </c:pt>
                <c:pt idx="45">
                  <c:v>463.03878041146322</c:v>
                </c:pt>
                <c:pt idx="46">
                  <c:v>425.30770062156677</c:v>
                </c:pt>
                <c:pt idx="47">
                  <c:v>449.7297354951624</c:v>
                </c:pt>
                <c:pt idx="48">
                  <c:v>474.12340797215137</c:v>
                </c:pt>
                <c:pt idx="49">
                  <c:v>498.49038104754032</c:v>
                </c:pt>
                <c:pt idx="50">
                  <c:v>522.83214202266061</c:v>
                </c:pt>
                <c:pt idx="51">
                  <c:v>483.43022788495313</c:v>
                </c:pt>
                <c:pt idx="52">
                  <c:v>506.01682508175617</c:v>
                </c:pt>
                <c:pt idx="53">
                  <c:v>528.58211378930434</c:v>
                </c:pt>
                <c:pt idx="54">
                  <c:v>551.12713076815692</c:v>
                </c:pt>
                <c:pt idx="55">
                  <c:v>573.65282111998749</c:v>
                </c:pt>
                <c:pt idx="56">
                  <c:v>532.56209117756305</c:v>
                </c:pt>
                <c:pt idx="57">
                  <c:v>553.33637170601048</c:v>
                </c:pt>
                <c:pt idx="58">
                  <c:v>574.094314073443</c:v>
                </c:pt>
                <c:pt idx="59">
                  <c:v>594.83659163226582</c:v>
                </c:pt>
                <c:pt idx="60">
                  <c:v>615.56382698883351</c:v>
                </c:pt>
                <c:pt idx="61">
                  <c:v>573.211321070851</c:v>
                </c:pt>
                <c:pt idx="62">
                  <c:v>592.63069187888505</c:v>
                </c:pt>
                <c:pt idx="63">
                  <c:v>612.03682380942712</c:v>
                </c:pt>
                <c:pt idx="64">
                  <c:v>631.4301953592875</c:v>
                </c:pt>
                <c:pt idx="65">
                  <c:v>650.81125326279141</c:v>
                </c:pt>
                <c:pt idx="66">
                  <c:v>607.18650523611598</c:v>
                </c:pt>
                <c:pt idx="67">
                  <c:v>625.26093350286089</c:v>
                </c:pt>
                <c:pt idx="68">
                  <c:v>643.32454970129436</c:v>
                </c:pt>
                <c:pt idx="69">
                  <c:v>661.37769991395851</c:v>
                </c:pt>
                <c:pt idx="70">
                  <c:v>679.42070980579172</c:v>
                </c:pt>
                <c:pt idx="71">
                  <c:v>634.51435801627883</c:v>
                </c:pt>
                <c:pt idx="72">
                  <c:v>651.25159207068884</c:v>
                </c:pt>
                <c:pt idx="73">
                  <c:v>667.97996079591962</c:v>
                </c:pt>
                <c:pt idx="74">
                  <c:v>684.69971730434372</c:v>
                </c:pt>
                <c:pt idx="75">
                  <c:v>701.4111013489877</c:v>
                </c:pt>
                <c:pt idx="76">
                  <c:v>655.6546433063462</c:v>
                </c:pt>
                <c:pt idx="77">
                  <c:v>671.50061699832099</c:v>
                </c:pt>
                <c:pt idx="78">
                  <c:v>687.33890753222886</c:v>
                </c:pt>
                <c:pt idx="79">
                  <c:v>703.1697167561415</c:v>
                </c:pt>
                <c:pt idx="80">
                  <c:v>718.99323669563557</c:v>
                </c:pt>
                <c:pt idx="81">
                  <c:v>672.38072168310873</c:v>
                </c:pt>
                <c:pt idx="82">
                  <c:v>687.33890753222886</c:v>
                </c:pt>
                <c:pt idx="83">
                  <c:v>702.29042031636936</c:v>
                </c:pt>
                <c:pt idx="84">
                  <c:v>717.23542201586213</c:v>
                </c:pt>
                <c:pt idx="85">
                  <c:v>732.17406731534845</c:v>
                </c:pt>
                <c:pt idx="86">
                  <c:v>684.69971730434372</c:v>
                </c:pt>
                <c:pt idx="87">
                  <c:v>698.77300895828603</c:v>
                </c:pt>
                <c:pt idx="88">
                  <c:v>712.84049990701249</c:v>
                </c:pt>
                <c:pt idx="89">
                  <c:v>726.90232067651914</c:v>
                </c:pt>
                <c:pt idx="90">
                  <c:v>740.9585963345786</c:v>
                </c:pt>
                <c:pt idx="91">
                  <c:v>693.05644139351307</c:v>
                </c:pt>
                <c:pt idx="92">
                  <c:v>706.68667788099856</c:v>
                </c:pt>
                <c:pt idx="93">
                  <c:v>720.31154012281229</c:v>
                </c:pt>
                <c:pt idx="94">
                  <c:v>733.9311440317606</c:v>
                </c:pt>
                <c:pt idx="95">
                  <c:v>747.54560087081654</c:v>
                </c:pt>
                <c:pt idx="96">
                  <c:v>698.33330709188249</c:v>
                </c:pt>
                <c:pt idx="97">
                  <c:v>710.6428314634428</c:v>
                </c:pt>
                <c:pt idx="98">
                  <c:v>722.94799935390427</c:v>
                </c:pt>
                <c:pt idx="99">
                  <c:v>735.24889532269879</c:v>
                </c:pt>
                <c:pt idx="100">
                  <c:v>747.54560087081688</c:v>
                </c:pt>
                <c:pt idx="101">
                  <c:v>699.65239570232325</c:v>
                </c:pt>
                <c:pt idx="102">
                  <c:v>711.0823762492754</c:v>
                </c:pt>
                <c:pt idx="103">
                  <c:v>722.50860312553993</c:v>
                </c:pt>
                <c:pt idx="104">
                  <c:v>733.9311440317606</c:v>
                </c:pt>
                <c:pt idx="105">
                  <c:v>745.35006439052552</c:v>
                </c:pt>
                <c:pt idx="106">
                  <c:v>756.76542745747668</c:v>
                </c:pt>
                <c:pt idx="107">
                  <c:v>768.1772944253745</c:v>
                </c:pt>
                <c:pt idx="108">
                  <c:v>779.58572452165799</c:v>
                </c:pt>
                <c:pt idx="109">
                  <c:v>790.99077510000416</c:v>
                </c:pt>
                <c:pt idx="110">
                  <c:v>802.39250172633376</c:v>
                </c:pt>
                <c:pt idx="111">
                  <c:v>700.97143340736932</c:v>
                </c:pt>
                <c:pt idx="112">
                  <c:v>711.52191548263534</c:v>
                </c:pt>
                <c:pt idx="113">
                  <c:v>722.06920144483729</c:v>
                </c:pt>
                <c:pt idx="114">
                  <c:v>732.61334454063854</c:v>
                </c:pt>
                <c:pt idx="115">
                  <c:v>743.15439635970415</c:v>
                </c:pt>
                <c:pt idx="116">
                  <c:v>699.65239570232325</c:v>
                </c:pt>
                <c:pt idx="117">
                  <c:v>708.884596716891</c:v>
                </c:pt>
                <c:pt idx="118">
                  <c:v>718.11434033663784</c:v>
                </c:pt>
                <c:pt idx="119">
                  <c:v>727.34166258874723</c:v>
                </c:pt>
                <c:pt idx="120">
                  <c:v>736.56659851205734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3.113945541916562</c:v>
                </c:pt>
                <c:pt idx="2">
                  <c:v>3.5503730087223722</c:v>
                </c:pt>
                <c:pt idx="3">
                  <c:v>4.0481828196530492</c:v>
                </c:pt>
                <c:pt idx="4">
                  <c:v>4.6160369143549937</c:v>
                </c:pt>
                <c:pt idx="5">
                  <c:v>5.2638233537442369</c:v>
                </c:pt>
                <c:pt idx="6">
                  <c:v>6.0028303815790593</c:v>
                </c:pt>
                <c:pt idx="7">
                  <c:v>6.8459452618662198</c:v>
                </c:pt>
                <c:pt idx="8">
                  <c:v>7.8078814273157144</c:v>
                </c:pt>
                <c:pt idx="9">
                  <c:v>8.9054379796212881</c:v>
                </c:pt>
                <c:pt idx="10">
                  <c:v>10.157796160352767</c:v>
                </c:pt>
                <c:pt idx="11">
                  <c:v>11.586858072102316</c:v>
                </c:pt>
                <c:pt idx="12">
                  <c:v>13.217633685126408</c:v>
                </c:pt>
                <c:pt idx="13">
                  <c:v>15.078683028676075</c:v>
                </c:pt>
                <c:pt idx="14">
                  <c:v>17.202621454074428</c:v>
                </c:pt>
                <c:pt idx="15">
                  <c:v>19.626696986187671</c:v>
                </c:pt>
                <c:pt idx="16">
                  <c:v>22.393450071609919</c:v>
                </c:pt>
                <c:pt idx="17">
                  <c:v>25.551467508941673</c:v>
                </c:pt>
                <c:pt idx="18">
                  <c:v>29.156244035638881</c:v>
                </c:pt>
                <c:pt idx="19">
                  <c:v>33.271166977534087</c:v>
                </c:pt>
                <c:pt idx="20">
                  <c:v>37.968641576163897</c:v>
                </c:pt>
                <c:pt idx="21">
                  <c:v>43.331377135382525</c:v>
                </c:pt>
                <c:pt idx="22">
                  <c:v>49.453857018052851</c:v>
                </c:pt>
                <c:pt idx="23">
                  <c:v>56.444018828116505</c:v>
                </c:pt>
                <c:pt idx="24">
                  <c:v>64.425174892809764</c:v>
                </c:pt>
                <c:pt idx="25">
                  <c:v>73.538207482585321</c:v>
                </c:pt>
                <c:pt idx="26">
                  <c:v>84.960675105658922</c:v>
                </c:pt>
                <c:pt idx="27">
                  <c:v>96.34440998362345</c:v>
                </c:pt>
                <c:pt idx="28">
                  <c:v>107.69464401429015</c:v>
                </c:pt>
                <c:pt idx="29">
                  <c:v>119.01541177700146</c:v>
                </c:pt>
                <c:pt idx="30">
                  <c:v>130.30991517841116</c:v>
                </c:pt>
                <c:pt idx="31">
                  <c:v>142.04989216192442</c:v>
                </c:pt>
                <c:pt idx="32">
                  <c:v>153.76661212101567</c:v>
                </c:pt>
                <c:pt idx="33">
                  <c:v>165.46209858933358</c:v>
                </c:pt>
                <c:pt idx="34">
                  <c:v>177.13806521004514</c:v>
                </c:pt>
                <c:pt idx="35">
                  <c:v>188.79598094832463</c:v>
                </c:pt>
                <c:pt idx="36">
                  <c:v>171.06890310603498</c:v>
                </c:pt>
                <c:pt idx="37">
                  <c:v>183.6686363162344</c:v>
                </c:pt>
                <c:pt idx="38">
                  <c:v>196.24816859291039</c:v>
                </c:pt>
                <c:pt idx="39">
                  <c:v>208.80897802102797</c:v>
                </c:pt>
                <c:pt idx="40">
                  <c:v>221.35235015777684</c:v>
                </c:pt>
                <c:pt idx="41">
                  <c:v>201.83298159430865</c:v>
                </c:pt>
                <c:pt idx="42">
                  <c:v>214.85048322218776</c:v>
                </c:pt>
                <c:pt idx="43">
                  <c:v>227.84983423962134</c:v>
                </c:pt>
                <c:pt idx="44">
                  <c:v>240.83221650658706</c:v>
                </c:pt>
                <c:pt idx="45">
                  <c:v>253.79867396956936</c:v>
                </c:pt>
                <c:pt idx="46">
                  <c:v>234.34307827690756</c:v>
                </c:pt>
                <c:pt idx="47">
                  <c:v>247.31737533025003</c:v>
                </c:pt>
                <c:pt idx="48">
                  <c:v>260.2762250512057</c:v>
                </c:pt>
                <c:pt idx="49">
                  <c:v>273.220505160855</c:v>
                </c:pt>
                <c:pt idx="50">
                  <c:v>286.1510033812761</c:v>
                </c:pt>
                <c:pt idx="51">
                  <c:v>266.75013513037203</c:v>
                </c:pt>
                <c:pt idx="52">
                  <c:v>279.68743091813337</c:v>
                </c:pt>
                <c:pt idx="53">
                  <c:v>292.61130907849321</c:v>
                </c:pt>
                <c:pt idx="54">
                  <c:v>305.52244588564616</c:v>
                </c:pt>
                <c:pt idx="55">
                  <c:v>318.42145576976316</c:v>
                </c:pt>
                <c:pt idx="56">
                  <c:v>298.60731135776933</c:v>
                </c:pt>
                <c:pt idx="57">
                  <c:v>311.05204406793172</c:v>
                </c:pt>
                <c:pt idx="58">
                  <c:v>323.48573000787144</c:v>
                </c:pt>
                <c:pt idx="59">
                  <c:v>335.90885371669856</c:v>
                </c:pt>
                <c:pt idx="60">
                  <c:v>348.32186095767742</c:v>
                </c:pt>
                <c:pt idx="61">
                  <c:v>328.54825156463437</c:v>
                </c:pt>
                <c:pt idx="62">
                  <c:v>340.96720197828142</c:v>
                </c:pt>
                <c:pt idx="63">
                  <c:v>353.37620745071621</c:v>
                </c:pt>
                <c:pt idx="64">
                  <c:v>365.77566648144415</c:v>
                </c:pt>
                <c:pt idx="65">
                  <c:v>378.1659483420201</c:v>
                </c:pt>
                <c:pt idx="66">
                  <c:v>357.51040237087665</c:v>
                </c:pt>
                <c:pt idx="67">
                  <c:v>368.98882872292899</c:v>
                </c:pt>
                <c:pt idx="68">
                  <c:v>380.45946570848531</c:v>
                </c:pt>
                <c:pt idx="69">
                  <c:v>391.92258132889066</c:v>
                </c:pt>
                <c:pt idx="70">
                  <c:v>403.3784266253918</c:v>
                </c:pt>
                <c:pt idx="71">
                  <c:v>382.75268227452915</c:v>
                </c:pt>
                <c:pt idx="72">
                  <c:v>394.21432426135442</c:v>
                </c:pt>
                <c:pt idx="73">
                  <c:v>405.66874423568089</c:v>
                </c:pt>
                <c:pt idx="74">
                  <c:v>417.1161748963454</c:v>
                </c:pt>
                <c:pt idx="75">
                  <c:v>428.55683512546557</c:v>
                </c:pt>
                <c:pt idx="76">
                  <c:v>407.04280051298912</c:v>
                </c:pt>
                <c:pt idx="77">
                  <c:v>417.57392988530063</c:v>
                </c:pt>
                <c:pt idx="78">
                  <c:v>428.09933608237338</c:v>
                </c:pt>
                <c:pt idx="79">
                  <c:v>438.61917968565263</c:v>
                </c:pt>
                <c:pt idx="80">
                  <c:v>449.1336129437538</c:v>
                </c:pt>
                <c:pt idx="81">
                  <c:v>427.18430644135782</c:v>
                </c:pt>
                <c:pt idx="82">
                  <c:v>437.24733617095717</c:v>
                </c:pt>
                <c:pt idx="83">
                  <c:v>447.30539808561917</c:v>
                </c:pt>
                <c:pt idx="84">
                  <c:v>457.35861966649367</c:v>
                </c:pt>
                <c:pt idx="85">
                  <c:v>467.40712233198587</c:v>
                </c:pt>
                <c:pt idx="86">
                  <c:v>445.01990443229971</c:v>
                </c:pt>
                <c:pt idx="87">
                  <c:v>454.61730495685168</c:v>
                </c:pt>
                <c:pt idx="88">
                  <c:v>464.21037620075805</c:v>
                </c:pt>
                <c:pt idx="89">
                  <c:v>473.79922026656277</c:v>
                </c:pt>
                <c:pt idx="90">
                  <c:v>483.38393478600671</c:v>
                </c:pt>
                <c:pt idx="91">
                  <c:v>460.09958341480302</c:v>
                </c:pt>
                <c:pt idx="92">
                  <c:v>468.77701352901096</c:v>
                </c:pt>
                <c:pt idx="93">
                  <c:v>477.45102185302648</c:v>
                </c:pt>
                <c:pt idx="94">
                  <c:v>486.12167933752761</c:v>
                </c:pt>
                <c:pt idx="95">
                  <c:v>494.78905419497386</c:v>
                </c:pt>
                <c:pt idx="96">
                  <c:v>471.05997610454193</c:v>
                </c:pt>
                <c:pt idx="97">
                  <c:v>479.27669956446061</c:v>
                </c:pt>
                <c:pt idx="98">
                  <c:v>487.49042873157458</c:v>
                </c:pt>
                <c:pt idx="99">
                  <c:v>495.70122118881324</c:v>
                </c:pt>
                <c:pt idx="100">
                  <c:v>503.90913245527832</c:v>
                </c:pt>
                <c:pt idx="101">
                  <c:v>479.27669956446061</c:v>
                </c:pt>
                <c:pt idx="102">
                  <c:v>486.57793821511638</c:v>
                </c:pt>
                <c:pt idx="103">
                  <c:v>493.87685155793497</c:v>
                </c:pt>
                <c:pt idx="104">
                  <c:v>501.17347881997517</c:v>
                </c:pt>
                <c:pt idx="105">
                  <c:v>508.46785799243185</c:v>
                </c:pt>
                <c:pt idx="106">
                  <c:v>483.38393478600648</c:v>
                </c:pt>
                <c:pt idx="107">
                  <c:v>490.22768306866232</c:v>
                </c:pt>
                <c:pt idx="108">
                  <c:v>497.06940501240166</c:v>
                </c:pt>
                <c:pt idx="109">
                  <c:v>503.90913245527832</c:v>
                </c:pt>
                <c:pt idx="110">
                  <c:v>510.74689630015126</c:v>
                </c:pt>
                <c:pt idx="111">
                  <c:v>487.03418800989147</c:v>
                </c:pt>
                <c:pt idx="112">
                  <c:v>492.96461320246772</c:v>
                </c:pt>
                <c:pt idx="113">
                  <c:v>498.89352605617364</c:v>
                </c:pt>
                <c:pt idx="114">
                  <c:v>504.82094708965923</c:v>
                </c:pt>
                <c:pt idx="115">
                  <c:v>510.74689630015109</c:v>
                </c:pt>
                <c:pt idx="116">
                  <c:v>487.94666038986696</c:v>
                </c:pt>
                <c:pt idx="117">
                  <c:v>494.78905419497352</c:v>
                </c:pt>
                <c:pt idx="118">
                  <c:v>501.62944299248062</c:v>
                </c:pt>
                <c:pt idx="119">
                  <c:v>508.46785799243179</c:v>
                </c:pt>
                <c:pt idx="120">
                  <c:v>515.30432949652698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2.0736705930416708</c:v>
                </c:pt>
                <c:pt idx="2">
                  <c:v>2.4825249280482562</c:v>
                </c:pt>
                <c:pt idx="3">
                  <c:v>2.9722948868888355</c:v>
                </c:pt>
                <c:pt idx="4">
                  <c:v>3.5590512286161178</c:v>
                </c:pt>
                <c:pt idx="5">
                  <c:v>4.2620671532813672</c:v>
                </c:pt>
                <c:pt idx="6">
                  <c:v>5.104458426753971</c:v>
                </c:pt>
                <c:pt idx="7">
                  <c:v>6.1139518226557783</c:v>
                </c:pt>
                <c:pt idx="8">
                  <c:v>7.3238076707277555</c:v>
                </c:pt>
                <c:pt idx="9">
                  <c:v>8.773927496504955</c:v>
                </c:pt>
                <c:pt idx="10">
                  <c:v>10.512183981714756</c:v>
                </c:pt>
                <c:pt idx="11">
                  <c:v>12.59601798053852</c:v>
                </c:pt>
                <c:pt idx="12">
                  <c:v>15.094356348997385</c:v>
                </c:pt>
                <c:pt idx="13">
                  <c:v>18.089915190183103</c:v>
                </c:pt>
                <c:pt idx="14">
                  <c:v>21.681966156034065</c:v>
                </c:pt>
                <c:pt idx="15">
                  <c:v>25.989659120911373</c:v>
                </c:pt>
                <c:pt idx="16">
                  <c:v>31.156013387500014</c:v>
                </c:pt>
                <c:pt idx="17">
                  <c:v>37.352712244073444</c:v>
                </c:pt>
                <c:pt idx="18">
                  <c:v>44.785862936855693</c:v>
                </c:pt>
                <c:pt idx="19">
                  <c:v>53.702916881953875</c:v>
                </c:pt>
                <c:pt idx="20">
                  <c:v>64.400984336797691</c:v>
                </c:pt>
                <c:pt idx="21">
                  <c:v>72.736463361162052</c:v>
                </c:pt>
                <c:pt idx="22">
                  <c:v>81.047497498362148</c:v>
                </c:pt>
                <c:pt idx="23">
                  <c:v>89.336953064344087</c:v>
                </c:pt>
                <c:pt idx="24">
                  <c:v>97.607118971069283</c:v>
                </c:pt>
                <c:pt idx="25">
                  <c:v>105.85986329993615</c:v>
                </c:pt>
                <c:pt idx="26">
                  <c:v>116.15363531799953</c:v>
                </c:pt>
                <c:pt idx="27">
                  <c:v>126.42510605145075</c:v>
                </c:pt>
                <c:pt idx="28">
                  <c:v>136.67634522884143</c:v>
                </c:pt>
                <c:pt idx="29">
                  <c:v>146.90908607065367</c:v>
                </c:pt>
                <c:pt idx="30">
                  <c:v>157.12480016409424</c:v>
                </c:pt>
                <c:pt idx="31">
                  <c:v>126.42510605145075</c:v>
                </c:pt>
                <c:pt idx="32">
                  <c:v>138.13926103387723</c:v>
                </c:pt>
                <c:pt idx="33">
                  <c:v>149.82954016541169</c:v>
                </c:pt>
                <c:pt idx="34">
                  <c:v>161.49807067148291</c:v>
                </c:pt>
                <c:pt idx="35">
                  <c:v>173.14664675554297</c:v>
                </c:pt>
                <c:pt idx="36">
                  <c:v>154.791212197665</c:v>
                </c:pt>
                <c:pt idx="37">
                  <c:v>167.03353298741314</c:v>
                </c:pt>
                <c:pt idx="38">
                  <c:v>179.25468649117639</c:v>
                </c:pt>
                <c:pt idx="39">
                  <c:v>191.45632021479813</c:v>
                </c:pt>
                <c:pt idx="40">
                  <c:v>203.63985426583091</c:v>
                </c:pt>
                <c:pt idx="41">
                  <c:v>185.3578498069385</c:v>
                </c:pt>
                <c:pt idx="42">
                  <c:v>197.5502685595452</c:v>
                </c:pt>
                <c:pt idx="43">
                  <c:v>209.72522642799001</c:v>
                </c:pt>
                <c:pt idx="44">
                  <c:v>221.88388047112767</c:v>
                </c:pt>
                <c:pt idx="45">
                  <c:v>234.02725047186388</c:v>
                </c:pt>
                <c:pt idx="46">
                  <c:v>215.5170295411389</c:v>
                </c:pt>
                <c:pt idx="47">
                  <c:v>227.37914621653621</c:v>
                </c:pt>
                <c:pt idx="48">
                  <c:v>239.2271010331298</c:v>
                </c:pt>
                <c:pt idx="49">
                  <c:v>251.06169458557397</c:v>
                </c:pt>
                <c:pt idx="50">
                  <c:v>262.8836457748352</c:v>
                </c:pt>
                <c:pt idx="51">
                  <c:v>244.13570624979195</c:v>
                </c:pt>
                <c:pt idx="52">
                  <c:v>255.67660587898322</c:v>
                </c:pt>
                <c:pt idx="53">
                  <c:v>267.20572099343701</c:v>
                </c:pt>
                <c:pt idx="54">
                  <c:v>278.723631976729</c:v>
                </c:pt>
                <c:pt idx="55">
                  <c:v>290.23086730017536</c:v>
                </c:pt>
                <c:pt idx="56">
                  <c:v>270.95024442791089</c:v>
                </c:pt>
                <c:pt idx="57">
                  <c:v>281.88916467282769</c:v>
                </c:pt>
                <c:pt idx="58">
                  <c:v>292.81857421305534</c:v>
                </c:pt>
                <c:pt idx="59">
                  <c:v>303.73887825775086</c:v>
                </c:pt>
                <c:pt idx="60">
                  <c:v>314.65045048417016</c:v>
                </c:pt>
                <c:pt idx="61">
                  <c:v>294.83088185618146</c:v>
                </c:pt>
                <c:pt idx="62">
                  <c:v>305.17510260314924</c:v>
                </c:pt>
                <c:pt idx="63">
                  <c:v>315.51152888688659</c:v>
                </c:pt>
                <c:pt idx="64">
                  <c:v>325.8404521993736</c:v>
                </c:pt>
                <c:pt idx="65">
                  <c:v>336.16214403365615</c:v>
                </c:pt>
                <c:pt idx="66">
                  <c:v>315.79854343698958</c:v>
                </c:pt>
                <c:pt idx="67">
                  <c:v>325.55363652329186</c:v>
                </c:pt>
                <c:pt idx="68">
                  <c:v>335.30227295269918</c:v>
                </c:pt>
                <c:pt idx="69">
                  <c:v>345.04466702322998</c:v>
                </c:pt>
                <c:pt idx="70">
                  <c:v>354.78101993685891</c:v>
                </c:pt>
                <c:pt idx="71">
                  <c:v>333.58238487409534</c:v>
                </c:pt>
                <c:pt idx="72">
                  <c:v>342.46639395307403</c:v>
                </c:pt>
                <c:pt idx="73">
                  <c:v>351.34533779988072</c:v>
                </c:pt>
                <c:pt idx="74">
                  <c:v>360.21936255423617</c:v>
                </c:pt>
                <c:pt idx="75">
                  <c:v>369.08860656335196</c:v>
                </c:pt>
                <c:pt idx="76">
                  <c:v>347.62251685912901</c:v>
                </c:pt>
                <c:pt idx="77">
                  <c:v>356.21233858420209</c:v>
                </c:pt>
                <c:pt idx="78">
                  <c:v>364.7976254144935</c:v>
                </c:pt>
                <c:pt idx="79">
                  <c:v>373.37849919705491</c:v>
                </c:pt>
                <c:pt idx="80">
                  <c:v>381.95507571785947</c:v>
                </c:pt>
                <c:pt idx="81">
                  <c:v>360.21936255423617</c:v>
                </c:pt>
                <c:pt idx="82">
                  <c:v>368.51653895153339</c:v>
                </c:pt>
                <c:pt idx="83">
                  <c:v>376.80963918625883</c:v>
                </c:pt>
                <c:pt idx="84">
                  <c:v>385.09876568097229</c:v>
                </c:pt>
                <c:pt idx="85">
                  <c:v>393.38401608641078</c:v>
                </c:pt>
                <c:pt idx="86">
                  <c:v>371.09069104114747</c:v>
                </c:pt>
                <c:pt idx="87">
                  <c:v>378.81082287270925</c:v>
                </c:pt>
                <c:pt idx="88">
                  <c:v>386.5275310109509</c:v>
                </c:pt>
                <c:pt idx="89">
                  <c:v>394.24089349639394</c:v>
                </c:pt>
                <c:pt idx="90">
                  <c:v>401.95098506454946</c:v>
                </c:pt>
                <c:pt idx="91">
                  <c:v>381.95507571785942</c:v>
                </c:pt>
                <c:pt idx="92">
                  <c:v>391.95579706633157</c:v>
                </c:pt>
                <c:pt idx="93">
                  <c:v>401.95098506454946</c:v>
                </c:pt>
                <c:pt idx="94">
                  <c:v>411.940796757839</c:v>
                </c:pt>
                <c:pt idx="95">
                  <c:v>421.92538095054562</c:v>
                </c:pt>
                <c:pt idx="96">
                  <c:v>395.95452728081585</c:v>
                </c:pt>
                <c:pt idx="97">
                  <c:v>399.95238247192287</c:v>
                </c:pt>
                <c:pt idx="98">
                  <c:v>403.94937263132101</c:v>
                </c:pt>
                <c:pt idx="99">
                  <c:v>407.94550753657609</c:v>
                </c:pt>
                <c:pt idx="100">
                  <c:v>411.94079675783911</c:v>
                </c:pt>
                <c:pt idx="101">
                  <c:v>388.24189801221178</c:v>
                </c:pt>
                <c:pt idx="102">
                  <c:v>394.52651032175959</c:v>
                </c:pt>
                <c:pt idx="103">
                  <c:v>400.80895284839431</c:v>
                </c:pt>
                <c:pt idx="104">
                  <c:v>407.08926442980305</c:v>
                </c:pt>
                <c:pt idx="105">
                  <c:v>413.3674826065606</c:v>
                </c:pt>
                <c:pt idx="106">
                  <c:v>419.64364368493187</c:v>
                </c:pt>
                <c:pt idx="107">
                  <c:v>425.91778279571855</c:v>
                </c:pt>
                <c:pt idx="108">
                  <c:v>432.18993394945642</c:v>
                </c:pt>
                <c:pt idx="109">
                  <c:v>438.46013008823849</c:v>
                </c:pt>
                <c:pt idx="110">
                  <c:v>444.72840313441935</c:v>
                </c:pt>
                <c:pt idx="111">
                  <c:v>394.5265103217593</c:v>
                </c:pt>
                <c:pt idx="112">
                  <c:v>399.9523824719227</c:v>
                </c:pt>
                <c:pt idx="113">
                  <c:v>405.37666134724623</c:v>
                </c:pt>
                <c:pt idx="114">
                  <c:v>410.79937129603883</c:v>
                </c:pt>
                <c:pt idx="115">
                  <c:v>416.22053597073165</c:v>
                </c:pt>
                <c:pt idx="116">
                  <c:v>395.66893283237999</c:v>
                </c:pt>
                <c:pt idx="117">
                  <c:v>400.80895284839431</c:v>
                </c:pt>
                <c:pt idx="118">
                  <c:v>405.9475463877971</c:v>
                </c:pt>
                <c:pt idx="119">
                  <c:v>411.08473407358116</c:v>
                </c:pt>
                <c:pt idx="120">
                  <c:v>416.22053597073187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1.9897619947882648</c:v>
                </c:pt>
                <c:pt idx="2">
                  <c:v>2.552996102096587</c:v>
                </c:pt>
                <c:pt idx="3">
                  <c:v>3.2763048074509658</c:v>
                </c:pt>
                <c:pt idx="4">
                  <c:v>4.2053545364457383</c:v>
                </c:pt>
                <c:pt idx="5">
                  <c:v>5.3988855456307512</c:v>
                </c:pt>
                <c:pt idx="6">
                  <c:v>6.9324670734462677</c:v>
                </c:pt>
                <c:pt idx="7">
                  <c:v>8.9033343180521864</c:v>
                </c:pt>
                <c:pt idx="8">
                  <c:v>11.436619765722265</c:v>
                </c:pt>
                <c:pt idx="9">
                  <c:v>14.693381903188557</c:v>
                </c:pt>
                <c:pt idx="10">
                  <c:v>18.880951128950827</c:v>
                </c:pt>
                <c:pt idx="11">
                  <c:v>24.266263373552302</c:v>
                </c:pt>
                <c:pt idx="12">
                  <c:v>31.193046415276033</c:v>
                </c:pt>
                <c:pt idx="13">
                  <c:v>40.10397488031095</c:v>
                </c:pt>
                <c:pt idx="14">
                  <c:v>51.569233906282783</c:v>
                </c:pt>
                <c:pt idx="15">
                  <c:v>66.323349688114789</c:v>
                </c:pt>
                <c:pt idx="16">
                  <c:v>92.52086174225677</c:v>
                </c:pt>
                <c:pt idx="17">
                  <c:v>118.53116912117031</c:v>
                </c:pt>
                <c:pt idx="18">
                  <c:v>144.4015398483165</c:v>
                </c:pt>
                <c:pt idx="19">
                  <c:v>170.16069105127073</c:v>
                </c:pt>
                <c:pt idx="20">
                  <c:v>135.53069857495038</c:v>
                </c:pt>
                <c:pt idx="21">
                  <c:v>161.15012092979916</c:v>
                </c:pt>
                <c:pt idx="22">
                  <c:v>186.67293481199212</c:v>
                </c:pt>
                <c:pt idx="23">
                  <c:v>212.11422506599504</c:v>
                </c:pt>
                <c:pt idx="24">
                  <c:v>237.48514992227561</c:v>
                </c:pt>
                <c:pt idx="25">
                  <c:v>206.35939041736609</c:v>
                </c:pt>
                <c:pt idx="26">
                  <c:v>233.2697466941612</c:v>
                </c:pt>
                <c:pt idx="27">
                  <c:v>260.10919155228936</c:v>
                </c:pt>
                <c:pt idx="28">
                  <c:v>286.8860689751682</c:v>
                </c:pt>
                <c:pt idx="29">
                  <c:v>313.60703674466691</c:v>
                </c:pt>
                <c:pt idx="30">
                  <c:v>340.27752501668795</c:v>
                </c:pt>
                <c:pt idx="31">
                  <c:v>278.36609264736131</c:v>
                </c:pt>
                <c:pt idx="32">
                  <c:v>302.23179355590872</c:v>
                </c:pt>
                <c:pt idx="33">
                  <c:v>329.55032341167646</c:v>
                </c:pt>
                <c:pt idx="34">
                  <c:v>356.81889117361993</c:v>
                </c:pt>
                <c:pt idx="35">
                  <c:v>384.04184826296768</c:v>
                </c:pt>
                <c:pt idx="36">
                  <c:v>411.22287909086322</c:v>
                </c:pt>
                <c:pt idx="37">
                  <c:v>438.36514154393308</c:v>
                </c:pt>
                <c:pt idx="38">
                  <c:v>394.20159315580548</c:v>
                </c:pt>
                <c:pt idx="39">
                  <c:v>419.98968010727327</c:v>
                </c:pt>
                <c:pt idx="40">
                  <c:v>445.74367122576996</c:v>
                </c:pt>
                <c:pt idx="41">
                  <c:v>471.46581141120981</c:v>
                </c:pt>
                <c:pt idx="42">
                  <c:v>497.59132076910754</c:v>
                </c:pt>
                <c:pt idx="43">
                  <c:v>523.68779015923326</c:v>
                </c:pt>
                <c:pt idx="44">
                  <c:v>549.75686849194506</c:v>
                </c:pt>
                <c:pt idx="45">
                  <c:v>575.80003571503119</c:v>
                </c:pt>
                <c:pt idx="46">
                  <c:v>601.81862713859357</c:v>
                </c:pt>
                <c:pt idx="47">
                  <c:v>506.5400029007132</c:v>
                </c:pt>
                <c:pt idx="48">
                  <c:v>528.83871919819615</c:v>
                </c:pt>
                <c:pt idx="49">
                  <c:v>551.11765041685078</c:v>
                </c:pt>
                <c:pt idx="50">
                  <c:v>573.37770811696282</c:v>
                </c:pt>
                <c:pt idx="51">
                  <c:v>596.09612790395624</c:v>
                </c:pt>
                <c:pt idx="52">
                  <c:v>618.79654510083196</c:v>
                </c:pt>
                <c:pt idx="53">
                  <c:v>641.47971233217879</c:v>
                </c:pt>
                <c:pt idx="54">
                  <c:v>664.14632471536174</c:v>
                </c:pt>
                <c:pt idx="55">
                  <c:v>686.79702610651418</c:v>
                </c:pt>
                <c:pt idx="56">
                  <c:v>709.43241448048059</c:v>
                </c:pt>
                <c:pt idx="57">
                  <c:v>627.29762465894169</c:v>
                </c:pt>
                <c:pt idx="58">
                  <c:v>642.12233625148656</c:v>
                </c:pt>
                <c:pt idx="59">
                  <c:v>656.93998369169697</c:v>
                </c:pt>
                <c:pt idx="60">
                  <c:v>671.75074866286002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1.5540203492146427</c:v>
                </c:pt>
                <c:pt idx="2">
                  <c:v>1.9710595943294553</c:v>
                </c:pt>
                <c:pt idx="3">
                  <c:v>2.5004677305616276</c:v>
                </c:pt>
                <c:pt idx="4">
                  <c:v>3.1726370094050123</c:v>
                </c:pt>
                <c:pt idx="5">
                  <c:v>4.0262090389534713</c:v>
                </c:pt>
                <c:pt idx="6">
                  <c:v>5.1103212885242639</c:v>
                </c:pt>
                <c:pt idx="7">
                  <c:v>6.4874672329145193</c:v>
                </c:pt>
                <c:pt idx="8">
                  <c:v>8.2371382210826081</c:v>
                </c:pt>
                <c:pt idx="9">
                  <c:v>10.460461311885025</c:v>
                </c:pt>
                <c:pt idx="10">
                  <c:v>13.286106181967314</c:v>
                </c:pt>
                <c:pt idx="11">
                  <c:v>16.877809282139697</c:v>
                </c:pt>
                <c:pt idx="12">
                  <c:v>21.443959171001595</c:v>
                </c:pt>
                <c:pt idx="13">
                  <c:v>27.249809096973291</c:v>
                </c:pt>
                <c:pt idx="14">
                  <c:v>34.633038719647061</c:v>
                </c:pt>
                <c:pt idx="15">
                  <c:v>44.023585661760478</c:v>
                </c:pt>
                <c:pt idx="16">
                  <c:v>55.968921241788202</c:v>
                </c:pt>
                <c:pt idx="17">
                  <c:v>71.166268419669663</c:v>
                </c:pt>
                <c:pt idx="18">
                  <c:v>90.503673059387893</c:v>
                </c:pt>
                <c:pt idx="19">
                  <c:v>115.11236680064013</c:v>
                </c:pt>
                <c:pt idx="20">
                  <c:v>146.43353271796309</c:v>
                </c:pt>
                <c:pt idx="21">
                  <c:v>116.8026363404107</c:v>
                </c:pt>
                <c:pt idx="22">
                  <c:v>128.06116259946739</c:v>
                </c:pt>
                <c:pt idx="23">
                  <c:v>139.29572121624975</c:v>
                </c:pt>
                <c:pt idx="24">
                  <c:v>150.5085198437738</c:v>
                </c:pt>
                <c:pt idx="25">
                  <c:v>161.70140970029556</c:v>
                </c:pt>
                <c:pt idx="26">
                  <c:v>172.87596436429328</c:v>
                </c:pt>
                <c:pt idx="27">
                  <c:v>184.03353707055848</c:v>
                </c:pt>
                <c:pt idx="28">
                  <c:v>195.17530334919044</c:v>
                </c:pt>
                <c:pt idx="29">
                  <c:v>206.30229339751153</c:v>
                </c:pt>
                <c:pt idx="30">
                  <c:v>217.41541708927389</c:v>
                </c:pt>
                <c:pt idx="31">
                  <c:v>180.99217685858619</c:v>
                </c:pt>
                <c:pt idx="32">
                  <c:v>195.17530334919044</c:v>
                </c:pt>
                <c:pt idx="33">
                  <c:v>209.33448475693987</c:v>
                </c:pt>
                <c:pt idx="34">
                  <c:v>223.47156942353161</c:v>
                </c:pt>
                <c:pt idx="35">
                  <c:v>237.58815254200749</c:v>
                </c:pt>
                <c:pt idx="36">
                  <c:v>251.68562413487288</c:v>
                </c:pt>
                <c:pt idx="37">
                  <c:v>265.76520570407024</c:v>
                </c:pt>
                <c:pt idx="38">
                  <c:v>279.82797869837384</c:v>
                </c:pt>
                <c:pt idx="39">
                  <c:v>293.8749069529452</c:v>
                </c:pt>
                <c:pt idx="40">
                  <c:v>307.90685461043864</c:v>
                </c:pt>
                <c:pt idx="41">
                  <c:v>271.79410793232609</c:v>
                </c:pt>
                <c:pt idx="42">
                  <c:v>285.8499784841336</c:v>
                </c:pt>
                <c:pt idx="43">
                  <c:v>299.89038593700792</c:v>
                </c:pt>
                <c:pt idx="44">
                  <c:v>313.91615631143901</c:v>
                </c:pt>
                <c:pt idx="45">
                  <c:v>327.92803577212442</c:v>
                </c:pt>
                <c:pt idx="46">
                  <c:v>341.92670150246295</c:v>
                </c:pt>
                <c:pt idx="47">
                  <c:v>355.91277070439509</c:v>
                </c:pt>
                <c:pt idx="48">
                  <c:v>369.88680810922136</c:v>
                </c:pt>
                <c:pt idx="49">
                  <c:v>383.84933229384137</c:v>
                </c:pt>
                <c:pt idx="50">
                  <c:v>397.80082102983079</c:v>
                </c:pt>
                <c:pt idx="51">
                  <c:v>360.90485169292782</c:v>
                </c:pt>
                <c:pt idx="52">
                  <c:v>373.87725393504803</c:v>
                </c:pt>
                <c:pt idx="53">
                  <c:v>386.83985045971798</c:v>
                </c:pt>
                <c:pt idx="54">
                  <c:v>399.79301616201769</c:v>
                </c:pt>
                <c:pt idx="55">
                  <c:v>412.73709966044299</c:v>
                </c:pt>
                <c:pt idx="56">
                  <c:v>425.67242592235567</c:v>
                </c:pt>
                <c:pt idx="57">
                  <c:v>438.59929855364618</c:v>
                </c:pt>
                <c:pt idx="58">
                  <c:v>451.51800180438869</c:v>
                </c:pt>
                <c:pt idx="59">
                  <c:v>464.4288023329982</c:v>
                </c:pt>
                <c:pt idx="60">
                  <c:v>477.33195076400972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6" t="s">
        <v>291</v>
      </c>
      <c r="C12" s="256"/>
      <c r="D12" s="256"/>
      <c r="E12" s="256"/>
      <c r="F12" s="256"/>
      <c r="G12" s="256"/>
      <c r="H12" s="256"/>
      <c r="I12" s="256"/>
      <c r="J12" s="256"/>
      <c r="K12" s="256"/>
      <c r="L12" s="256"/>
      <c r="M12" s="256"/>
    </row>
    <row r="13" spans="2:13" ht="15" customHeight="1" x14ac:dyDescent="0.25">
      <c r="B13" s="256"/>
      <c r="C13" s="256"/>
      <c r="D13" s="256"/>
      <c r="E13" s="256"/>
      <c r="F13" s="256"/>
      <c r="G13" s="256"/>
      <c r="H13" s="256"/>
      <c r="I13" s="256"/>
      <c r="J13" s="256"/>
      <c r="K13" s="256"/>
      <c r="L13" s="256"/>
      <c r="M13" s="256"/>
    </row>
    <row r="14" spans="2:13" ht="15" customHeight="1" x14ac:dyDescent="0.25">
      <c r="B14" s="256"/>
      <c r="C14" s="256"/>
      <c r="D14" s="256"/>
      <c r="E14" s="256"/>
      <c r="F14" s="256"/>
      <c r="G14" s="256"/>
      <c r="H14" s="256"/>
      <c r="I14" s="256"/>
      <c r="J14" s="256"/>
      <c r="K14" s="256"/>
      <c r="L14" s="256"/>
      <c r="M14" s="256"/>
    </row>
    <row r="15" spans="2:13" ht="18.75" customHeight="1" x14ac:dyDescent="0.25">
      <c r="B15" s="256"/>
      <c r="C15" s="256"/>
      <c r="D15" s="256"/>
      <c r="E15" s="256"/>
      <c r="F15" s="256"/>
      <c r="G15" s="256"/>
      <c r="H15" s="256"/>
      <c r="I15" s="256"/>
      <c r="J15" s="256"/>
      <c r="K15" s="256"/>
      <c r="L15" s="256"/>
      <c r="M15" s="256"/>
    </row>
    <row r="16" spans="2:13" ht="18.75" customHeight="1" x14ac:dyDescent="0.25">
      <c r="B16" s="256"/>
      <c r="C16" s="256"/>
      <c r="D16" s="256"/>
      <c r="E16" s="256"/>
      <c r="F16" s="256"/>
      <c r="G16" s="256"/>
      <c r="H16" s="256"/>
      <c r="I16" s="256"/>
      <c r="J16" s="256"/>
      <c r="K16" s="256"/>
      <c r="L16" s="256"/>
      <c r="M16" s="256"/>
    </row>
    <row r="18" spans="2:13" ht="12" customHeight="1" x14ac:dyDescent="0.25">
      <c r="B18" s="256" t="s">
        <v>292</v>
      </c>
      <c r="C18" s="256"/>
      <c r="D18" s="256"/>
      <c r="E18" s="256"/>
      <c r="F18" s="256"/>
      <c r="G18" s="256"/>
      <c r="H18" s="256"/>
      <c r="I18" s="256"/>
      <c r="J18" s="256"/>
      <c r="K18" s="256"/>
      <c r="L18" s="256"/>
      <c r="M18" s="256"/>
    </row>
    <row r="19" spans="2:13" ht="12" customHeight="1" x14ac:dyDescent="0.25">
      <c r="B19" s="256"/>
      <c r="C19" s="256"/>
      <c r="D19" s="256"/>
      <c r="E19" s="256"/>
      <c r="F19" s="256"/>
      <c r="G19" s="256"/>
      <c r="H19" s="256"/>
      <c r="I19" s="256"/>
      <c r="J19" s="256"/>
      <c r="K19" s="256"/>
      <c r="L19" s="256"/>
      <c r="M19" s="256"/>
    </row>
    <row r="20" spans="2:13" ht="12" customHeight="1" x14ac:dyDescent="0.25">
      <c r="B20" s="256"/>
      <c r="C20" s="256"/>
      <c r="D20" s="256"/>
      <c r="E20" s="256"/>
      <c r="F20" s="256"/>
      <c r="G20" s="256"/>
      <c r="H20" s="256"/>
      <c r="I20" s="256"/>
      <c r="J20" s="256"/>
      <c r="K20" s="256"/>
      <c r="L20" s="256"/>
      <c r="M20" s="256"/>
    </row>
    <row r="21" spans="2:13" ht="12" customHeight="1" x14ac:dyDescent="0.25">
      <c r="B21" s="256"/>
      <c r="C21" s="256"/>
      <c r="D21" s="256"/>
      <c r="E21" s="256"/>
      <c r="F21" s="256"/>
      <c r="G21" s="256"/>
      <c r="H21" s="256"/>
      <c r="I21" s="256"/>
      <c r="J21" s="256"/>
      <c r="K21" s="256"/>
      <c r="L21" s="256"/>
      <c r="M21" s="256"/>
    </row>
    <row r="22" spans="2:13" ht="12" customHeight="1" x14ac:dyDescent="0.25">
      <c r="B22" s="256"/>
      <c r="C22" s="256"/>
      <c r="D22" s="256"/>
      <c r="E22" s="256"/>
      <c r="F22" s="256"/>
      <c r="G22" s="256"/>
      <c r="H22" s="256"/>
      <c r="I22" s="256"/>
      <c r="J22" s="256"/>
      <c r="K22" s="256"/>
      <c r="L22" s="256"/>
      <c r="M22" s="256"/>
    </row>
    <row r="23" spans="2:13" ht="12" customHeight="1" x14ac:dyDescent="0.25">
      <c r="B23" s="256"/>
      <c r="C23" s="256"/>
      <c r="D23" s="256"/>
      <c r="E23" s="256"/>
      <c r="F23" s="256"/>
      <c r="G23" s="256"/>
      <c r="H23" s="256"/>
      <c r="I23" s="256"/>
      <c r="J23" s="256"/>
      <c r="K23" s="256"/>
      <c r="L23" s="256"/>
      <c r="M23" s="256"/>
    </row>
    <row r="24" spans="2:13" ht="12" customHeight="1" x14ac:dyDescent="0.25">
      <c r="B24" s="256"/>
      <c r="C24" s="256"/>
      <c r="D24" s="256"/>
      <c r="E24" s="256"/>
      <c r="F24" s="256"/>
      <c r="G24" s="256"/>
      <c r="H24" s="256"/>
      <c r="I24" s="256"/>
      <c r="J24" s="256"/>
      <c r="K24" s="256"/>
      <c r="L24" s="256"/>
      <c r="M24" s="256"/>
    </row>
    <row r="25" spans="2:13" ht="12" customHeight="1" x14ac:dyDescent="0.25">
      <c r="B25" s="256"/>
      <c r="C25" s="256"/>
      <c r="D25" s="256"/>
      <c r="E25" s="256"/>
      <c r="F25" s="256"/>
      <c r="G25" s="256"/>
      <c r="H25" s="256"/>
      <c r="I25" s="256"/>
      <c r="J25" s="256"/>
      <c r="K25" s="256"/>
      <c r="L25" s="256"/>
      <c r="M25" s="256"/>
    </row>
    <row r="26" spans="2:13" ht="12" customHeight="1" x14ac:dyDescent="0.25">
      <c r="B26" s="256"/>
      <c r="C26" s="256"/>
      <c r="D26" s="256"/>
      <c r="E26" s="256"/>
      <c r="F26" s="256"/>
      <c r="G26" s="256"/>
      <c r="H26" s="256"/>
      <c r="I26" s="256"/>
      <c r="J26" s="256"/>
      <c r="K26" s="256"/>
      <c r="L26" s="256"/>
      <c r="M26" s="256"/>
    </row>
    <row r="27" spans="2:13" ht="12" customHeight="1" x14ac:dyDescent="0.25">
      <c r="B27" s="256"/>
      <c r="C27" s="256"/>
      <c r="D27" s="256"/>
      <c r="E27" s="256"/>
      <c r="F27" s="256"/>
      <c r="G27" s="256"/>
      <c r="H27" s="256"/>
      <c r="I27" s="256"/>
      <c r="J27" s="256"/>
      <c r="K27" s="256"/>
      <c r="L27" s="256"/>
      <c r="M27" s="256"/>
    </row>
    <row r="28" spans="2:13" ht="12" customHeight="1" x14ac:dyDescent="0.25">
      <c r="B28" s="256"/>
      <c r="C28" s="256"/>
      <c r="D28" s="256"/>
      <c r="E28" s="256"/>
      <c r="F28" s="256"/>
      <c r="G28" s="256"/>
      <c r="H28" s="256"/>
      <c r="I28" s="256"/>
      <c r="J28" s="256"/>
      <c r="K28" s="256"/>
      <c r="L28" s="256"/>
      <c r="M28" s="256"/>
    </row>
    <row r="29" spans="2:13" ht="12" customHeight="1" x14ac:dyDescent="0.25">
      <c r="B29" s="256"/>
      <c r="C29" s="256"/>
      <c r="D29" s="256"/>
      <c r="E29" s="256"/>
      <c r="F29" s="256"/>
      <c r="G29" s="256"/>
      <c r="H29" s="256"/>
      <c r="I29" s="256"/>
      <c r="J29" s="256"/>
      <c r="K29" s="256"/>
      <c r="L29" s="256"/>
      <c r="M29" s="256"/>
    </row>
    <row r="30" spans="2:13" ht="12" customHeight="1" x14ac:dyDescent="0.25">
      <c r="B30" s="256"/>
      <c r="C30" s="256"/>
      <c r="D30" s="256"/>
      <c r="E30" s="256"/>
      <c r="F30" s="256"/>
      <c r="G30" s="256"/>
      <c r="H30" s="256"/>
      <c r="I30" s="256"/>
      <c r="J30" s="256"/>
      <c r="K30" s="256"/>
      <c r="L30" s="256"/>
      <c r="M30" s="256"/>
    </row>
    <row r="31" spans="2:13" ht="12" customHeight="1" x14ac:dyDescent="0.25">
      <c r="B31" s="256"/>
      <c r="C31" s="256"/>
      <c r="D31" s="256"/>
      <c r="E31" s="256"/>
      <c r="F31" s="256"/>
      <c r="G31" s="256"/>
      <c r="H31" s="256"/>
      <c r="I31" s="256"/>
      <c r="J31" s="256"/>
      <c r="K31" s="256"/>
      <c r="L31" s="256"/>
      <c r="M31" s="25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7" zoomScale="80" zoomScaleNormal="80" workbookViewId="0">
      <selection activeCell="E23" sqref="E23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57" t="s">
        <v>190</v>
      </c>
      <c r="D1" s="257"/>
      <c r="E1" s="257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0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2" t="s">
        <v>192</v>
      </c>
      <c r="C3" s="263"/>
      <c r="D3" s="263"/>
      <c r="E3" s="263"/>
      <c r="F3" s="264"/>
      <c r="G3" s="89"/>
      <c r="I3" s="210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7"/>
      <c r="I4" s="210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7" t="s">
        <v>231</v>
      </c>
      <c r="B5" s="267"/>
      <c r="C5" s="24">
        <v>2.931</v>
      </c>
      <c r="D5" s="268" t="s">
        <v>229</v>
      </c>
      <c r="E5" s="269"/>
      <c r="F5" s="90"/>
      <c r="G5" s="217"/>
      <c r="H5" s="217"/>
      <c r="I5" s="217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4"/>
      <c r="H6" s="204"/>
      <c r="I6" s="20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6" t="s">
        <v>226</v>
      </c>
      <c r="B7" s="266"/>
      <c r="C7" s="90"/>
      <c r="D7" s="90"/>
      <c r="E7" s="4"/>
      <c r="F7" s="90"/>
      <c r="G7" s="217"/>
      <c r="H7" s="217"/>
      <c r="I7" s="217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12</v>
      </c>
      <c r="C9" s="32">
        <v>5.0562000000000003E-2</v>
      </c>
      <c r="D9" s="33">
        <f t="shared" ref="D9:D18" si="0">C9*$C$5</f>
        <v>0.14819722200000002</v>
      </c>
      <c r="E9" s="34">
        <v>120</v>
      </c>
      <c r="F9" s="35" t="str">
        <f t="array" ref="F9">IF(E9="","",IF(INDEX(A:A,MAX(IF(ISNUMBER($A$36:$A$55),ROW($A$36:$A$55),"")))&lt;&gt;E9,"Corrigez : révolution incorrecte","OK"))</f>
        <v>OK</v>
      </c>
      <c r="G9" s="227" t="s">
        <v>306</v>
      </c>
      <c r="I9" s="225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9</v>
      </c>
      <c r="C10" s="32">
        <v>0.15168499999999999</v>
      </c>
      <c r="D10" s="33">
        <f t="shared" si="0"/>
        <v>0.44458873499999996</v>
      </c>
      <c r="E10" s="34">
        <v>120</v>
      </c>
      <c r="F10" s="35" t="str">
        <f t="array" ref="F10">IF(E10="","",IF(INDEX(A:A,MAX(IF(ISNUMBER($A$62:$A$81),ROW($A$62:$A$81),"")))&lt;&gt;E10,"Corrigez : révolution incorrecte","OK"))</f>
        <v>OK</v>
      </c>
      <c r="I10" s="225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 t="s">
        <v>52</v>
      </c>
      <c r="C11" s="32">
        <v>1.4045E-2</v>
      </c>
      <c r="D11" s="33">
        <f t="shared" si="0"/>
        <v>4.1165895000000001E-2</v>
      </c>
      <c r="E11" s="34">
        <v>120</v>
      </c>
      <c r="F11" s="35" t="str">
        <f t="array" ref="F11">IF(E11="","",IF(INDEX(A:A,MAX(IF(ISNUMBER($A$88:$A$107),ROW($A$88:$A$107),"")))&lt;&gt;E11,"Corrigez : révolution incorrecte","OK"))</f>
        <v>OK</v>
      </c>
      <c r="I11" s="225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 t="s">
        <v>50</v>
      </c>
      <c r="C12" s="32">
        <v>1.1235999999999999E-2</v>
      </c>
      <c r="D12" s="33">
        <f t="shared" si="0"/>
        <v>3.2932716000000001E-2</v>
      </c>
      <c r="E12" s="34">
        <v>120</v>
      </c>
      <c r="F12" s="35" t="str">
        <f t="array" ref="F12">IF(E12="","",IF(INDEX(A:A,MAX(IF(ISNUMBER($A$114:$A$133),ROW($A$114:$A$133),"")))&lt;&gt;E12,"Corrigez : révolution incorrecte","OK"))</f>
        <v>OK</v>
      </c>
      <c r="I12" s="225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 t="s">
        <v>40</v>
      </c>
      <c r="C13" s="32">
        <v>0.30898900000000001</v>
      </c>
      <c r="D13" s="33">
        <f t="shared" si="0"/>
        <v>0.90564675900000002</v>
      </c>
      <c r="E13" s="34">
        <v>60</v>
      </c>
      <c r="F13" s="35" t="str">
        <f t="array" ref="F13">IF(E13="","",IF(INDEX(A:A,MAX(IF(ISNUMBER($A$140:$A$159),ROW($A$140:$A$159),"")))&lt;&gt;E13,"Corrigez : révolution incorrecte","OK"))</f>
        <v>OK</v>
      </c>
      <c r="I13" s="225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 t="s">
        <v>164</v>
      </c>
      <c r="C14" s="32">
        <v>0.46348299999999998</v>
      </c>
      <c r="D14" s="33">
        <f t="shared" si="0"/>
        <v>1.358468673</v>
      </c>
      <c r="E14" s="34">
        <v>60</v>
      </c>
      <c r="F14" s="35" t="str">
        <f t="array" ref="F14">IF(E14="","",IF(INDEX(A:A,MAX(IF(ISNUMBER($A$166:$A$185),ROW($A$166:$A$185),"")))&lt;&gt;E14,"Corrigez : révolution incorrecte","OK"))</f>
        <v>OK</v>
      </c>
      <c r="I14" s="225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5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5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5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5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1</v>
      </c>
      <c r="D19" s="38">
        <f>SUM(D9:D18)</f>
        <v>2.931</v>
      </c>
      <c r="E19" s="4"/>
      <c r="F19" s="92"/>
      <c r="G19" s="218"/>
      <c r="H19" s="218"/>
      <c r="I19" s="218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1"/>
      <c r="F20" s="204"/>
      <c r="G20" s="204"/>
      <c r="H20" s="218"/>
      <c r="I20" s="218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19"/>
      <c r="I21" s="219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5" t="s">
        <v>232</v>
      </c>
      <c r="B22" s="26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1"/>
      <c r="I24" s="201"/>
      <c r="J24" s="220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0"/>
      <c r="I25" s="220"/>
      <c r="J25" s="220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1"/>
      <c r="I26" s="201"/>
      <c r="J26" s="201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1"/>
      <c r="I27" s="201"/>
      <c r="J27" s="201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6" t="s">
        <v>227</v>
      </c>
      <c r="B30" s="266"/>
      <c r="D30" s="222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2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Chêne pubescent</v>
      </c>
      <c r="D32" s="228" t="s">
        <v>307</v>
      </c>
      <c r="K32" s="222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2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2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3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20</v>
      </c>
      <c r="B36" s="60">
        <v>73</v>
      </c>
      <c r="C36" s="60">
        <v>1</v>
      </c>
      <c r="D36" s="60">
        <v>0</v>
      </c>
      <c r="E36" s="51">
        <v>0</v>
      </c>
      <c r="F36" s="51"/>
      <c r="G36" s="51"/>
      <c r="H36" s="51">
        <v>1</v>
      </c>
      <c r="I36" s="49">
        <f>IFERROR(B36/A36,"")</f>
        <v>3.65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25</v>
      </c>
      <c r="B37" s="60">
        <v>109</v>
      </c>
      <c r="C37" s="60">
        <v>2</v>
      </c>
      <c r="D37" s="60">
        <v>0</v>
      </c>
      <c r="E37" s="51">
        <v>0</v>
      </c>
      <c r="F37" s="51"/>
      <c r="G37" s="51"/>
      <c r="H37" s="51">
        <v>1</v>
      </c>
      <c r="I37" s="53">
        <f t="shared" ref="I37:I55" si="1">IF(A37&lt;&gt;0,(B37-(B36-D36))/(A37-A36),"")</f>
        <v>7.2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30</v>
      </c>
      <c r="B38" s="60">
        <v>155</v>
      </c>
      <c r="C38" s="60">
        <v>3</v>
      </c>
      <c r="D38" s="60">
        <v>62</v>
      </c>
      <c r="E38" s="51">
        <v>0</v>
      </c>
      <c r="F38" s="51"/>
      <c r="G38" s="51"/>
      <c r="H38" s="51">
        <v>1</v>
      </c>
      <c r="I38" s="53">
        <f t="shared" si="1"/>
        <v>9.1999999999999993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35</v>
      </c>
      <c r="B39" s="60">
        <v>147</v>
      </c>
      <c r="C39" s="60">
        <v>4</v>
      </c>
      <c r="D39" s="60">
        <v>28</v>
      </c>
      <c r="E39" s="51">
        <v>0</v>
      </c>
      <c r="F39" s="51"/>
      <c r="G39" s="51"/>
      <c r="H39" s="51">
        <v>1</v>
      </c>
      <c r="I39" s="49">
        <f t="shared" si="1"/>
        <v>10.8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40</v>
      </c>
      <c r="B40" s="60">
        <v>175</v>
      </c>
      <c r="C40" s="60">
        <v>5</v>
      </c>
      <c r="D40" s="60">
        <v>28</v>
      </c>
      <c r="E40" s="51">
        <v>0.2</v>
      </c>
      <c r="F40" s="51"/>
      <c r="G40" s="51"/>
      <c r="H40" s="51">
        <v>0.8</v>
      </c>
      <c r="I40" s="49">
        <f t="shared" si="1"/>
        <v>11.2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45</v>
      </c>
      <c r="B41" s="60">
        <v>204</v>
      </c>
      <c r="C41" s="60">
        <v>6</v>
      </c>
      <c r="D41" s="60">
        <v>28</v>
      </c>
      <c r="E41" s="51">
        <v>0.2</v>
      </c>
      <c r="F41" s="51"/>
      <c r="G41" s="51"/>
      <c r="H41" s="51">
        <v>0.8</v>
      </c>
      <c r="I41" s="53">
        <f t="shared" si="1"/>
        <v>11.4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50</v>
      </c>
      <c r="B42" s="60">
        <v>231</v>
      </c>
      <c r="C42" s="60">
        <v>7</v>
      </c>
      <c r="D42" s="60">
        <v>28</v>
      </c>
      <c r="E42" s="51">
        <v>0.3</v>
      </c>
      <c r="F42" s="51"/>
      <c r="G42" s="51"/>
      <c r="H42" s="51">
        <v>0.7</v>
      </c>
      <c r="I42" s="53">
        <f t="shared" si="1"/>
        <v>11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>
        <v>55</v>
      </c>
      <c r="B43" s="60">
        <v>254</v>
      </c>
      <c r="C43" s="60">
        <v>8</v>
      </c>
      <c r="D43" s="60">
        <v>28</v>
      </c>
      <c r="E43" s="51">
        <v>0.3</v>
      </c>
      <c r="F43" s="51"/>
      <c r="G43" s="51"/>
      <c r="H43" s="51">
        <v>0.7</v>
      </c>
      <c r="I43" s="49">
        <f t="shared" si="1"/>
        <v>10.199999999999999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>
        <v>60</v>
      </c>
      <c r="B44" s="60">
        <v>273</v>
      </c>
      <c r="C44" s="60">
        <v>9</v>
      </c>
      <c r="D44" s="60">
        <v>28</v>
      </c>
      <c r="E44" s="51">
        <v>0.4</v>
      </c>
      <c r="F44" s="51"/>
      <c r="G44" s="51"/>
      <c r="H44" s="51">
        <v>0.6</v>
      </c>
      <c r="I44" s="49">
        <f t="shared" si="1"/>
        <v>9.4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>
        <v>65</v>
      </c>
      <c r="B45" s="60">
        <v>289</v>
      </c>
      <c r="C45" s="60">
        <v>10</v>
      </c>
      <c r="D45" s="60">
        <v>28</v>
      </c>
      <c r="E45" s="51">
        <v>0.4</v>
      </c>
      <c r="F45" s="51"/>
      <c r="G45" s="51"/>
      <c r="H45" s="51">
        <v>0.6</v>
      </c>
      <c r="I45" s="49">
        <f t="shared" si="1"/>
        <v>8.8000000000000007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>
        <v>70</v>
      </c>
      <c r="B46" s="60">
        <v>302</v>
      </c>
      <c r="C46" s="60">
        <v>11</v>
      </c>
      <c r="D46" s="60">
        <v>28</v>
      </c>
      <c r="E46" s="51">
        <v>0.5</v>
      </c>
      <c r="F46" s="51"/>
      <c r="G46" s="51"/>
      <c r="H46" s="51">
        <v>0.5</v>
      </c>
      <c r="I46" s="49">
        <f t="shared" si="1"/>
        <v>8.1999999999999993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>
        <v>75</v>
      </c>
      <c r="B47" s="60">
        <v>312</v>
      </c>
      <c r="C47" s="60">
        <v>12</v>
      </c>
      <c r="D47" s="60">
        <v>28</v>
      </c>
      <c r="E47" s="51">
        <v>0.5</v>
      </c>
      <c r="F47" s="51"/>
      <c r="G47" s="51"/>
      <c r="H47" s="51">
        <v>0.5</v>
      </c>
      <c r="I47" s="49">
        <f t="shared" si="1"/>
        <v>7.6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>
        <v>80</v>
      </c>
      <c r="B48" s="60">
        <v>320</v>
      </c>
      <c r="C48" s="60">
        <v>13</v>
      </c>
      <c r="D48" s="60">
        <v>28</v>
      </c>
      <c r="E48" s="51">
        <v>0.6</v>
      </c>
      <c r="F48" s="51"/>
      <c r="G48" s="51"/>
      <c r="H48" s="51">
        <v>0.4</v>
      </c>
      <c r="I48" s="49">
        <f t="shared" si="1"/>
        <v>7.2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>
        <v>85</v>
      </c>
      <c r="B49" s="60">
        <v>326</v>
      </c>
      <c r="C49" s="60">
        <v>14</v>
      </c>
      <c r="D49" s="60">
        <v>28</v>
      </c>
      <c r="E49" s="51">
        <v>0.6</v>
      </c>
      <c r="F49" s="51"/>
      <c r="G49" s="51"/>
      <c r="H49" s="51">
        <v>0.4</v>
      </c>
      <c r="I49" s="49">
        <f t="shared" si="1"/>
        <v>6.8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>
        <v>90</v>
      </c>
      <c r="B50" s="50">
        <v>330</v>
      </c>
      <c r="C50" s="50">
        <v>15</v>
      </c>
      <c r="D50" s="50">
        <v>28</v>
      </c>
      <c r="E50" s="51">
        <v>0.7</v>
      </c>
      <c r="F50" s="51"/>
      <c r="G50" s="51"/>
      <c r="H50" s="51">
        <v>0.3</v>
      </c>
      <c r="I50" s="49">
        <f t="shared" si="1"/>
        <v>6.4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>
        <v>95</v>
      </c>
      <c r="B51" s="50">
        <v>333</v>
      </c>
      <c r="C51" s="50">
        <v>16</v>
      </c>
      <c r="D51" s="50">
        <v>28</v>
      </c>
      <c r="E51" s="51">
        <v>0.7</v>
      </c>
      <c r="F51" s="51"/>
      <c r="G51" s="51"/>
      <c r="H51" s="51">
        <v>0.3</v>
      </c>
      <c r="I51" s="49">
        <f t="shared" si="1"/>
        <v>6.2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>
        <v>100</v>
      </c>
      <c r="B52" s="50">
        <v>333</v>
      </c>
      <c r="C52" s="50">
        <v>17</v>
      </c>
      <c r="D52" s="50">
        <v>27</v>
      </c>
      <c r="E52" s="51">
        <v>0.8</v>
      </c>
      <c r="F52" s="51"/>
      <c r="G52" s="51"/>
      <c r="H52" s="51">
        <v>0.2</v>
      </c>
      <c r="I52" s="49">
        <f t="shared" si="1"/>
        <v>5.6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>
        <v>110</v>
      </c>
      <c r="B53" s="50">
        <v>358</v>
      </c>
      <c r="C53" s="50">
        <v>19</v>
      </c>
      <c r="D53" s="50">
        <v>51</v>
      </c>
      <c r="E53" s="51">
        <v>0.8</v>
      </c>
      <c r="F53" s="51"/>
      <c r="G53" s="51"/>
      <c r="H53" s="51">
        <v>0.2</v>
      </c>
      <c r="I53" s="49">
        <f t="shared" si="1"/>
        <v>5.2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>
        <v>115</v>
      </c>
      <c r="B54" s="50">
        <v>331</v>
      </c>
      <c r="C54" s="50">
        <v>20</v>
      </c>
      <c r="D54" s="50">
        <v>24</v>
      </c>
      <c r="E54" s="51">
        <v>0.8</v>
      </c>
      <c r="F54" s="51"/>
      <c r="G54" s="51"/>
      <c r="H54" s="51">
        <v>0.2</v>
      </c>
      <c r="I54" s="49">
        <f t="shared" si="1"/>
        <v>4.8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>
        <v>120</v>
      </c>
      <c r="B55" s="50">
        <v>328</v>
      </c>
      <c r="C55" s="50">
        <v>21</v>
      </c>
      <c r="D55" s="50">
        <v>328</v>
      </c>
      <c r="E55" s="51">
        <v>0.9</v>
      </c>
      <c r="F55" s="51"/>
      <c r="G55" s="51"/>
      <c r="H55" s="51">
        <v>0.1</v>
      </c>
      <c r="I55" s="49">
        <f t="shared" si="1"/>
        <v>4.2</v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Chêne chevelu</v>
      </c>
      <c r="D58" s="228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2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3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20</v>
      </c>
      <c r="B62" s="60">
        <v>73</v>
      </c>
      <c r="C62" s="60">
        <v>1</v>
      </c>
      <c r="D62" s="60">
        <v>0</v>
      </c>
      <c r="E62" s="51">
        <v>0</v>
      </c>
      <c r="F62" s="51"/>
      <c r="G62" s="51"/>
      <c r="H62" s="51">
        <v>1</v>
      </c>
      <c r="I62" s="53">
        <f>IFERROR(B62/A62,"")</f>
        <v>3.65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>
        <v>25</v>
      </c>
      <c r="B63" s="60">
        <v>109</v>
      </c>
      <c r="C63" s="60">
        <v>2</v>
      </c>
      <c r="D63" s="60">
        <v>0</v>
      </c>
      <c r="E63" s="51">
        <v>0</v>
      </c>
      <c r="F63" s="51"/>
      <c r="G63" s="51"/>
      <c r="H63" s="51">
        <v>1</v>
      </c>
      <c r="I63" s="49">
        <f>IF(A63&lt;&gt;0,(B63-(B62-D62))/(A63-A62),"")</f>
        <v>7.2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>
        <v>30</v>
      </c>
      <c r="B64" s="60">
        <v>155</v>
      </c>
      <c r="C64" s="60">
        <v>3</v>
      </c>
      <c r="D64" s="60">
        <v>62</v>
      </c>
      <c r="E64" s="51">
        <v>0</v>
      </c>
      <c r="F64" s="51"/>
      <c r="G64" s="51"/>
      <c r="H64" s="51">
        <v>1</v>
      </c>
      <c r="I64" s="49">
        <f>IF(A64&lt;&gt;0,(B64-(B63-D63))/(A64-A63),"")</f>
        <v>9.1999999999999993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>
        <v>35</v>
      </c>
      <c r="B65" s="60">
        <v>147</v>
      </c>
      <c r="C65" s="60">
        <v>4</v>
      </c>
      <c r="D65" s="60">
        <v>28</v>
      </c>
      <c r="E65" s="51">
        <v>0</v>
      </c>
      <c r="F65" s="51"/>
      <c r="G65" s="51"/>
      <c r="H65" s="51">
        <v>1</v>
      </c>
      <c r="I65" s="49">
        <f>IF(A65&lt;&gt;0,(B65-(B64-D64))/(A65-A64),"")</f>
        <v>10.8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>
        <v>40</v>
      </c>
      <c r="B66" s="60">
        <v>175</v>
      </c>
      <c r="C66" s="60">
        <v>5</v>
      </c>
      <c r="D66" s="60">
        <v>28</v>
      </c>
      <c r="E66" s="51">
        <v>0.2</v>
      </c>
      <c r="F66" s="51"/>
      <c r="G66" s="51"/>
      <c r="H66" s="51">
        <v>0.8</v>
      </c>
      <c r="I66" s="49">
        <f t="shared" ref="I66:I81" si="2">IF(A66&lt;&gt;0,(B66-(B65-D65))/(A66-A65),"")</f>
        <v>11.2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>
        <v>45</v>
      </c>
      <c r="B67" s="60">
        <v>204</v>
      </c>
      <c r="C67" s="60">
        <v>6</v>
      </c>
      <c r="D67" s="60">
        <v>28</v>
      </c>
      <c r="E67" s="51">
        <v>0.2</v>
      </c>
      <c r="F67" s="51"/>
      <c r="G67" s="51"/>
      <c r="H67" s="51">
        <v>0.8</v>
      </c>
      <c r="I67" s="49">
        <f t="shared" si="2"/>
        <v>11.4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>
        <v>50</v>
      </c>
      <c r="B68" s="60">
        <v>231</v>
      </c>
      <c r="C68" s="60">
        <v>7</v>
      </c>
      <c r="D68" s="60">
        <v>28</v>
      </c>
      <c r="E68" s="51">
        <v>0.3</v>
      </c>
      <c r="F68" s="51"/>
      <c r="G68" s="51"/>
      <c r="H68" s="51">
        <v>0.7</v>
      </c>
      <c r="I68" s="49">
        <f t="shared" si="2"/>
        <v>11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>
        <v>55</v>
      </c>
      <c r="B69" s="50">
        <v>254</v>
      </c>
      <c r="C69" s="50">
        <v>8</v>
      </c>
      <c r="D69" s="50">
        <v>28</v>
      </c>
      <c r="E69" s="51">
        <v>0.3</v>
      </c>
      <c r="F69" s="51"/>
      <c r="G69" s="51"/>
      <c r="H69" s="51">
        <v>0.7</v>
      </c>
      <c r="I69" s="49">
        <f t="shared" si="2"/>
        <v>10.199999999999999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>
        <v>60</v>
      </c>
      <c r="B70" s="50">
        <v>273</v>
      </c>
      <c r="C70" s="50">
        <v>9</v>
      </c>
      <c r="D70" s="50">
        <v>28</v>
      </c>
      <c r="E70" s="51">
        <v>0.4</v>
      </c>
      <c r="F70" s="51"/>
      <c r="G70" s="51"/>
      <c r="H70" s="51">
        <v>0.6</v>
      </c>
      <c r="I70" s="49">
        <f t="shared" si="2"/>
        <v>9.4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>
        <v>65</v>
      </c>
      <c r="B71" s="50">
        <v>289</v>
      </c>
      <c r="C71" s="50">
        <v>10</v>
      </c>
      <c r="D71" s="50">
        <v>28</v>
      </c>
      <c r="E71" s="51">
        <v>0.4</v>
      </c>
      <c r="F71" s="51"/>
      <c r="G71" s="51"/>
      <c r="H71" s="51">
        <v>0.6</v>
      </c>
      <c r="I71" s="49">
        <f t="shared" si="2"/>
        <v>8.8000000000000007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>
        <v>70</v>
      </c>
      <c r="B72" s="50">
        <v>302</v>
      </c>
      <c r="C72" s="50">
        <v>11</v>
      </c>
      <c r="D72" s="50">
        <v>28</v>
      </c>
      <c r="E72" s="51">
        <v>0.5</v>
      </c>
      <c r="F72" s="51"/>
      <c r="G72" s="51"/>
      <c r="H72" s="51">
        <v>0.5</v>
      </c>
      <c r="I72" s="49">
        <f t="shared" si="2"/>
        <v>8.1999999999999993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>
        <v>75</v>
      </c>
      <c r="B73" s="50">
        <v>312</v>
      </c>
      <c r="C73" s="50">
        <v>12</v>
      </c>
      <c r="D73" s="50">
        <v>28</v>
      </c>
      <c r="E73" s="51">
        <v>0.5</v>
      </c>
      <c r="F73" s="51"/>
      <c r="G73" s="51"/>
      <c r="H73" s="51">
        <v>0.5</v>
      </c>
      <c r="I73" s="49">
        <f t="shared" si="2"/>
        <v>7.6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>
        <v>80</v>
      </c>
      <c r="B74" s="50">
        <v>320</v>
      </c>
      <c r="C74" s="50">
        <v>13</v>
      </c>
      <c r="D74" s="50">
        <v>28</v>
      </c>
      <c r="E74" s="51">
        <v>0.6</v>
      </c>
      <c r="F74" s="51"/>
      <c r="G74" s="51"/>
      <c r="H74" s="51">
        <v>0.4</v>
      </c>
      <c r="I74" s="49">
        <f t="shared" si="2"/>
        <v>7.2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>
        <v>85</v>
      </c>
      <c r="B75" s="50">
        <v>326</v>
      </c>
      <c r="C75" s="50">
        <v>14</v>
      </c>
      <c r="D75" s="50">
        <v>28</v>
      </c>
      <c r="E75" s="51">
        <v>0.6</v>
      </c>
      <c r="F75" s="51"/>
      <c r="G75" s="51"/>
      <c r="H75" s="51">
        <v>0.4</v>
      </c>
      <c r="I75" s="49">
        <f t="shared" si="2"/>
        <v>6.8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>
        <v>90</v>
      </c>
      <c r="B76" s="50">
        <v>330</v>
      </c>
      <c r="C76" s="50">
        <v>15</v>
      </c>
      <c r="D76" s="50">
        <v>28</v>
      </c>
      <c r="E76" s="51">
        <v>0.7</v>
      </c>
      <c r="F76" s="51"/>
      <c r="G76" s="51"/>
      <c r="H76" s="51">
        <v>0.3</v>
      </c>
      <c r="I76" s="49">
        <f t="shared" si="2"/>
        <v>6.4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>
        <v>95</v>
      </c>
      <c r="B77" s="50">
        <v>333</v>
      </c>
      <c r="C77" s="50">
        <v>16</v>
      </c>
      <c r="D77" s="50">
        <v>28</v>
      </c>
      <c r="E77" s="51">
        <v>0.7</v>
      </c>
      <c r="F77" s="51"/>
      <c r="G77" s="51"/>
      <c r="H77" s="51">
        <v>0.3</v>
      </c>
      <c r="I77" s="49">
        <f t="shared" si="2"/>
        <v>6.2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>
        <v>100</v>
      </c>
      <c r="B78" s="50">
        <v>333</v>
      </c>
      <c r="C78" s="50">
        <v>17</v>
      </c>
      <c r="D78" s="50">
        <v>27</v>
      </c>
      <c r="E78" s="51">
        <v>0.8</v>
      </c>
      <c r="F78" s="51"/>
      <c r="G78" s="51"/>
      <c r="H78" s="51">
        <v>0.2</v>
      </c>
      <c r="I78" s="49">
        <f t="shared" si="2"/>
        <v>5.6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>
        <v>110</v>
      </c>
      <c r="B79" s="50">
        <v>358</v>
      </c>
      <c r="C79" s="50">
        <v>19</v>
      </c>
      <c r="D79" s="50">
        <v>51</v>
      </c>
      <c r="E79" s="51">
        <v>0.8</v>
      </c>
      <c r="F79" s="51"/>
      <c r="G79" s="51"/>
      <c r="H79" s="51">
        <v>0.2</v>
      </c>
      <c r="I79" s="49">
        <f t="shared" si="2"/>
        <v>5.2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>
        <v>115</v>
      </c>
      <c r="B80" s="50">
        <v>331</v>
      </c>
      <c r="C80" s="50">
        <v>20</v>
      </c>
      <c r="D80" s="50">
        <v>24</v>
      </c>
      <c r="E80" s="51">
        <v>0.8</v>
      </c>
      <c r="F80" s="51"/>
      <c r="G80" s="51"/>
      <c r="H80" s="51">
        <v>0.2</v>
      </c>
      <c r="I80" s="49">
        <f t="shared" si="2"/>
        <v>4.8</v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>
        <v>120</v>
      </c>
      <c r="B81" s="50">
        <v>328</v>
      </c>
      <c r="C81" s="50">
        <v>21</v>
      </c>
      <c r="D81" s="50">
        <v>328</v>
      </c>
      <c r="E81" s="51">
        <v>0.9</v>
      </c>
      <c r="F81" s="51"/>
      <c r="G81" s="51"/>
      <c r="H81" s="51">
        <v>0.1</v>
      </c>
      <c r="I81" s="49">
        <f t="shared" si="2"/>
        <v>4.2</v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>Cormier</v>
      </c>
      <c r="D84" s="228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>
        <v>25</v>
      </c>
      <c r="B88" s="60">
        <v>30</v>
      </c>
      <c r="C88" s="60">
        <v>1</v>
      </c>
      <c r="D88" s="60">
        <v>0</v>
      </c>
      <c r="E88" s="51">
        <v>0</v>
      </c>
      <c r="F88" s="51"/>
      <c r="G88" s="51"/>
      <c r="H88" s="87">
        <v>1</v>
      </c>
      <c r="I88" s="53">
        <f>IFERROR(B88/A88,"")</f>
        <v>1.2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>
        <v>30</v>
      </c>
      <c r="B89" s="60">
        <v>54</v>
      </c>
      <c r="C89" s="60">
        <v>2</v>
      </c>
      <c r="D89" s="60">
        <v>0</v>
      </c>
      <c r="E89" s="51">
        <v>0</v>
      </c>
      <c r="F89" s="51"/>
      <c r="G89" s="51"/>
      <c r="H89" s="87">
        <v>1</v>
      </c>
      <c r="I89" s="53">
        <f t="shared" ref="I89:I107" si="3">IF(A89&lt;&gt;0,(B89-(B88-D88))/(A89-A88),"")</f>
        <v>4.8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>
        <v>35</v>
      </c>
      <c r="B90" s="60">
        <v>79</v>
      </c>
      <c r="C90" s="60">
        <v>3</v>
      </c>
      <c r="D90" s="60">
        <v>13</v>
      </c>
      <c r="E90" s="87">
        <v>0</v>
      </c>
      <c r="F90" s="87"/>
      <c r="G90" s="87"/>
      <c r="H90" s="87">
        <v>1</v>
      </c>
      <c r="I90" s="53">
        <f t="shared" si="3"/>
        <v>5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>
        <v>40</v>
      </c>
      <c r="B91" s="60">
        <v>93</v>
      </c>
      <c r="C91" s="60">
        <v>4</v>
      </c>
      <c r="D91" s="60">
        <v>14</v>
      </c>
      <c r="E91" s="87">
        <v>0.2</v>
      </c>
      <c r="F91" s="87"/>
      <c r="G91" s="87"/>
      <c r="H91" s="87">
        <v>0.8</v>
      </c>
      <c r="I91" s="53">
        <f t="shared" si="3"/>
        <v>5.4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>
        <v>45</v>
      </c>
      <c r="B92" s="60">
        <v>107</v>
      </c>
      <c r="C92" s="60">
        <v>5</v>
      </c>
      <c r="D92" s="60">
        <v>14</v>
      </c>
      <c r="E92" s="87">
        <v>0.2</v>
      </c>
      <c r="F92" s="87"/>
      <c r="G92" s="87"/>
      <c r="H92" s="87">
        <v>0.8</v>
      </c>
      <c r="I92" s="53">
        <f t="shared" si="3"/>
        <v>5.6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>
        <v>50</v>
      </c>
      <c r="B93" s="60">
        <v>121</v>
      </c>
      <c r="C93" s="60">
        <v>6</v>
      </c>
      <c r="D93" s="60">
        <v>14</v>
      </c>
      <c r="E93" s="87">
        <v>0.2</v>
      </c>
      <c r="F93" s="87"/>
      <c r="G93" s="87"/>
      <c r="H93" s="87">
        <v>0.8</v>
      </c>
      <c r="I93" s="53">
        <f t="shared" si="3"/>
        <v>5.6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>
        <v>55</v>
      </c>
      <c r="B94" s="60">
        <v>135</v>
      </c>
      <c r="C94" s="60">
        <v>7</v>
      </c>
      <c r="D94" s="60">
        <v>14</v>
      </c>
      <c r="E94" s="87">
        <v>0.3</v>
      </c>
      <c r="F94" s="87"/>
      <c r="G94" s="87"/>
      <c r="H94" s="87">
        <v>0.7</v>
      </c>
      <c r="I94" s="53">
        <f t="shared" si="3"/>
        <v>5.6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>
        <v>60</v>
      </c>
      <c r="B95" s="60">
        <v>148</v>
      </c>
      <c r="C95" s="60">
        <v>8</v>
      </c>
      <c r="D95" s="60">
        <v>14</v>
      </c>
      <c r="E95" s="87">
        <v>0.3</v>
      </c>
      <c r="F95" s="87"/>
      <c r="G95" s="87"/>
      <c r="H95" s="87">
        <v>0.7</v>
      </c>
      <c r="I95" s="53">
        <f t="shared" si="3"/>
        <v>5.4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>
        <v>65</v>
      </c>
      <c r="B96" s="60">
        <v>161</v>
      </c>
      <c r="C96" s="60">
        <v>9</v>
      </c>
      <c r="D96" s="60">
        <v>14</v>
      </c>
      <c r="E96" s="87">
        <v>0.4</v>
      </c>
      <c r="F96" s="87"/>
      <c r="G96" s="87"/>
      <c r="H96" s="87">
        <v>0.6</v>
      </c>
      <c r="I96" s="53">
        <f t="shared" si="3"/>
        <v>5.4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>
        <v>70</v>
      </c>
      <c r="B97" s="60">
        <v>172</v>
      </c>
      <c r="C97" s="60">
        <v>10</v>
      </c>
      <c r="D97" s="60">
        <v>14</v>
      </c>
      <c r="E97" s="87">
        <v>0.4</v>
      </c>
      <c r="F97" s="87"/>
      <c r="G97" s="87"/>
      <c r="H97" s="87">
        <v>0.6</v>
      </c>
      <c r="I97" s="53">
        <f t="shared" si="3"/>
        <v>5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>
        <v>75</v>
      </c>
      <c r="B98" s="60">
        <v>183</v>
      </c>
      <c r="C98" s="60">
        <v>11</v>
      </c>
      <c r="D98" s="60">
        <v>14</v>
      </c>
      <c r="E98" s="87">
        <v>0.5</v>
      </c>
      <c r="F98" s="87"/>
      <c r="G98" s="87"/>
      <c r="H98" s="87">
        <v>0.5</v>
      </c>
      <c r="I98" s="53">
        <f t="shared" si="3"/>
        <v>5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>
        <v>80</v>
      </c>
      <c r="B99" s="60">
        <v>192</v>
      </c>
      <c r="C99" s="60">
        <v>12</v>
      </c>
      <c r="D99" s="60">
        <v>14</v>
      </c>
      <c r="E99" s="87">
        <v>0.5</v>
      </c>
      <c r="F99" s="87"/>
      <c r="G99" s="87"/>
      <c r="H99" s="87">
        <v>0.5</v>
      </c>
      <c r="I99" s="53">
        <f t="shared" si="3"/>
        <v>4.5999999999999996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>
        <v>85</v>
      </c>
      <c r="B100" s="60">
        <v>200</v>
      </c>
      <c r="C100" s="60">
        <v>13</v>
      </c>
      <c r="D100" s="60">
        <v>14</v>
      </c>
      <c r="E100" s="65">
        <v>0.6</v>
      </c>
      <c r="F100" s="65"/>
      <c r="G100" s="65"/>
      <c r="H100" s="65">
        <v>0.4</v>
      </c>
      <c r="I100" s="53">
        <f t="shared" si="3"/>
        <v>4.4000000000000004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>
        <v>90</v>
      </c>
      <c r="B101" s="60">
        <v>207</v>
      </c>
      <c r="C101" s="60">
        <v>14</v>
      </c>
      <c r="D101" s="60">
        <v>14</v>
      </c>
      <c r="E101" s="65">
        <v>0.6</v>
      </c>
      <c r="F101" s="65"/>
      <c r="G101" s="65"/>
      <c r="H101" s="65">
        <v>0.4</v>
      </c>
      <c r="I101" s="53">
        <f t="shared" si="3"/>
        <v>4.2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>
        <v>95</v>
      </c>
      <c r="B102" s="50">
        <v>212</v>
      </c>
      <c r="C102" s="60">
        <v>15</v>
      </c>
      <c r="D102" s="50">
        <v>14</v>
      </c>
      <c r="E102" s="54">
        <v>0.7</v>
      </c>
      <c r="F102" s="54"/>
      <c r="G102" s="54"/>
      <c r="H102" s="54">
        <v>0.3</v>
      </c>
      <c r="I102" s="53">
        <f t="shared" si="3"/>
        <v>3.8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>
        <v>100</v>
      </c>
      <c r="B103" s="50">
        <v>216</v>
      </c>
      <c r="C103" s="60">
        <v>16</v>
      </c>
      <c r="D103" s="50">
        <v>14</v>
      </c>
      <c r="E103" s="54">
        <v>0.7</v>
      </c>
      <c r="F103" s="54"/>
      <c r="G103" s="54"/>
      <c r="H103" s="54">
        <v>0.3</v>
      </c>
      <c r="I103" s="53">
        <f t="shared" si="3"/>
        <v>3.6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>
        <v>105</v>
      </c>
      <c r="B104" s="50">
        <v>218</v>
      </c>
      <c r="C104" s="60">
        <v>17</v>
      </c>
      <c r="D104" s="50">
        <v>14</v>
      </c>
      <c r="E104" s="54">
        <v>0.7</v>
      </c>
      <c r="F104" s="54"/>
      <c r="G104" s="54"/>
      <c r="H104" s="54">
        <v>0.3</v>
      </c>
      <c r="I104" s="53">
        <f t="shared" si="3"/>
        <v>3.2</v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>
        <v>110</v>
      </c>
      <c r="B105" s="50">
        <v>219</v>
      </c>
      <c r="C105" s="50">
        <v>18</v>
      </c>
      <c r="D105" s="50">
        <v>13</v>
      </c>
      <c r="E105" s="54">
        <v>0.7</v>
      </c>
      <c r="F105" s="54"/>
      <c r="G105" s="54"/>
      <c r="H105" s="54">
        <v>0.3</v>
      </c>
      <c r="I105" s="53">
        <f t="shared" si="3"/>
        <v>3</v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>
        <v>115</v>
      </c>
      <c r="B106" s="50">
        <v>219</v>
      </c>
      <c r="C106" s="50">
        <v>19</v>
      </c>
      <c r="D106" s="50">
        <v>13</v>
      </c>
      <c r="E106" s="54">
        <v>0.7</v>
      </c>
      <c r="F106" s="54"/>
      <c r="G106" s="54"/>
      <c r="H106" s="54">
        <v>0.3</v>
      </c>
      <c r="I106" s="53">
        <f t="shared" si="3"/>
        <v>2.6</v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>
        <v>120</v>
      </c>
      <c r="B107" s="50">
        <v>221</v>
      </c>
      <c r="C107" s="50">
        <v>20</v>
      </c>
      <c r="D107" s="50">
        <v>221</v>
      </c>
      <c r="E107" s="54">
        <v>0.8</v>
      </c>
      <c r="F107" s="54"/>
      <c r="G107" s="54"/>
      <c r="H107" s="54">
        <v>0.2</v>
      </c>
      <c r="I107" s="53">
        <f t="shared" si="3"/>
        <v>3</v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>Tilleul</v>
      </c>
      <c r="D110" s="228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>
        <v>20</v>
      </c>
      <c r="B114" s="60">
        <v>42</v>
      </c>
      <c r="C114" s="50">
        <v>1</v>
      </c>
      <c r="D114" s="60">
        <v>0</v>
      </c>
      <c r="E114" s="51">
        <v>0</v>
      </c>
      <c r="F114" s="51"/>
      <c r="G114" s="51"/>
      <c r="H114" s="51">
        <v>1</v>
      </c>
      <c r="I114" s="53">
        <f>IFERROR(B114/A114,"")</f>
        <v>2.1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>
        <v>25</v>
      </c>
      <c r="B115" s="60">
        <v>70</v>
      </c>
      <c r="C115" s="50">
        <v>2</v>
      </c>
      <c r="D115" s="60">
        <v>0</v>
      </c>
      <c r="E115" s="51">
        <v>0</v>
      </c>
      <c r="F115" s="51"/>
      <c r="G115" s="51"/>
      <c r="H115" s="51">
        <v>1</v>
      </c>
      <c r="I115" s="53">
        <f t="shared" ref="I115:I133" si="4">IF(A115&lt;&gt;0,(B115-(B114-D114))/(A115-A114),"")</f>
        <v>5.6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>
        <v>30</v>
      </c>
      <c r="B116" s="60">
        <v>105</v>
      </c>
      <c r="C116" s="50">
        <v>3</v>
      </c>
      <c r="D116" s="60">
        <v>29</v>
      </c>
      <c r="E116" s="51">
        <v>0</v>
      </c>
      <c r="F116" s="51"/>
      <c r="G116" s="51"/>
      <c r="H116" s="51">
        <v>1</v>
      </c>
      <c r="I116" s="53">
        <f t="shared" si="4"/>
        <v>7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>
        <v>35</v>
      </c>
      <c r="B117" s="60">
        <v>116</v>
      </c>
      <c r="C117" s="50">
        <v>4</v>
      </c>
      <c r="D117" s="60">
        <v>21</v>
      </c>
      <c r="E117" s="51">
        <v>0</v>
      </c>
      <c r="F117" s="51"/>
      <c r="G117" s="51"/>
      <c r="H117" s="51">
        <v>1</v>
      </c>
      <c r="I117" s="53">
        <f t="shared" si="4"/>
        <v>8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>
        <v>40</v>
      </c>
      <c r="B118" s="60">
        <v>137</v>
      </c>
      <c r="C118" s="50">
        <v>5</v>
      </c>
      <c r="D118" s="60">
        <v>21</v>
      </c>
      <c r="E118" s="51">
        <v>0.2</v>
      </c>
      <c r="F118" s="51"/>
      <c r="G118" s="51"/>
      <c r="H118" s="51">
        <v>0.8</v>
      </c>
      <c r="I118" s="53">
        <f t="shared" si="4"/>
        <v>8.4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>
        <v>45</v>
      </c>
      <c r="B119" s="60">
        <v>158</v>
      </c>
      <c r="C119" s="50">
        <v>6</v>
      </c>
      <c r="D119" s="60">
        <v>21</v>
      </c>
      <c r="E119" s="51">
        <v>0.2</v>
      </c>
      <c r="F119" s="51"/>
      <c r="G119" s="51"/>
      <c r="H119" s="51">
        <v>0.8</v>
      </c>
      <c r="I119" s="53">
        <f t="shared" si="4"/>
        <v>8.4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>
        <v>50</v>
      </c>
      <c r="B120" s="60">
        <v>178</v>
      </c>
      <c r="C120" s="60">
        <v>7</v>
      </c>
      <c r="D120" s="60">
        <v>21</v>
      </c>
      <c r="E120" s="87">
        <v>0.3</v>
      </c>
      <c r="F120" s="87"/>
      <c r="G120" s="87"/>
      <c r="H120" s="87">
        <v>0.7</v>
      </c>
      <c r="I120" s="53">
        <f t="shared" si="4"/>
        <v>8.1999999999999993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>
        <v>55</v>
      </c>
      <c r="B121" s="60">
        <v>197</v>
      </c>
      <c r="C121" s="60">
        <v>8</v>
      </c>
      <c r="D121" s="60">
        <v>21</v>
      </c>
      <c r="E121" s="87">
        <v>0.3</v>
      </c>
      <c r="F121" s="87"/>
      <c r="G121" s="87"/>
      <c r="H121" s="87">
        <v>0.7</v>
      </c>
      <c r="I121" s="53">
        <f t="shared" si="4"/>
        <v>8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>
        <v>60</v>
      </c>
      <c r="B122" s="60">
        <v>214</v>
      </c>
      <c r="C122" s="60">
        <v>9</v>
      </c>
      <c r="D122" s="60">
        <v>21</v>
      </c>
      <c r="E122" s="87">
        <v>0.4</v>
      </c>
      <c r="F122" s="87"/>
      <c r="G122" s="87"/>
      <c r="H122" s="87">
        <v>0.6</v>
      </c>
      <c r="I122" s="53">
        <f t="shared" si="4"/>
        <v>7.6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>
        <v>65</v>
      </c>
      <c r="B123" s="60">
        <v>229</v>
      </c>
      <c r="C123" s="60">
        <v>10</v>
      </c>
      <c r="D123" s="60">
        <v>21</v>
      </c>
      <c r="E123" s="87">
        <v>0.4</v>
      </c>
      <c r="F123" s="87"/>
      <c r="G123" s="87"/>
      <c r="H123" s="87">
        <v>0.6</v>
      </c>
      <c r="I123" s="53">
        <f t="shared" si="4"/>
        <v>7.2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>
        <v>70</v>
      </c>
      <c r="B124" s="60">
        <v>242</v>
      </c>
      <c r="C124" s="60">
        <v>11</v>
      </c>
      <c r="D124" s="60">
        <v>21</v>
      </c>
      <c r="E124" s="87">
        <v>0.5</v>
      </c>
      <c r="F124" s="87"/>
      <c r="G124" s="87"/>
      <c r="H124" s="87">
        <v>0.5</v>
      </c>
      <c r="I124" s="53">
        <f t="shared" si="4"/>
        <v>6.8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>
        <v>75</v>
      </c>
      <c r="B125" s="60">
        <v>252</v>
      </c>
      <c r="C125" s="60">
        <v>12</v>
      </c>
      <c r="D125" s="60">
        <v>21</v>
      </c>
      <c r="E125" s="87">
        <v>0.5</v>
      </c>
      <c r="F125" s="87"/>
      <c r="G125" s="87"/>
      <c r="H125" s="87">
        <v>0.5</v>
      </c>
      <c r="I125" s="53">
        <f t="shared" si="4"/>
        <v>6.2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>
        <v>80</v>
      </c>
      <c r="B126" s="60">
        <v>261</v>
      </c>
      <c r="C126" s="60">
        <v>13</v>
      </c>
      <c r="D126" s="60">
        <v>21</v>
      </c>
      <c r="E126" s="65">
        <v>0.6</v>
      </c>
      <c r="F126" s="65"/>
      <c r="G126" s="65"/>
      <c r="H126" s="65">
        <v>0.4</v>
      </c>
      <c r="I126" s="53">
        <f t="shared" si="4"/>
        <v>6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>
        <v>85</v>
      </c>
      <c r="B127" s="60">
        <v>269</v>
      </c>
      <c r="C127" s="60">
        <v>14</v>
      </c>
      <c r="D127" s="60">
        <v>21</v>
      </c>
      <c r="E127" s="65">
        <v>0.6</v>
      </c>
      <c r="F127" s="65"/>
      <c r="G127" s="65"/>
      <c r="H127" s="65">
        <v>0.4</v>
      </c>
      <c r="I127" s="53">
        <f t="shared" si="4"/>
        <v>5.8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>
        <v>90</v>
      </c>
      <c r="B128" s="50">
        <v>275</v>
      </c>
      <c r="C128" s="50">
        <v>15</v>
      </c>
      <c r="D128" s="50">
        <v>21</v>
      </c>
      <c r="E128" s="54">
        <v>0.7</v>
      </c>
      <c r="F128" s="54"/>
      <c r="G128" s="54"/>
      <c r="H128" s="54">
        <v>0.3</v>
      </c>
      <c r="I128" s="53">
        <f t="shared" si="4"/>
        <v>5.4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>
        <v>95</v>
      </c>
      <c r="B129" s="50">
        <v>289</v>
      </c>
      <c r="C129" s="50">
        <v>16</v>
      </c>
      <c r="D129" s="50">
        <v>21</v>
      </c>
      <c r="E129" s="54">
        <v>0.7</v>
      </c>
      <c r="F129" s="54"/>
      <c r="G129" s="54"/>
      <c r="H129" s="54">
        <v>0.3</v>
      </c>
      <c r="I129" s="53">
        <f t="shared" si="4"/>
        <v>7</v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>
        <v>100</v>
      </c>
      <c r="B130" s="50">
        <v>282</v>
      </c>
      <c r="C130" s="50">
        <v>17</v>
      </c>
      <c r="D130" s="50">
        <v>21</v>
      </c>
      <c r="E130" s="54">
        <v>0.7</v>
      </c>
      <c r="F130" s="54"/>
      <c r="G130" s="54"/>
      <c r="H130" s="54">
        <v>0.3</v>
      </c>
      <c r="I130" s="53">
        <f t="shared" si="4"/>
        <v>2.8</v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>
        <v>110</v>
      </c>
      <c r="B131" s="50">
        <v>305</v>
      </c>
      <c r="C131" s="50">
        <v>19</v>
      </c>
      <c r="D131" s="50">
        <v>39</v>
      </c>
      <c r="E131" s="54">
        <v>0.8</v>
      </c>
      <c r="F131" s="54"/>
      <c r="G131" s="54"/>
      <c r="H131" s="54">
        <v>0.2</v>
      </c>
      <c r="I131" s="53">
        <f t="shared" si="4"/>
        <v>4.4000000000000004</v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>
        <v>115</v>
      </c>
      <c r="B132" s="50">
        <v>285</v>
      </c>
      <c r="C132" s="50">
        <v>20</v>
      </c>
      <c r="D132" s="50">
        <v>18</v>
      </c>
      <c r="E132" s="54">
        <v>0.8</v>
      </c>
      <c r="F132" s="54"/>
      <c r="G132" s="54"/>
      <c r="H132" s="54">
        <v>0.2</v>
      </c>
      <c r="I132" s="53">
        <f t="shared" si="4"/>
        <v>3.8</v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>
        <v>120</v>
      </c>
      <c r="B133" s="50">
        <v>285</v>
      </c>
      <c r="C133" s="50">
        <v>21</v>
      </c>
      <c r="D133" s="50">
        <v>285</v>
      </c>
      <c r="E133" s="54">
        <v>0.8</v>
      </c>
      <c r="F133" s="54"/>
      <c r="G133" s="54"/>
      <c r="H133" s="54">
        <v>0.2</v>
      </c>
      <c r="I133" s="53">
        <f t="shared" si="4"/>
        <v>3.6</v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>Pin de Salzmann</v>
      </c>
      <c r="D136" s="228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>
        <v>15</v>
      </c>
      <c r="B140" s="60">
        <v>48.56</v>
      </c>
      <c r="C140" s="50">
        <v>1</v>
      </c>
      <c r="D140" s="60">
        <v>0</v>
      </c>
      <c r="E140" s="51"/>
      <c r="F140" s="51"/>
      <c r="G140" s="51"/>
      <c r="H140" s="51"/>
      <c r="I140" s="57">
        <f>IFERROR(B140/A140,"")</f>
        <v>3.2373333333333334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>
        <v>19</v>
      </c>
      <c r="B141" s="60">
        <v>127.82</v>
      </c>
      <c r="C141" s="50">
        <v>2</v>
      </c>
      <c r="D141" s="60">
        <v>46.3</v>
      </c>
      <c r="E141" s="51">
        <v>0.2</v>
      </c>
      <c r="F141" s="51">
        <v>0.45</v>
      </c>
      <c r="G141" s="51">
        <v>0.35</v>
      </c>
      <c r="H141" s="51"/>
      <c r="I141" s="57">
        <f t="shared" ref="I141:I159" si="5">IF(A141&lt;&gt;0,(B141-(B140-D140))/(A141-A140),"")</f>
        <v>19.814999999999998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>
        <v>24</v>
      </c>
      <c r="B142" s="60">
        <v>179.92</v>
      </c>
      <c r="C142" s="50">
        <v>3</v>
      </c>
      <c r="D142" s="60">
        <v>45</v>
      </c>
      <c r="E142" s="51"/>
      <c r="F142" s="51"/>
      <c r="G142" s="51"/>
      <c r="H142" s="51"/>
      <c r="I142" s="57">
        <f t="shared" si="5"/>
        <v>19.68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>
        <v>30</v>
      </c>
      <c r="B143" s="60">
        <v>260.10000000000002</v>
      </c>
      <c r="C143" s="50">
        <v>4</v>
      </c>
      <c r="D143" s="60">
        <v>66.989999999999995</v>
      </c>
      <c r="E143" s="51">
        <v>0.2</v>
      </c>
      <c r="F143" s="51">
        <v>0.45</v>
      </c>
      <c r="G143" s="51">
        <v>0.35</v>
      </c>
      <c r="H143" s="51"/>
      <c r="I143" s="57">
        <f t="shared" si="5"/>
        <v>20.86333333333334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>
        <v>32</v>
      </c>
      <c r="B144" s="60">
        <v>230.35</v>
      </c>
      <c r="C144" s="50">
        <v>5</v>
      </c>
      <c r="D144" s="60">
        <v>0</v>
      </c>
      <c r="E144" s="51"/>
      <c r="F144" s="51"/>
      <c r="G144" s="51"/>
      <c r="H144" s="51"/>
      <c r="I144" s="57">
        <f t="shared" si="5"/>
        <v>18.61999999999999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>
        <v>37</v>
      </c>
      <c r="B145" s="60">
        <v>337.12</v>
      </c>
      <c r="C145" s="50">
        <v>6</v>
      </c>
      <c r="D145" s="60">
        <v>55</v>
      </c>
      <c r="E145" s="51">
        <v>0.4</v>
      </c>
      <c r="F145" s="51">
        <v>0.34</v>
      </c>
      <c r="G145" s="51">
        <v>0.26</v>
      </c>
      <c r="H145" s="51"/>
      <c r="I145" s="57">
        <f t="shared" si="5"/>
        <v>21.354000000000003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>
        <v>41</v>
      </c>
      <c r="B146" s="60">
        <v>363.2</v>
      </c>
      <c r="C146" s="50">
        <v>8</v>
      </c>
      <c r="D146" s="60">
        <v>0</v>
      </c>
      <c r="E146" s="51"/>
      <c r="F146" s="51"/>
      <c r="G146" s="51"/>
      <c r="H146" s="51"/>
      <c r="I146" s="57">
        <f t="shared" si="5"/>
        <v>20.269999999999996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>
        <v>46</v>
      </c>
      <c r="B147" s="60">
        <v>466.26</v>
      </c>
      <c r="C147" s="50">
        <v>9</v>
      </c>
      <c r="D147" s="60">
        <v>93</v>
      </c>
      <c r="E147" s="51">
        <v>0.4</v>
      </c>
      <c r="F147" s="51">
        <v>0.34</v>
      </c>
      <c r="G147" s="51">
        <v>0.26</v>
      </c>
      <c r="H147" s="51"/>
      <c r="I147" s="57">
        <f>IF(A147&lt;&gt;0,(B147-(B146-D146))/(A147-A146),"")</f>
        <v>20.612000000000002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>
        <v>50</v>
      </c>
      <c r="B148" s="60">
        <v>443.73</v>
      </c>
      <c r="C148" s="50">
        <v>10</v>
      </c>
      <c r="D148" s="60">
        <v>0</v>
      </c>
      <c r="E148" s="51"/>
      <c r="F148" s="51"/>
      <c r="G148" s="51"/>
      <c r="H148" s="51"/>
      <c r="I148" s="57">
        <f t="shared" si="5"/>
        <v>17.617500000000007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>
        <v>56</v>
      </c>
      <c r="B149" s="60">
        <v>551.70000000000005</v>
      </c>
      <c r="C149" s="50">
        <v>11</v>
      </c>
      <c r="D149" s="60">
        <v>77</v>
      </c>
      <c r="E149" s="51">
        <v>0.6</v>
      </c>
      <c r="F149" s="51">
        <v>0.22</v>
      </c>
      <c r="G149" s="51">
        <v>0.18</v>
      </c>
      <c r="H149" s="51"/>
      <c r="I149" s="57">
        <f t="shared" si="5"/>
        <v>17.995000000000005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>
        <v>60</v>
      </c>
      <c r="B150" s="60">
        <v>521.75</v>
      </c>
      <c r="C150" s="50">
        <v>12</v>
      </c>
      <c r="D150" s="60">
        <v>521.75</v>
      </c>
      <c r="E150" s="51">
        <v>0.8</v>
      </c>
      <c r="F150" s="51">
        <v>0.11</v>
      </c>
      <c r="G150" s="51">
        <v>0.09</v>
      </c>
      <c r="H150" s="51"/>
      <c r="I150" s="57">
        <f t="shared" si="5"/>
        <v>11.762499999999989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>Cèdre de l'Atlas</v>
      </c>
      <c r="D162" s="228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>
        <v>20</v>
      </c>
      <c r="B166" s="60">
        <v>140</v>
      </c>
      <c r="C166" s="60">
        <v>1</v>
      </c>
      <c r="D166" s="60">
        <v>40</v>
      </c>
      <c r="E166" s="51">
        <v>0</v>
      </c>
      <c r="F166" s="51">
        <v>0.56000000000000005</v>
      </c>
      <c r="G166" s="51">
        <v>0.44</v>
      </c>
      <c r="H166" s="51"/>
      <c r="I166" s="49">
        <f>IFERROR(B166/A166,"")</f>
        <v>7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>
        <v>30</v>
      </c>
      <c r="B167" s="60">
        <v>210</v>
      </c>
      <c r="C167" s="60">
        <v>2</v>
      </c>
      <c r="D167" s="60">
        <v>50</v>
      </c>
      <c r="E167" s="51">
        <v>0.2</v>
      </c>
      <c r="F167" s="51">
        <v>0.45</v>
      </c>
      <c r="G167" s="51">
        <v>0.35</v>
      </c>
      <c r="H167" s="51"/>
      <c r="I167" s="49">
        <f t="shared" ref="I167:I185" si="6">IF(A167&lt;&gt;0,(B167-(B166-D166))/(A167-A166),"")</f>
        <v>11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>
        <v>40</v>
      </c>
      <c r="B168" s="60">
        <v>300</v>
      </c>
      <c r="C168" s="60">
        <v>3</v>
      </c>
      <c r="D168" s="60">
        <v>50</v>
      </c>
      <c r="E168" s="51">
        <v>0.4</v>
      </c>
      <c r="F168" s="51">
        <v>0.34</v>
      </c>
      <c r="G168" s="51">
        <v>0.26</v>
      </c>
      <c r="H168" s="51"/>
      <c r="I168" s="49">
        <f t="shared" si="6"/>
        <v>14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>
        <v>50</v>
      </c>
      <c r="B169" s="60">
        <v>390</v>
      </c>
      <c r="C169" s="60">
        <v>4</v>
      </c>
      <c r="D169" s="60">
        <v>50</v>
      </c>
      <c r="E169" s="51">
        <v>0.5</v>
      </c>
      <c r="F169" s="51">
        <v>0.28000000000000003</v>
      </c>
      <c r="G169" s="51">
        <v>0.22</v>
      </c>
      <c r="H169" s="51"/>
      <c r="I169" s="49">
        <f t="shared" si="6"/>
        <v>14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>
        <v>60</v>
      </c>
      <c r="B170" s="60">
        <v>470</v>
      </c>
      <c r="C170" s="60">
        <v>5</v>
      </c>
      <c r="D170" s="60">
        <v>470</v>
      </c>
      <c r="E170" s="51">
        <v>0.7</v>
      </c>
      <c r="F170" s="51">
        <v>0.17</v>
      </c>
      <c r="G170" s="51">
        <v>0.13</v>
      </c>
      <c r="H170" s="51"/>
      <c r="I170" s="49">
        <f t="shared" si="6"/>
        <v>13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/>
      </c>
      <c r="D188" s="228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/>
      </c>
      <c r="D214" s="228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/>
      </c>
      <c r="D240" s="228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8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42578125" style="4" customWidth="1"/>
    <col min="6" max="7" width="11.42578125" style="4"/>
    <col min="8" max="8" width="10.7109375" style="4" customWidth="1"/>
    <col min="9" max="9" width="9.42578125" style="4" customWidth="1"/>
    <col min="10" max="11" width="10.42578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42578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42578125" style="4" bestFit="1" customWidth="1"/>
    <col min="36" max="36" width="9.42578125" style="4" bestFit="1" customWidth="1"/>
    <col min="37" max="38" width="10.42578125" style="4" bestFit="1" customWidth="1"/>
    <col min="39" max="41" width="10.42578125" style="4" customWidth="1"/>
    <col min="42" max="42" width="9" style="4" bestFit="1" customWidth="1"/>
    <col min="43" max="43" width="10.42578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42578125" style="4" bestFit="1" customWidth="1"/>
    <col min="54" max="54" width="14.28515625" style="4" customWidth="1"/>
    <col min="55" max="55" width="14" style="4" customWidth="1"/>
    <col min="56" max="56" width="10.42578125" style="4" bestFit="1" customWidth="1"/>
    <col min="57" max="57" width="9.42578125" style="4" bestFit="1" customWidth="1"/>
    <col min="58" max="59" width="10.42578125" style="4" bestFit="1" customWidth="1"/>
    <col min="60" max="62" width="10.42578125" style="4" customWidth="1"/>
    <col min="63" max="63" width="9" style="4" bestFit="1" customWidth="1"/>
    <col min="64" max="64" width="10.42578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42578125" style="4" bestFit="1" customWidth="1"/>
    <col min="75" max="75" width="14" style="4" bestFit="1" customWidth="1"/>
    <col min="76" max="76" width="13.85546875" style="4" customWidth="1"/>
    <col min="77" max="77" width="10.42578125" style="4" bestFit="1" customWidth="1"/>
    <col min="78" max="78" width="9.42578125" style="4" bestFit="1" customWidth="1"/>
    <col min="79" max="80" width="10.42578125" style="4" bestFit="1" customWidth="1"/>
    <col min="81" max="83" width="10.42578125" style="4" customWidth="1"/>
    <col min="84" max="84" width="11.42578125" style="4"/>
    <col min="85" max="85" width="10.42578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42578125" style="4" bestFit="1" customWidth="1"/>
    <col min="99" max="99" width="9.42578125" style="4" bestFit="1" customWidth="1"/>
    <col min="100" max="101" width="10.42578125" style="4" bestFit="1" customWidth="1"/>
    <col min="102" max="104" width="10.42578125" style="4" customWidth="1"/>
    <col min="105" max="105" width="9" style="4" bestFit="1" customWidth="1"/>
    <col min="106" max="106" width="10.42578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42578125" style="4" bestFit="1" customWidth="1"/>
    <col min="117" max="117" width="14.28515625" style="4" customWidth="1"/>
    <col min="118" max="118" width="14" style="4" bestFit="1" customWidth="1"/>
    <col min="119" max="119" width="10.42578125" style="4" bestFit="1" customWidth="1"/>
    <col min="120" max="120" width="9.42578125" style="4" bestFit="1" customWidth="1"/>
    <col min="121" max="122" width="10.42578125" style="4" bestFit="1" customWidth="1"/>
    <col min="123" max="125" width="10.42578125" style="4" customWidth="1"/>
    <col min="126" max="126" width="9" style="4" bestFit="1" customWidth="1"/>
    <col min="127" max="127" width="10.42578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42578125" style="4" bestFit="1" customWidth="1"/>
    <col min="138" max="139" width="14" style="4" customWidth="1"/>
    <col min="140" max="140" width="10.42578125" style="4" bestFit="1" customWidth="1"/>
    <col min="141" max="141" width="9.42578125" style="4" bestFit="1" customWidth="1"/>
    <col min="142" max="143" width="10.42578125" style="4" bestFit="1" customWidth="1"/>
    <col min="144" max="146" width="10.42578125" style="4" customWidth="1"/>
    <col min="147" max="147" width="9" style="4" bestFit="1" customWidth="1"/>
    <col min="148" max="148" width="10.42578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42578125" style="4" bestFit="1" customWidth="1"/>
    <col min="162" max="162" width="9.42578125" style="4" bestFit="1" customWidth="1"/>
    <col min="163" max="164" width="10.42578125" style="4" bestFit="1" customWidth="1"/>
    <col min="165" max="167" width="10.42578125" style="4" customWidth="1"/>
    <col min="168" max="168" width="9" style="4" bestFit="1" customWidth="1"/>
    <col min="169" max="169" width="10.42578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42578125" style="4" bestFit="1" customWidth="1"/>
    <col min="180" max="181" width="14" style="4" bestFit="1" customWidth="1"/>
    <col min="182" max="182" width="10.42578125" style="4" bestFit="1" customWidth="1"/>
    <col min="183" max="183" width="9.42578125" style="4" bestFit="1" customWidth="1"/>
    <col min="184" max="185" width="10.42578125" style="4" bestFit="1" customWidth="1"/>
    <col min="186" max="188" width="10.42578125" style="4" customWidth="1"/>
    <col min="189" max="189" width="9" style="4" bestFit="1" customWidth="1"/>
    <col min="190" max="190" width="10.42578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42578125" style="4" bestFit="1" customWidth="1"/>
    <col min="201" max="201" width="14" style="4" customWidth="1"/>
    <col min="202" max="202" width="14.28515625" style="4" customWidth="1"/>
    <col min="203" max="203" width="10.42578125" style="4" bestFit="1" customWidth="1"/>
    <col min="204" max="204" width="9.42578125" style="4" bestFit="1" customWidth="1"/>
    <col min="205" max="206" width="10.42578125" style="4" bestFit="1" customWidth="1"/>
    <col min="207" max="209" width="10.42578125" style="4" customWidth="1"/>
    <col min="210" max="210" width="9" style="4" bestFit="1" customWidth="1"/>
    <col min="211" max="211" width="10.42578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7" t="s">
        <v>176</v>
      </c>
      <c r="C1" s="278"/>
      <c r="D1" s="278"/>
      <c r="E1" s="278"/>
      <c r="F1" s="278"/>
      <c r="G1" s="278"/>
      <c r="H1" s="279"/>
      <c r="I1" s="274" t="str">
        <f>IF('Données projet'!$B$9="","",'Données projet'!$B$9)</f>
        <v>Chêne pubescent</v>
      </c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  <c r="Y1" s="275"/>
      <c r="Z1" s="275"/>
      <c r="AA1" s="275"/>
      <c r="AB1" s="275"/>
      <c r="AC1" s="276"/>
      <c r="AD1" s="275" t="str">
        <f>IF('Données projet'!$B$10="","",'Données projet'!$B$10)</f>
        <v>Chêne chevelu</v>
      </c>
      <c r="AE1" s="275"/>
      <c r="AF1" s="275"/>
      <c r="AG1" s="275"/>
      <c r="AH1" s="275"/>
      <c r="AI1" s="275"/>
      <c r="AJ1" s="275"/>
      <c r="AK1" s="275"/>
      <c r="AL1" s="275"/>
      <c r="AM1" s="275"/>
      <c r="AN1" s="275"/>
      <c r="AO1" s="275"/>
      <c r="AP1" s="275"/>
      <c r="AQ1" s="275"/>
      <c r="AR1" s="275"/>
      <c r="AS1" s="275"/>
      <c r="AT1" s="275"/>
      <c r="AU1" s="275"/>
      <c r="AV1" s="275"/>
      <c r="AW1" s="275"/>
      <c r="AX1" s="276"/>
      <c r="AY1" s="274" t="str">
        <f>IF('Données projet'!$B$11="","",'Données projet'!$B$11)</f>
        <v>Cormier</v>
      </c>
      <c r="AZ1" s="275"/>
      <c r="BA1" s="275"/>
      <c r="BB1" s="275"/>
      <c r="BC1" s="275"/>
      <c r="BD1" s="275"/>
      <c r="BE1" s="275"/>
      <c r="BF1" s="275"/>
      <c r="BG1" s="275"/>
      <c r="BH1" s="275"/>
      <c r="BI1" s="275"/>
      <c r="BJ1" s="275"/>
      <c r="BK1" s="275"/>
      <c r="BL1" s="275"/>
      <c r="BM1" s="275"/>
      <c r="BN1" s="275"/>
      <c r="BO1" s="275"/>
      <c r="BP1" s="275"/>
      <c r="BQ1" s="275"/>
      <c r="BR1" s="275"/>
      <c r="BS1" s="276"/>
      <c r="BT1" s="274" t="str">
        <f>IF('Données projet'!$B$12="","",'Données projet'!$B$12)</f>
        <v>Tilleul</v>
      </c>
      <c r="BU1" s="275"/>
      <c r="BV1" s="275"/>
      <c r="BW1" s="275"/>
      <c r="BX1" s="275"/>
      <c r="BY1" s="275"/>
      <c r="BZ1" s="275"/>
      <c r="CA1" s="275"/>
      <c r="CB1" s="275"/>
      <c r="CC1" s="275"/>
      <c r="CD1" s="275"/>
      <c r="CE1" s="275"/>
      <c r="CF1" s="275"/>
      <c r="CG1" s="275"/>
      <c r="CH1" s="275"/>
      <c r="CI1" s="275"/>
      <c r="CJ1" s="275"/>
      <c r="CK1" s="275"/>
      <c r="CL1" s="275"/>
      <c r="CM1" s="275"/>
      <c r="CN1" s="276"/>
      <c r="CO1" s="274" t="str">
        <f>IF('Données projet'!$B$13="","",'Données projet'!$B$13)</f>
        <v>Pin de Salzmann</v>
      </c>
      <c r="CP1" s="275"/>
      <c r="CQ1" s="275"/>
      <c r="CR1" s="275"/>
      <c r="CS1" s="275"/>
      <c r="CT1" s="275"/>
      <c r="CU1" s="275"/>
      <c r="CV1" s="275"/>
      <c r="CW1" s="275"/>
      <c r="CX1" s="275"/>
      <c r="CY1" s="275"/>
      <c r="CZ1" s="275"/>
      <c r="DA1" s="275"/>
      <c r="DB1" s="275"/>
      <c r="DC1" s="275"/>
      <c r="DD1" s="275"/>
      <c r="DE1" s="275"/>
      <c r="DF1" s="275"/>
      <c r="DG1" s="275"/>
      <c r="DH1" s="275"/>
      <c r="DI1" s="276"/>
      <c r="DJ1" s="274" t="str">
        <f>IF('Données projet'!$B$14="","",'Données projet'!$B$14)</f>
        <v>Cèdre de l'Atlas</v>
      </c>
      <c r="DK1" s="275"/>
      <c r="DL1" s="275"/>
      <c r="DM1" s="275"/>
      <c r="DN1" s="275"/>
      <c r="DO1" s="275"/>
      <c r="DP1" s="275"/>
      <c r="DQ1" s="275"/>
      <c r="DR1" s="275"/>
      <c r="DS1" s="275"/>
      <c r="DT1" s="275"/>
      <c r="DU1" s="275"/>
      <c r="DV1" s="275"/>
      <c r="DW1" s="275"/>
      <c r="DX1" s="275"/>
      <c r="DY1" s="275"/>
      <c r="DZ1" s="275"/>
      <c r="EA1" s="275"/>
      <c r="EB1" s="275"/>
      <c r="EC1" s="275"/>
      <c r="ED1" s="276"/>
      <c r="EE1" s="274" t="str">
        <f>IF('Données projet'!$B$15="","",'Données projet'!$B$15)</f>
        <v/>
      </c>
      <c r="EF1" s="275"/>
      <c r="EG1" s="275"/>
      <c r="EH1" s="275"/>
      <c r="EI1" s="275"/>
      <c r="EJ1" s="275"/>
      <c r="EK1" s="275"/>
      <c r="EL1" s="275"/>
      <c r="EM1" s="275"/>
      <c r="EN1" s="275"/>
      <c r="EO1" s="275"/>
      <c r="EP1" s="275"/>
      <c r="EQ1" s="275"/>
      <c r="ER1" s="275"/>
      <c r="ES1" s="275"/>
      <c r="ET1" s="275"/>
      <c r="EU1" s="275"/>
      <c r="EV1" s="275"/>
      <c r="EW1" s="275"/>
      <c r="EX1" s="275"/>
      <c r="EY1" s="276"/>
      <c r="EZ1" s="274" t="str">
        <f>IF('Données projet'!$B$16="","",'Données projet'!$B$16)</f>
        <v/>
      </c>
      <c r="FA1" s="275"/>
      <c r="FB1" s="275"/>
      <c r="FC1" s="275"/>
      <c r="FD1" s="275"/>
      <c r="FE1" s="275"/>
      <c r="FF1" s="275"/>
      <c r="FG1" s="275"/>
      <c r="FH1" s="275"/>
      <c r="FI1" s="275"/>
      <c r="FJ1" s="275"/>
      <c r="FK1" s="275"/>
      <c r="FL1" s="275"/>
      <c r="FM1" s="275"/>
      <c r="FN1" s="275"/>
      <c r="FO1" s="275"/>
      <c r="FP1" s="275"/>
      <c r="FQ1" s="275"/>
      <c r="FR1" s="275"/>
      <c r="FS1" s="275"/>
      <c r="FT1" s="276"/>
      <c r="FU1" s="274" t="str">
        <f>IF('Données projet'!$B$17="","",'Données projet'!$B$17)</f>
        <v/>
      </c>
      <c r="FV1" s="275"/>
      <c r="FW1" s="275"/>
      <c r="FX1" s="275"/>
      <c r="FY1" s="275"/>
      <c r="FZ1" s="275"/>
      <c r="GA1" s="275"/>
      <c r="GB1" s="275"/>
      <c r="GC1" s="275"/>
      <c r="GD1" s="275"/>
      <c r="GE1" s="275"/>
      <c r="GF1" s="275"/>
      <c r="GG1" s="275"/>
      <c r="GH1" s="275"/>
      <c r="GI1" s="275"/>
      <c r="GJ1" s="275"/>
      <c r="GK1" s="275"/>
      <c r="GL1" s="275"/>
      <c r="GM1" s="275"/>
      <c r="GN1" s="275"/>
      <c r="GO1" s="276"/>
      <c r="GP1" s="274" t="str">
        <f>IF('Données projet'!$B$18="","",'Données projet'!$B$18)</f>
        <v/>
      </c>
      <c r="GQ1" s="275"/>
      <c r="GR1" s="275"/>
      <c r="GS1" s="275"/>
      <c r="GT1" s="275"/>
      <c r="GU1" s="275"/>
      <c r="GV1" s="275"/>
      <c r="GW1" s="275"/>
      <c r="GX1" s="275"/>
      <c r="GY1" s="275"/>
      <c r="GZ1" s="275"/>
      <c r="HA1" s="275"/>
      <c r="HB1" s="275"/>
      <c r="HC1" s="275"/>
      <c r="HD1" s="275"/>
      <c r="HE1" s="275"/>
      <c r="HF1" s="275"/>
      <c r="HG1" s="275"/>
      <c r="HH1" s="275"/>
      <c r="HI1" s="275"/>
      <c r="HJ1" s="276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5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67">
        <f>(B3+E3+F3)*44/12+(C3+D3)*0.475*44/12</f>
        <v>183.33333333333334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165</v>
      </c>
      <c r="S3" s="59">
        <f ca="1">AVERAGE(OFFSET($R$3,0,0,'Données projet'!$E$9+1,1))-AVERAGE(OFFSET($H$3,0,0,'Données projet'!$E$9+1,1))</f>
        <v>538.10210778862256</v>
      </c>
      <c r="T3" s="59">
        <f>IF('Données projet'!E9&gt;30,$R$33-$H$33,LOOKUP('Données projet'!$E$9,$A$3:$A$203,R3:R203)-LOOKUP('Données projet'!$E$9,$A$3:$A$203,$H$3:$H$203))</f>
        <v>399.53300632021399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165</v>
      </c>
      <c r="AN3" s="59">
        <f ca="1">AVERAGE(OFFSET($AM$3,0,0,'Données projet'!$E$10+1,1))-AVERAGE(OFFSET($H$3,0,0,'Données projet'!$E$10+1,1))</f>
        <v>552.26894123675538</v>
      </c>
      <c r="AO3" s="59">
        <f>IF('Données projet'!E10&gt;30,$AM$33-$H$33,LOOKUP('Données projet'!$E$10,$A$3:$A$203,AM3:AM203)-LOOKUP('Données projet'!$E$10,$A$3:$A$203,$H$3:$H$203))</f>
        <v>409.85604950107006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165</v>
      </c>
      <c r="BI3" s="59">
        <f ca="1">AVERAGE(OFFSET($BH$3,0,0,'Données projet'!$E$11+1,1))-AVERAGE(OFFSET($H$3,0,0,'Données projet'!$E$11+1,1))</f>
        <v>361.24725625563468</v>
      </c>
      <c r="BJ3" s="59">
        <f>IF('Données projet'!E11&gt;30,$BH$33-$H$33,LOOKUP('Données projet'!$E$11,$A$3:$A$203,BH3:BH203)-LOOKUP('Données projet'!$E$11,$A$3:$A$203,$H$3:$H$203))</f>
        <v>186.0840067781198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165</v>
      </c>
      <c r="CD3" s="59">
        <f ca="1">AVERAGE(OFFSET($CC$3,0,0,'Données projet'!$E$12+1,1))-AVERAGE(OFFSET($H$3,0,0,'Données projet'!$E$12+1,1))</f>
        <v>323.91378047319455</v>
      </c>
      <c r="CE3" s="59">
        <f>IF('Données projet'!E12&gt;30,$CC$33-$H$33,LOOKUP('Données projet'!$E$12,$A$3:$A$203,CC3:CC203)-LOOKUP('Données projet'!$E$12,$A$3:$A$203,$H$3:$H$203))</f>
        <v>212.89889176380288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165</v>
      </c>
      <c r="CY3" s="59">
        <f ca="1">AVERAGE(OFFSET($CX$3,0,0,'Données projet'!$E$13+1,1))-AVERAGE(OFFSET($H$3,0,0,'Données projet'!$E$13+1,1))</f>
        <v>356.07880667298025</v>
      </c>
      <c r="CZ3" s="59">
        <f>IF('Données projet'!E13&gt;30,$CX$33-$H$33,LOOKUP('Données projet'!$E$13,$A$3:$A$203,CX3:CX203)-LOOKUP('Données projet'!$E$13,$A$3:$A$203,$H$3:$H$203))</f>
        <v>396.05161661639659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165</v>
      </c>
      <c r="DT3" s="59">
        <f ca="1">AVERAGE(OFFSET($DS$3,0,0,'Données projet'!$E$14+1,1))-AVERAGE(OFFSET($H$3,0,0,'Données projet'!$E$14+1,1))</f>
        <v>246.11623544660486</v>
      </c>
      <c r="DU3" s="59">
        <f>IF('Données projet'!E14&gt;30,$DS$33-$H$33,LOOKUP('Données projet'!$E$14,$A$3:$A$203,DS3:DS203)-LOOKUP('Données projet'!$E$14,$A$3:$A$203,$H$3:$H$203))</f>
        <v>273.18950868898253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5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67">
        <f t="shared" ref="H4:H67" si="1">(B4+E4+F4)*44/12+(C4+D4)*0.475*44/12</f>
        <v>183.33333333333334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3.65</v>
      </c>
      <c r="N4" s="13">
        <f>IF('Données projet'!$A$36&gt;35,N3+M4-V3,IF(A4&lt;'Données projet'!$A$36,$K$205^A4,IF(A4='Données projet'!$A$36,'Données projet'!$B$36,N3+M4-V3)))</f>
        <v>1.2392705892426346</v>
      </c>
      <c r="O4" s="13">
        <f>N4*VLOOKUP('Données projet'!$B$9,Paramètres!$A$1:$I$89,3,0)*VLOOKUP('Données projet'!$B$9,Paramètres!$A$1:$I$89,5,0)</f>
        <v>1.2566203774920315</v>
      </c>
      <c r="P4" s="13">
        <f>EXP(-1.0587+0.8836*LN(O4)+0.284)</f>
        <v>0.56390871417545174</v>
      </c>
      <c r="Q4" s="20">
        <f t="shared" ref="Q4:Q34" si="2">(O4+P4)*0.475*44/12</f>
        <v>3.1707548346542</v>
      </c>
      <c r="R4" s="59">
        <f t="shared" si="0"/>
        <v>170.98318878757803</v>
      </c>
      <c r="S4" s="59">
        <f ca="1">AVERAGE(OFFSET($R$3,0,0,'Données projet'!$E$9+1,1))-AVERAGE(OFFSET($H$3,0,0,'Données projet'!$E$9+1,1))</f>
        <v>538.10210778862256</v>
      </c>
      <c r="T4" s="59">
        <f>$T$3</f>
        <v>399.53300632021399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3.65</v>
      </c>
      <c r="AI4" s="13">
        <f>IF('Données projet'!$A$62&gt;35,AI3+AH4-AQ3,IF(A4&lt;'Données projet'!$A$62,$AF$205^A4,IF(A4='Données projet'!$A$62,'Données projet'!$B$62,AI3+AH4-AQ3)))</f>
        <v>1.2392705892426346</v>
      </c>
      <c r="AJ4" s="13">
        <f>AI4*VLOOKUP('Données projet'!$B$10,Paramètres!$A$1:$I$89,3,0)*VLOOKUP('Données projet'!$B$10,Paramètres!$A$1:$I$89,5,0)</f>
        <v>1.2952856198764018</v>
      </c>
      <c r="AK4" s="13">
        <f>EXP(-1.0587+0.8836*LN(AJ4)+0.284)</f>
        <v>0.57921294517312394</v>
      </c>
      <c r="AL4" s="20">
        <f t="shared" ref="AL4:AL67" si="4">(AJ4+AK4)*0.475*44/12</f>
        <v>3.2647516674612578</v>
      </c>
      <c r="AM4" s="59">
        <f t="shared" ref="AM4:AM67" si="5">AL4+(AD4+AE4)*44/12</f>
        <v>171.07718562038511</v>
      </c>
      <c r="AN4" s="59">
        <f ca="1">AVERAGE(OFFSET($AM$3,0,0,'Données projet'!$E$10+1,1))-AVERAGE(OFFSET($H$3,0,0,'Données projet'!$E$10+1,1))</f>
        <v>552.26894123675538</v>
      </c>
      <c r="AO4" s="59">
        <f>$AO$3</f>
        <v>409.85604950107006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1.2</v>
      </c>
      <c r="BD4" s="12">
        <f>IF('Données projet'!$A$88&gt;35,BD3+BC4-BL3,IF(A4&lt;'Données projet'!$A$88,$BA$205^A4,IF(A4='Données projet'!$A$88,'Données projet'!$B$88,BD3+BC4-BL3)))</f>
        <v>1.1457367676485573</v>
      </c>
      <c r="BE4" s="13">
        <f>BD4*VLOOKUP('Données projet'!$B$11,Paramètres!$A$1:$I$89,3,0)*VLOOKUP('Données projet'!$B$11,Paramètres!$A$1:$I$89,5,0)</f>
        <v>1.233271056696907</v>
      </c>
      <c r="BF4" s="13">
        <f>EXP(-1.0587+0.8836*LN(BE4)+0.284)</f>
        <v>0.55464025923604754</v>
      </c>
      <c r="BG4" s="20">
        <f t="shared" ref="BG4:BG67" si="7">(BE4+BF4)*0.475*44/12</f>
        <v>3.113945541916562</v>
      </c>
      <c r="BH4" s="59">
        <f t="shared" ref="BH4:BH67" si="8">BG4+(AY4+AZ4)*44/12</f>
        <v>170.9263794948404</v>
      </c>
      <c r="BI4" s="59">
        <f ca="1">AVERAGE(OFFSET($BH$3,0,0,'Données projet'!$E$11+1,1))-AVERAGE(OFFSET($H$3,0,0,'Données projet'!$E$11+1,1))</f>
        <v>361.24725625563468</v>
      </c>
      <c r="BJ4" s="59">
        <f>$BJ$3</f>
        <v>186.0840067781198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2.1</v>
      </c>
      <c r="BY4" s="12">
        <f>IF('Données projet'!$A$114&gt;35,BY3+BX4-CG3,IF(A4&lt;'Données projet'!$A$114,$BV$205^A4,IF(A4='Données projet'!$A$114,'Données projet'!$B$114,BY3+BX4-CG3)))</f>
        <v>1.2054868146447177</v>
      </c>
      <c r="BZ4" s="13">
        <f>BY4*VLOOKUP('Données projet'!$B$12,Paramètres!$A$1:$I$89,3,0)*VLOOKUP('Données projet'!$B$12,Paramètres!$A$1:$I$89,5,0)</f>
        <v>0.80864055526367662</v>
      </c>
      <c r="CA4" s="13">
        <f>EXP(-1.0587+0.8836*LN(BZ4)+0.284)</f>
        <v>0.38198370868369436</v>
      </c>
      <c r="CB4" s="20">
        <f t="shared" ref="CB4:CB67" si="10">(BZ4+CA4)*0.475*44/12</f>
        <v>2.0736705930416708</v>
      </c>
      <c r="CC4" s="59">
        <f t="shared" ref="CC4:CC67" si="11">CB4+(BT4+BU4)*44/12</f>
        <v>169.88610454596551</v>
      </c>
      <c r="CD4" s="59">
        <f ca="1">AVERAGE(OFFSET($CC$3,0,0,'Données projet'!$E$12+1,1))-AVERAGE(OFFSET($H$3,0,0,'Données projet'!$E$12+1,1))</f>
        <v>323.91378047319455</v>
      </c>
      <c r="CE4" s="59">
        <f>$CE$3</f>
        <v>212.89889176380288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3.2373333333333334</v>
      </c>
      <c r="CT4" s="12">
        <f>IF('Données projet'!$A$140&gt;35,CT3+CS4-DB3,IF(A4&lt;'Données projet'!$A$140,$CQ$205^A4,IF(A4='Données projet'!$A$140,'Données projet'!$B$140,CT3+CS4-DB3)))</f>
        <v>1.2954438051451196</v>
      </c>
      <c r="CU4" s="17">
        <f>CT4*VLOOKUP('Données projet'!$B$13,Paramètres!$A$1:$I$89,3,0)*VLOOKUP('Données projet'!$B$13,Paramètres!$A$1:$I$89,5,0)</f>
        <v>0.77467539547678155</v>
      </c>
      <c r="CV4" s="13">
        <f>EXP(-1.0587+0.8836*LN(CU4)+0.284)</f>
        <v>0.36777168287054751</v>
      </c>
      <c r="CW4" s="20">
        <f t="shared" ref="CW4:CW67" si="13">(CU4+CV4)*0.475*44/12</f>
        <v>1.9897619947882648</v>
      </c>
      <c r="CX4" s="59">
        <f t="shared" ref="CX4:CX67" si="14">CW4+(CO4+CP4)*44/12</f>
        <v>169.80219594771211</v>
      </c>
      <c r="CY4" s="59">
        <f ca="1">AVERAGE(OFFSET($CX$3,0,0,'Données projet'!$E$13+1,1))-AVERAGE(OFFSET($H$3,0,0,'Données projet'!$E$13+1,1))</f>
        <v>356.07880667298025</v>
      </c>
      <c r="CZ4" s="59">
        <f>$CZ$3</f>
        <v>396.05161661639659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7</v>
      </c>
      <c r="DO4" s="12">
        <f>IF('Données projet'!$A$166&gt;35,DO3+DN4-DW3,IF(A4&lt;'Données projet'!$A$166,$DL$205^A4,IF(A4='Données projet'!$A$166,'Données projet'!$B$166,DO3+DN4-DW3)))</f>
        <v>1.2802842468510145</v>
      </c>
      <c r="DP4" s="17">
        <f>DO4*VLOOKUP('Données projet'!$B$14,Paramètres!$A$1:$I$89,3,0)*VLOOKUP('Données projet'!$B$14,Paramètres!$A$1:$I$89,5,0)</f>
        <v>0.59917302752627477</v>
      </c>
      <c r="DQ4" s="13">
        <f>EXP(-1.0587+0.8836*LN(DP4)+0.284)</f>
        <v>0.29308746006107994</v>
      </c>
      <c r="DR4" s="20">
        <f t="shared" ref="DR4:DR67" si="16">(DP4+DQ4)*0.475*44/12</f>
        <v>1.5540203492146427</v>
      </c>
      <c r="DS4" s="59">
        <f t="shared" ref="DS4:DS67" si="17">DR4+(DJ4+DK4)*44/12</f>
        <v>169.36645430213849</v>
      </c>
      <c r="DT4" s="59">
        <f ca="1">AVERAGE(OFFSET($DS$3,0,0,'Données projet'!$E$14+1,1))-AVERAGE(OFFSET($H$3,0,0,'Données projet'!$E$14+1,1))</f>
        <v>246.11623544660486</v>
      </c>
      <c r="DU4" s="59">
        <f>$DU$3</f>
        <v>273.18950868898253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5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67">
        <f t="shared" si="1"/>
        <v>183.33333333333334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3.65</v>
      </c>
      <c r="N5" s="13">
        <f>IF('Données projet'!$A$36&gt;35,N4+M5-V4,IF(A5&lt;'Données projet'!$A$36,$K$205^A5,IF(A5='Données projet'!$A$36,'Données projet'!$B$36,N4+M5-V4)))</f>
        <v>1.5357915933617867</v>
      </c>
      <c r="O5" s="13">
        <f>N5*VLOOKUP('Données projet'!$B$9,Paramètres!$A$1:$I$89,3,0)*VLOOKUP('Données projet'!$B$9,Paramètres!$A$1:$I$89,5,0)</f>
        <v>1.5572926756688519</v>
      </c>
      <c r="P5" s="13">
        <f t="shared" ref="P5:P68" si="33">EXP(-1.0587+0.8836*LN(O5)+0.284)</f>
        <v>0.68160129960402205</v>
      </c>
      <c r="Q5" s="20">
        <f t="shared" si="2"/>
        <v>3.8994070069335893</v>
      </c>
      <c r="R5" s="59">
        <f t="shared" si="0"/>
        <v>174.49668829443442</v>
      </c>
      <c r="S5" s="59">
        <f ca="1">AVERAGE(OFFSET($R$3,0,0,'Données projet'!$E$9+1,1))-AVERAGE(OFFSET($H$3,0,0,'Données projet'!$E$9+1,1))</f>
        <v>538.10210778862256</v>
      </c>
      <c r="T5" s="59">
        <f t="shared" ref="T5:T68" si="34">$T$3</f>
        <v>399.53300632021399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3.65</v>
      </c>
      <c r="AI5" s="13">
        <f>IF('Données projet'!$A$62&gt;35,AI4+AH5-AQ4,IF(A5&lt;'Données projet'!$A$62,$AF$205^A5,IF(A5='Données projet'!$A$62,'Données projet'!$B$62,AI4+AH5-AQ4)))</f>
        <v>1.5357915933617867</v>
      </c>
      <c r="AJ5" s="13">
        <f>AI5*VLOOKUP('Données projet'!$B$10,Paramètres!$A$1:$I$89,3,0)*VLOOKUP('Données projet'!$B$10,Paramètres!$A$1:$I$89,5,0)</f>
        <v>1.6052093733817396</v>
      </c>
      <c r="AK5" s="13">
        <f t="shared" ref="AK5:AK68" si="35">EXP(-1.0587+0.8836*LN(AJ5)+0.284)</f>
        <v>0.70009965487896453</v>
      </c>
      <c r="AL5" s="20">
        <f t="shared" si="4"/>
        <v>4.0150798908873933</v>
      </c>
      <c r="AM5" s="59">
        <f t="shared" si="5"/>
        <v>174.61236117838823</v>
      </c>
      <c r="AN5" s="59">
        <f ca="1">AVERAGE(OFFSET($AM$3,0,0,'Données projet'!$E$10+1,1))-AVERAGE(OFFSET($H$3,0,0,'Données projet'!$E$10+1,1))</f>
        <v>552.26894123675538</v>
      </c>
      <c r="AO5" s="59">
        <f t="shared" ref="AO5:AO68" si="36">$AO$3</f>
        <v>409.85604950107006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1.2</v>
      </c>
      <c r="BD5" s="12">
        <f>IF('Données projet'!$A$88&gt;35,BD4+BC5-BL4,IF(A5&lt;'Données projet'!$A$88,$BA$205^A5,IF(A5='Données projet'!$A$88,'Données projet'!$B$88,BD4+BC5-BL4)))</f>
        <v>1.312712740741764</v>
      </c>
      <c r="BE5" s="13">
        <f>BD5*VLOOKUP('Données projet'!$B$11,Paramètres!$A$1:$I$89,3,0)*VLOOKUP('Données projet'!$B$11,Paramètres!$A$1:$I$89,5,0)</f>
        <v>1.4130039941344348</v>
      </c>
      <c r="BF5" s="13">
        <f t="shared" ref="BF5:BF68" si="37">EXP(-1.0587+0.8836*LN(BE5)+0.284)</f>
        <v>0.62548768551477418</v>
      </c>
      <c r="BG5" s="20">
        <f t="shared" si="7"/>
        <v>3.5503730087223722</v>
      </c>
      <c r="BH5" s="59">
        <f t="shared" si="8"/>
        <v>174.14765429622321</v>
      </c>
      <c r="BI5" s="59">
        <f ca="1">AVERAGE(OFFSET($BH$3,0,0,'Données projet'!$E$11+1,1))-AVERAGE(OFFSET($H$3,0,0,'Données projet'!$E$11+1,1))</f>
        <v>361.24725625563468</v>
      </c>
      <c r="BJ5" s="59">
        <f t="shared" ref="BJ5:BJ68" si="38">$BJ$3</f>
        <v>186.0840067781198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2.1</v>
      </c>
      <c r="BY5" s="12">
        <f>IF('Données projet'!$A$114&gt;35,BY4+BX5-CG4,IF(A5&lt;'Données projet'!$A$114,$BV$205^A5,IF(A5='Données projet'!$A$114,'Données projet'!$B$114,BY4+BX5-CG4)))</f>
        <v>1.4531984602822681</v>
      </c>
      <c r="BZ5" s="13">
        <f>BY5*VLOOKUP('Données projet'!$B$12,Paramètres!$A$1:$I$89,3,0)*VLOOKUP('Données projet'!$B$12,Paramètres!$A$1:$I$89,5,0)</f>
        <v>0.97480552715734547</v>
      </c>
      <c r="CA5" s="13">
        <f t="shared" ref="CA5:CA68" si="39">EXP(-1.0587+0.8836*LN(BZ5)+0.284)</f>
        <v>0.45056763727227567</v>
      </c>
      <c r="CB5" s="20">
        <f t="shared" si="10"/>
        <v>2.4825249280482562</v>
      </c>
      <c r="CC5" s="59">
        <f t="shared" si="11"/>
        <v>173.0798062155491</v>
      </c>
      <c r="CD5" s="59">
        <f ca="1">AVERAGE(OFFSET($CC$3,0,0,'Données projet'!$E$12+1,1))-AVERAGE(OFFSET($H$3,0,0,'Données projet'!$E$12+1,1))</f>
        <v>323.91378047319455</v>
      </c>
      <c r="CE5" s="59">
        <f t="shared" ref="CE5:CE68" si="40">$CE$3</f>
        <v>212.89889176380288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3.2373333333333334</v>
      </c>
      <c r="CT5" s="12">
        <f>IF('Données projet'!$A$140&gt;35,CT4+CS5-DB4,IF(A5&lt;'Données projet'!$A$140,$CQ$205^A5,IF(A5='Données projet'!$A$140,'Données projet'!$B$140,CT4+CS5-DB4)))</f>
        <v>1.6781746522888665</v>
      </c>
      <c r="CU5" s="17">
        <f>CT5*VLOOKUP('Données projet'!$B$13,Paramètres!$A$1:$I$89,3,0)*VLOOKUP('Données projet'!$B$13,Paramètres!$A$1:$I$89,5,0)</f>
        <v>1.0035484420687422</v>
      </c>
      <c r="CV5" s="13">
        <f t="shared" ref="CV5:CV68" si="41">EXP(-1.0587+0.8836*LN(CU5)+0.284)</f>
        <v>0.46228664047475304</v>
      </c>
      <c r="CW5" s="20">
        <f t="shared" si="13"/>
        <v>2.552996102096587</v>
      </c>
      <c r="CX5" s="59">
        <f t="shared" si="14"/>
        <v>173.15027738959742</v>
      </c>
      <c r="CY5" s="59">
        <f ca="1">AVERAGE(OFFSET($CX$3,0,0,'Données projet'!$E$13+1,1))-AVERAGE(OFFSET($H$3,0,0,'Données projet'!$E$13+1,1))</f>
        <v>356.07880667298025</v>
      </c>
      <c r="CZ5" s="59">
        <f t="shared" ref="CZ5:CZ68" si="42">$CZ$3</f>
        <v>396.05161661639659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7</v>
      </c>
      <c r="DO5" s="12">
        <f>IF('Données projet'!$A$166&gt;35,DO4+DN5-DW4,IF(A5&lt;'Données projet'!$A$166,$DL$205^A5,IF(A5='Données projet'!$A$166,'Données projet'!$B$166,DO4+DN5-DW4)))</f>
        <v>1.6391277527348693</v>
      </c>
      <c r="DP5" s="17">
        <f>DO5*VLOOKUP('Données projet'!$B$14,Paramètres!$A$1:$I$89,3,0)*VLOOKUP('Données projet'!$B$14,Paramètres!$A$1:$I$89,5,0)</f>
        <v>0.76711178827991888</v>
      </c>
      <c r="DQ5" s="13">
        <f t="shared" ref="DQ5:DQ68" si="43">EXP(-1.0587+0.8836*LN(DP5)+0.284)</f>
        <v>0.36459706970828532</v>
      </c>
      <c r="DR5" s="20">
        <f t="shared" si="16"/>
        <v>1.9710595943294553</v>
      </c>
      <c r="DS5" s="59">
        <f t="shared" si="17"/>
        <v>172.5683408818303</v>
      </c>
      <c r="DT5" s="59">
        <f ca="1">AVERAGE(OFFSET($DS$3,0,0,'Données projet'!$E$14+1,1))-AVERAGE(OFFSET($H$3,0,0,'Données projet'!$E$14+1,1))</f>
        <v>246.11623544660486</v>
      </c>
      <c r="DU5" s="59">
        <f t="shared" ref="DU5:DU68" si="44">$DU$3</f>
        <v>273.18950868898253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5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67">
        <f t="shared" si="1"/>
        <v>183.33333333333334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3.65</v>
      </c>
      <c r="N6" s="13">
        <f>IF('Données projet'!$A$36&gt;35,N5+M6-V5,IF(A6&lt;'Données projet'!$A$36,$K$205^A6,IF(A6='Données projet'!$A$36,'Données projet'!$B$36,N5+M6-V5)))</f>
        <v>1.9032613528593461</v>
      </c>
      <c r="O6" s="13">
        <f>N6*VLOOKUP('Données projet'!$B$9,Paramètres!$A$1:$I$89,3,0)*VLOOKUP('Données projet'!$B$9,Paramètres!$A$1:$I$89,5,0)</f>
        <v>1.9299070117993768</v>
      </c>
      <c r="P6" s="13">
        <f t="shared" si="33"/>
        <v>0.82385733708903885</v>
      </c>
      <c r="Q6" s="20">
        <f t="shared" si="2"/>
        <v>4.7961395743139903</v>
      </c>
      <c r="R6" s="59">
        <f t="shared" si="0"/>
        <v>178.15116014419888</v>
      </c>
      <c r="S6" s="59">
        <f ca="1">AVERAGE(OFFSET($R$3,0,0,'Données projet'!$E$9+1,1))-AVERAGE(OFFSET($H$3,0,0,'Données projet'!$E$9+1,1))</f>
        <v>538.10210778862256</v>
      </c>
      <c r="T6" s="59">
        <f t="shared" si="34"/>
        <v>399.53300632021399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3.65</v>
      </c>
      <c r="AI6" s="13">
        <f>IF('Données projet'!$A$62&gt;35,AI5+AH6-AQ5,IF(A6&lt;'Données projet'!$A$62,$AF$205^A6,IF(A6='Données projet'!$A$62,'Données projet'!$B$62,AI5+AH6-AQ5)))</f>
        <v>1.9032613528593461</v>
      </c>
      <c r="AJ6" s="13">
        <f>AI6*VLOOKUP('Données projet'!$B$10,Paramètres!$A$1:$I$89,3,0)*VLOOKUP('Données projet'!$B$10,Paramètres!$A$1:$I$89,5,0)</f>
        <v>1.9892887660085887</v>
      </c>
      <c r="AK6" s="13">
        <f t="shared" si="35"/>
        <v>0.84621645777468746</v>
      </c>
      <c r="AL6" s="20">
        <f t="shared" si="4"/>
        <v>4.9385049314225391</v>
      </c>
      <c r="AM6" s="59">
        <f t="shared" si="5"/>
        <v>178.29352550130741</v>
      </c>
      <c r="AN6" s="59">
        <f ca="1">AVERAGE(OFFSET($AM$3,0,0,'Données projet'!$E$10+1,1))-AVERAGE(OFFSET($H$3,0,0,'Données projet'!$E$10+1,1))</f>
        <v>552.26894123675538</v>
      </c>
      <c r="AO6" s="59">
        <f t="shared" si="36"/>
        <v>409.85604950107006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1.2</v>
      </c>
      <c r="BD6" s="12">
        <f>IF('Données projet'!$A$88&gt;35,BD5+BC6-BL5,IF(A6&lt;'Données projet'!$A$88,$BA$205^A6,IF(A6='Données projet'!$A$88,'Données projet'!$B$88,BD5+BC6-BL5)))</f>
        <v>1.5040232524285473</v>
      </c>
      <c r="BE6" s="13">
        <f>BD6*VLOOKUP('Données projet'!$B$11,Paramètres!$A$1:$I$89,3,0)*VLOOKUP('Données projet'!$B$11,Paramètres!$A$1:$I$89,5,0)</f>
        <v>1.6189306289140883</v>
      </c>
      <c r="BF6" s="13">
        <f t="shared" si="37"/>
        <v>0.70538486562354785</v>
      </c>
      <c r="BG6" s="20">
        <f t="shared" si="7"/>
        <v>4.0481828196530492</v>
      </c>
      <c r="BH6" s="59">
        <f t="shared" si="8"/>
        <v>177.40320338953794</v>
      </c>
      <c r="BI6" s="59">
        <f ca="1">AVERAGE(OFFSET($BH$3,0,0,'Données projet'!$E$11+1,1))-AVERAGE(OFFSET($H$3,0,0,'Données projet'!$E$11+1,1))</f>
        <v>361.24725625563468</v>
      </c>
      <c r="BJ6" s="59">
        <f t="shared" si="38"/>
        <v>186.0840067781198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2.1</v>
      </c>
      <c r="BY6" s="12">
        <f>IF('Données projet'!$A$114&gt;35,BY5+BX6-CG5,IF(A6&lt;'Données projet'!$A$114,$BV$205^A6,IF(A6='Données projet'!$A$114,'Données projet'!$B$114,BY5+BX6-CG5)))</f>
        <v>1.7518115829322798</v>
      </c>
      <c r="BZ6" s="13">
        <f>BY6*VLOOKUP('Données projet'!$B$12,Paramètres!$A$1:$I$89,3,0)*VLOOKUP('Données projet'!$B$12,Paramètres!$A$1:$I$89,5,0)</f>
        <v>1.1751152098309732</v>
      </c>
      <c r="CA6" s="13">
        <f t="shared" si="39"/>
        <v>0.53146558646883679</v>
      </c>
      <c r="CB6" s="20">
        <f t="shared" si="10"/>
        <v>2.9722948868888355</v>
      </c>
      <c r="CC6" s="59">
        <f t="shared" si="11"/>
        <v>176.32731545677373</v>
      </c>
      <c r="CD6" s="59">
        <f ca="1">AVERAGE(OFFSET($CC$3,0,0,'Données projet'!$E$12+1,1))-AVERAGE(OFFSET($H$3,0,0,'Données projet'!$E$12+1,1))</f>
        <v>323.91378047319455</v>
      </c>
      <c r="CE6" s="59">
        <f t="shared" si="40"/>
        <v>212.89889176380288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3.2373333333333334</v>
      </c>
      <c r="CT6" s="12">
        <f>IF('Données projet'!$A$140&gt;35,CT5+CS6-DB5,IF(A6&lt;'Données projet'!$A$140,$CQ$205^A6,IF(A6='Données projet'!$A$140,'Données projet'!$B$140,CT5+CS6-DB5)))</f>
        <v>2.1739809572591771</v>
      </c>
      <c r="CU6" s="17">
        <f>CT6*VLOOKUP('Données projet'!$B$13,Paramètres!$A$1:$I$89,3,0)*VLOOKUP('Données projet'!$B$13,Paramètres!$A$1:$I$89,5,0)</f>
        <v>1.300040612440988</v>
      </c>
      <c r="CV6" s="13">
        <f t="shared" si="41"/>
        <v>0.58109133442081051</v>
      </c>
      <c r="CW6" s="20">
        <f t="shared" si="13"/>
        <v>3.2763048074509658</v>
      </c>
      <c r="CX6" s="59">
        <f t="shared" si="14"/>
        <v>176.63132537733586</v>
      </c>
      <c r="CY6" s="59">
        <f ca="1">AVERAGE(OFFSET($CX$3,0,0,'Données projet'!$E$13+1,1))-AVERAGE(OFFSET($H$3,0,0,'Données projet'!$E$13+1,1))</f>
        <v>356.07880667298025</v>
      </c>
      <c r="CZ6" s="59">
        <f t="shared" si="42"/>
        <v>396.05161661639659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7</v>
      </c>
      <c r="DO6" s="12">
        <f>IF('Données projet'!$A$166&gt;35,DO5+DN6-DW5,IF(A6&lt;'Données projet'!$A$166,$DL$205^A6,IF(A6='Données projet'!$A$166,'Données projet'!$B$166,DO5+DN6-DW5)))</f>
        <v>2.098549440402758</v>
      </c>
      <c r="DP6" s="17">
        <f>DO6*VLOOKUP('Données projet'!$B$14,Paramètres!$A$1:$I$89,3,0)*VLOOKUP('Données projet'!$B$14,Paramètres!$A$1:$I$89,5,0)</f>
        <v>0.98212113810849078</v>
      </c>
      <c r="DQ6" s="13">
        <f t="shared" si="43"/>
        <v>0.453554113888616</v>
      </c>
      <c r="DR6" s="20">
        <f t="shared" si="16"/>
        <v>2.5004677305616276</v>
      </c>
      <c r="DS6" s="59">
        <f t="shared" si="17"/>
        <v>175.85548830044652</v>
      </c>
      <c r="DT6" s="59">
        <f ca="1">AVERAGE(OFFSET($DS$3,0,0,'Données projet'!$E$14+1,1))-AVERAGE(OFFSET($H$3,0,0,'Données projet'!$E$14+1,1))</f>
        <v>246.11623544660486</v>
      </c>
      <c r="DU6" s="59">
        <f t="shared" si="44"/>
        <v>273.18950868898253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5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67">
        <f t="shared" si="1"/>
        <v>183.33333333333334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3.65</v>
      </c>
      <c r="N7" s="13">
        <f>IF('Données projet'!$A$36&gt;35,N6+M7-V6,IF(A7&lt;'Données projet'!$A$36,$K$205^A7,IF(A7='Données projet'!$A$36,'Données projet'!$B$36,N6+M7-V6)))</f>
        <v>2.3586558182407358</v>
      </c>
      <c r="O7" s="13">
        <f>N7*VLOOKUP('Données projet'!$B$9,Paramètres!$A$1:$I$89,3,0)*VLOOKUP('Données projet'!$B$9,Paramètres!$A$1:$I$89,5,0)</f>
        <v>2.3916769996961063</v>
      </c>
      <c r="P7" s="13">
        <f t="shared" si="33"/>
        <v>0.9958034297612971</v>
      </c>
      <c r="Q7" s="20">
        <f t="shared" si="2"/>
        <v>5.8998617479716442</v>
      </c>
      <c r="R7" s="59">
        <f t="shared" si="0"/>
        <v>181.98598381214859</v>
      </c>
      <c r="S7" s="59">
        <f ca="1">AVERAGE(OFFSET($R$3,0,0,'Données projet'!$E$9+1,1))-AVERAGE(OFFSET($H$3,0,0,'Données projet'!$E$9+1,1))</f>
        <v>538.10210778862256</v>
      </c>
      <c r="T7" s="59">
        <f t="shared" si="34"/>
        <v>399.53300632021399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3.65</v>
      </c>
      <c r="AI7" s="13">
        <f>IF('Données projet'!$A$62&gt;35,AI6+AH7-AQ6,IF(A7&lt;'Données projet'!$A$62,$AF$205^A7,IF(A7='Données projet'!$A$62,'Données projet'!$B$62,AI6+AH7-AQ6)))</f>
        <v>2.3586558182407358</v>
      </c>
      <c r="AJ7" s="13">
        <f>AI7*VLOOKUP('Données projet'!$B$10,Paramètres!$A$1:$I$89,3,0)*VLOOKUP('Données projet'!$B$10,Paramètres!$A$1:$I$89,5,0)</f>
        <v>2.4652670612252172</v>
      </c>
      <c r="AK7" s="13">
        <f t="shared" si="35"/>
        <v>1.0228290907135758</v>
      </c>
      <c r="AL7" s="20">
        <f t="shared" si="4"/>
        <v>6.0751007979600642</v>
      </c>
      <c r="AM7" s="59">
        <f t="shared" si="5"/>
        <v>182.16122286213701</v>
      </c>
      <c r="AN7" s="59">
        <f ca="1">AVERAGE(OFFSET($AM$3,0,0,'Données projet'!$E$10+1,1))-AVERAGE(OFFSET($H$3,0,0,'Données projet'!$E$10+1,1))</f>
        <v>552.26894123675538</v>
      </c>
      <c r="AO7" s="59">
        <f t="shared" si="36"/>
        <v>409.85604950107006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1.2</v>
      </c>
      <c r="BD7" s="12">
        <f>IF('Données projet'!$A$88&gt;35,BD6+BC7-BL6,IF(A7&lt;'Données projet'!$A$88,$BA$205^A7,IF(A7='Données projet'!$A$88,'Données projet'!$B$88,BD6+BC7-BL6)))</f>
        <v>1.7232147397057538</v>
      </c>
      <c r="BE7" s="13">
        <f>BD7*VLOOKUP('Données projet'!$B$11,Paramètres!$A$1:$I$89,3,0)*VLOOKUP('Données projet'!$B$11,Paramètres!$A$1:$I$89,5,0)</f>
        <v>1.8548683458192732</v>
      </c>
      <c r="BF7" s="13">
        <f t="shared" si="37"/>
        <v>0.79548777725536501</v>
      </c>
      <c r="BG7" s="20">
        <f t="shared" si="7"/>
        <v>4.6160369143549937</v>
      </c>
      <c r="BH7" s="59">
        <f t="shared" si="8"/>
        <v>180.70215897853194</v>
      </c>
      <c r="BI7" s="59">
        <f ca="1">AVERAGE(OFFSET($BH$3,0,0,'Données projet'!$E$11+1,1))-AVERAGE(OFFSET($H$3,0,0,'Données projet'!$E$11+1,1))</f>
        <v>361.24725625563468</v>
      </c>
      <c r="BJ7" s="59">
        <f t="shared" si="38"/>
        <v>186.0840067781198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2.1</v>
      </c>
      <c r="BY7" s="12">
        <f>IF('Données projet'!$A$114&gt;35,BY6+BX7-CG6,IF(A7&lt;'Données projet'!$A$114,$BV$205^A7,IF(A7='Données projet'!$A$114,'Données projet'!$B$114,BY6+BX7-CG6)))</f>
        <v>2.1117857649667546</v>
      </c>
      <c r="BZ7" s="13">
        <f>BY7*VLOOKUP('Données projet'!$B$12,Paramètres!$A$1:$I$89,3,0)*VLOOKUP('Données projet'!$B$12,Paramètres!$A$1:$I$89,5,0)</f>
        <v>1.4165858911396991</v>
      </c>
      <c r="CA7" s="13">
        <f t="shared" si="39"/>
        <v>0.62688849849634942</v>
      </c>
      <c r="CB7" s="20">
        <f t="shared" si="10"/>
        <v>3.5590512286161178</v>
      </c>
      <c r="CC7" s="59">
        <f t="shared" si="11"/>
        <v>179.64517329279306</v>
      </c>
      <c r="CD7" s="59">
        <f ca="1">AVERAGE(OFFSET($CC$3,0,0,'Données projet'!$E$12+1,1))-AVERAGE(OFFSET($H$3,0,0,'Données projet'!$E$12+1,1))</f>
        <v>323.91378047319455</v>
      </c>
      <c r="CE7" s="59">
        <f t="shared" si="40"/>
        <v>212.89889176380288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3.2373333333333334</v>
      </c>
      <c r="CT7" s="12">
        <f>IF('Données projet'!$A$140&gt;35,CT6+CS7-DB6,IF(A7&lt;'Données projet'!$A$140,$CQ$205^A7,IF(A7='Données projet'!$A$140,'Données projet'!$B$140,CT6+CS7-DB6)))</f>
        <v>2.8162701635848579</v>
      </c>
      <c r="CU7" s="17">
        <f>CT7*VLOOKUP('Données projet'!$B$13,Paramètres!$A$1:$I$89,3,0)*VLOOKUP('Données projet'!$B$13,Paramètres!$A$1:$I$89,5,0)</f>
        <v>1.6841295578237452</v>
      </c>
      <c r="CV7" s="13">
        <f t="shared" si="41"/>
        <v>0.73042807075753979</v>
      </c>
      <c r="CW7" s="20">
        <f t="shared" si="13"/>
        <v>4.2053545364457383</v>
      </c>
      <c r="CX7" s="59">
        <f t="shared" si="14"/>
        <v>180.29147660062267</v>
      </c>
      <c r="CY7" s="59">
        <f ca="1">AVERAGE(OFFSET($CX$3,0,0,'Données projet'!$E$13+1,1))-AVERAGE(OFFSET($H$3,0,0,'Données projet'!$E$13+1,1))</f>
        <v>356.07880667298025</v>
      </c>
      <c r="CZ7" s="59">
        <f t="shared" si="42"/>
        <v>396.05161661639659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7</v>
      </c>
      <c r="DO7" s="12">
        <f>IF('Données projet'!$A$166&gt;35,DO6+DN7-DW6,IF(A7&lt;'Données projet'!$A$166,$DL$205^A7,IF(A7='Données projet'!$A$166,'Données projet'!$B$166,DO6+DN7-DW6)))</f>
        <v>2.6867397897856629</v>
      </c>
      <c r="DP7" s="17">
        <f>DO7*VLOOKUP('Données projet'!$B$14,Paramètres!$A$1:$I$89,3,0)*VLOOKUP('Données projet'!$B$14,Paramètres!$A$1:$I$89,5,0)</f>
        <v>1.2573942216196903</v>
      </c>
      <c r="DQ7" s="13">
        <f t="shared" si="43"/>
        <v>0.56421554454586698</v>
      </c>
      <c r="DR7" s="20">
        <f t="shared" si="16"/>
        <v>3.1726370094050123</v>
      </c>
      <c r="DS7" s="59">
        <f t="shared" si="17"/>
        <v>179.25875907358196</v>
      </c>
      <c r="DT7" s="59">
        <f ca="1">AVERAGE(OFFSET($DS$3,0,0,'Données projet'!$E$14+1,1))-AVERAGE(OFFSET($H$3,0,0,'Données projet'!$E$14+1,1))</f>
        <v>246.11623544660486</v>
      </c>
      <c r="DU7" s="59">
        <f t="shared" si="44"/>
        <v>273.18950868898253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5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67">
        <f t="shared" si="1"/>
        <v>183.33333333333334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3.65</v>
      </c>
      <c r="N8" s="13">
        <f>IF('Données projet'!$A$36&gt;35,N7+M8-V7,IF(A8&lt;'Données projet'!$A$36,$K$205^A8,IF(A8='Données projet'!$A$36,'Données projet'!$B$36,N7+M8-V7)))</f>
        <v>2.9230127856917649</v>
      </c>
      <c r="O8" s="13">
        <f>N8*VLOOKUP('Données projet'!$B$9,Paramètres!$A$1:$I$89,3,0)*VLOOKUP('Données projet'!$B$9,Paramètres!$A$1:$I$89,5,0)</f>
        <v>2.9639349646914495</v>
      </c>
      <c r="P8" s="13">
        <f t="shared" si="33"/>
        <v>1.2036361467970902</v>
      </c>
      <c r="Q8" s="20">
        <f t="shared" si="2"/>
        <v>7.2585196858425398</v>
      </c>
      <c r="R8" s="59">
        <f t="shared" si="0"/>
        <v>186.04956756228989</v>
      </c>
      <c r="S8" s="59">
        <f ca="1">AVERAGE(OFFSET($R$3,0,0,'Données projet'!$E$9+1,1))-AVERAGE(OFFSET($H$3,0,0,'Données projet'!$E$9+1,1))</f>
        <v>538.10210778862256</v>
      </c>
      <c r="T8" s="59">
        <f t="shared" si="34"/>
        <v>399.53300632021399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3.65</v>
      </c>
      <c r="AI8" s="13">
        <f>IF('Données projet'!$A$62&gt;35,AI7+AH8-AQ7,IF(A8&lt;'Données projet'!$A$62,$AF$205^A8,IF(A8='Données projet'!$A$62,'Données projet'!$B$62,AI7+AH8-AQ7)))</f>
        <v>2.9230127856917649</v>
      </c>
      <c r="AJ8" s="13">
        <f>AI8*VLOOKUP('Données projet'!$B$10,Paramètres!$A$1:$I$89,3,0)*VLOOKUP('Données projet'!$B$10,Paramètres!$A$1:$I$89,5,0)</f>
        <v>3.0551329636050331</v>
      </c>
      <c r="AK8" s="13">
        <f t="shared" si="35"/>
        <v>1.2363022949956788</v>
      </c>
      <c r="AL8" s="20">
        <f t="shared" si="4"/>
        <v>7.4742497420629066</v>
      </c>
      <c r="AM8" s="59">
        <f t="shared" si="5"/>
        <v>186.26529761851026</v>
      </c>
      <c r="AN8" s="59">
        <f ca="1">AVERAGE(OFFSET($AM$3,0,0,'Données projet'!$E$10+1,1))-AVERAGE(OFFSET($H$3,0,0,'Données projet'!$E$10+1,1))</f>
        <v>552.26894123675538</v>
      </c>
      <c r="AO8" s="59">
        <f t="shared" si="36"/>
        <v>409.85604950107006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1.2</v>
      </c>
      <c r="BD8" s="12">
        <f>IF('Données projet'!$A$88&gt;35,BD7+BC8-BL7,IF(A8&lt;'Données projet'!$A$88,$BA$205^A8,IF(A8='Données projet'!$A$88,'Données projet'!$B$88,BD7+BC8-BL7)))</f>
        <v>1.9743504858348202</v>
      </c>
      <c r="BE8" s="13">
        <f>BD8*VLOOKUP('Données projet'!$B$11,Paramètres!$A$1:$I$89,3,0)*VLOOKUP('Données projet'!$B$11,Paramètres!$A$1:$I$89,5,0)</f>
        <v>2.1251908629526004</v>
      </c>
      <c r="BF8" s="13">
        <f t="shared" si="37"/>
        <v>0.89710005785748825</v>
      </c>
      <c r="BG8" s="20">
        <f t="shared" si="7"/>
        <v>5.2638233537442369</v>
      </c>
      <c r="BH8" s="59">
        <f t="shared" si="8"/>
        <v>184.05487123019159</v>
      </c>
      <c r="BI8" s="59">
        <f ca="1">AVERAGE(OFFSET($BH$3,0,0,'Données projet'!$E$11+1,1))-AVERAGE(OFFSET($H$3,0,0,'Données projet'!$E$11+1,1))</f>
        <v>361.24725625563468</v>
      </c>
      <c r="BJ8" s="59">
        <f t="shared" si="38"/>
        <v>186.0840067781198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2.1</v>
      </c>
      <c r="BY8" s="12">
        <f>IF('Données projet'!$A$114&gt;35,BY7+BX8-CG7,IF(A8&lt;'Données projet'!$A$114,$BV$205^A8,IF(A8='Données projet'!$A$114,'Données projet'!$B$114,BY7+BX8-CG7)))</f>
        <v>2.5457298950218314</v>
      </c>
      <c r="BZ8" s="13">
        <f>BY8*VLOOKUP('Données projet'!$B$12,Paramètres!$A$1:$I$89,3,0)*VLOOKUP('Données projet'!$B$12,Paramètres!$A$1:$I$89,5,0)</f>
        <v>1.7076756135806446</v>
      </c>
      <c r="CA8" s="13">
        <f t="shared" si="39"/>
        <v>0.73944428304023568</v>
      </c>
      <c r="CB8" s="20">
        <f t="shared" si="10"/>
        <v>4.2620671532813672</v>
      </c>
      <c r="CC8" s="59">
        <f t="shared" si="11"/>
        <v>183.05311502972873</v>
      </c>
      <c r="CD8" s="59">
        <f ca="1">AVERAGE(OFFSET($CC$3,0,0,'Données projet'!$E$12+1,1))-AVERAGE(OFFSET($H$3,0,0,'Données projet'!$E$12+1,1))</f>
        <v>323.91378047319455</v>
      </c>
      <c r="CE8" s="59">
        <f t="shared" si="40"/>
        <v>212.89889176380288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3.2373333333333334</v>
      </c>
      <c r="CT8" s="12">
        <f>IF('Données projet'!$A$140&gt;35,CT7+CS8-DB7,IF(A8&lt;'Données projet'!$A$140,$CQ$205^A8,IF(A8='Données projet'!$A$140,'Données projet'!$B$140,CT7+CS8-DB7)))</f>
        <v>3.648319737031037</v>
      </c>
      <c r="CU8" s="17">
        <f>CT8*VLOOKUP('Données projet'!$B$13,Paramètres!$A$1:$I$89,3,0)*VLOOKUP('Données projet'!$B$13,Paramètres!$A$1:$I$89,5,0)</f>
        <v>2.1816952027445602</v>
      </c>
      <c r="CV8" s="13">
        <f t="shared" si="41"/>
        <v>0.91814338804821549</v>
      </c>
      <c r="CW8" s="20">
        <f t="shared" si="13"/>
        <v>5.3988855456307512</v>
      </c>
      <c r="CX8" s="59">
        <f t="shared" si="14"/>
        <v>184.1899334220781</v>
      </c>
      <c r="CY8" s="59">
        <f ca="1">AVERAGE(OFFSET($CX$3,0,0,'Données projet'!$E$13+1,1))-AVERAGE(OFFSET($H$3,0,0,'Données projet'!$E$13+1,1))</f>
        <v>356.07880667298025</v>
      </c>
      <c r="CZ8" s="59">
        <f t="shared" si="42"/>
        <v>396.05161661639659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7</v>
      </c>
      <c r="DO8" s="12">
        <f>IF('Données projet'!$A$166&gt;35,DO7+DN8-DW7,IF(A8&lt;'Données projet'!$A$166,$DL$205^A8,IF(A8='Données projet'!$A$166,'Données projet'!$B$166,DO7+DN8-DW7)))</f>
        <v>3.4397906282503903</v>
      </c>
      <c r="DP8" s="17">
        <f>DO8*VLOOKUP('Données projet'!$B$14,Paramètres!$A$1:$I$89,3,0)*VLOOKUP('Données projet'!$B$14,Paramètres!$A$1:$I$89,5,0)</f>
        <v>1.6098220140211825</v>
      </c>
      <c r="DQ8" s="13">
        <f t="shared" si="43"/>
        <v>0.70187695571286812</v>
      </c>
      <c r="DR8" s="20">
        <f t="shared" si="16"/>
        <v>4.0262090389534713</v>
      </c>
      <c r="DS8" s="59">
        <f t="shared" si="17"/>
        <v>182.81725691540083</v>
      </c>
      <c r="DT8" s="59">
        <f ca="1">AVERAGE(OFFSET($DS$3,0,0,'Données projet'!$E$14+1,1))-AVERAGE(OFFSET($H$3,0,0,'Données projet'!$E$14+1,1))</f>
        <v>246.11623544660486</v>
      </c>
      <c r="DU8" s="59">
        <f t="shared" si="44"/>
        <v>273.18950868898253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5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67">
        <f t="shared" si="1"/>
        <v>183.33333333333334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3.65</v>
      </c>
      <c r="N9" s="13">
        <f>IF('Données projet'!$A$36&gt;35,N8+M9-V8,IF(A9&lt;'Données projet'!$A$36,$K$205^A9,IF(A9='Données projet'!$A$36,'Données projet'!$B$36,N8+M9-V8)))</f>
        <v>3.6224037772879885</v>
      </c>
      <c r="O9" s="13">
        <f>N9*VLOOKUP('Données projet'!$B$9,Paramètres!$A$1:$I$89,3,0)*VLOOKUP('Données projet'!$B$9,Paramètres!$A$1:$I$89,5,0)</f>
        <v>3.6731174301700205</v>
      </c>
      <c r="P9" s="13">
        <f t="shared" si="33"/>
        <v>1.4548453345092642</v>
      </c>
      <c r="Q9" s="20">
        <f t="shared" si="2"/>
        <v>8.9312018151497536</v>
      </c>
      <c r="R9" s="59">
        <f t="shared" si="0"/>
        <v>190.40145391140874</v>
      </c>
      <c r="S9" s="59">
        <f ca="1">AVERAGE(OFFSET($R$3,0,0,'Données projet'!$E$9+1,1))-AVERAGE(OFFSET($H$3,0,0,'Données projet'!$E$9+1,1))</f>
        <v>538.10210778862256</v>
      </c>
      <c r="T9" s="59">
        <f t="shared" si="34"/>
        <v>399.53300632021399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3.65</v>
      </c>
      <c r="AI9" s="13">
        <f>IF('Données projet'!$A$62&gt;35,AI8+AH9-AQ8,IF(A9&lt;'Données projet'!$A$62,$AF$205^A9,IF(A9='Données projet'!$A$62,'Données projet'!$B$62,AI8+AH9-AQ8)))</f>
        <v>3.6224037772879885</v>
      </c>
      <c r="AJ9" s="13">
        <f>AI9*VLOOKUP('Données projet'!$B$10,Paramètres!$A$1:$I$89,3,0)*VLOOKUP('Données projet'!$B$10,Paramètres!$A$1:$I$89,5,0)</f>
        <v>3.7861364280214058</v>
      </c>
      <c r="AK9" s="13">
        <f t="shared" si="35"/>
        <v>1.494329188022278</v>
      </c>
      <c r="AL9" s="20">
        <f t="shared" si="4"/>
        <v>9.1968109479427493</v>
      </c>
      <c r="AM9" s="59">
        <f t="shared" si="5"/>
        <v>190.66706304420171</v>
      </c>
      <c r="AN9" s="59">
        <f ca="1">AVERAGE(OFFSET($AM$3,0,0,'Données projet'!$E$10+1,1))-AVERAGE(OFFSET($H$3,0,0,'Données projet'!$E$10+1,1))</f>
        <v>552.26894123675538</v>
      </c>
      <c r="AO9" s="59">
        <f t="shared" si="36"/>
        <v>409.85604950107006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1.2</v>
      </c>
      <c r="BD9" s="12">
        <f>IF('Données projet'!$A$88&gt;35,BD8+BC9-BL8,IF(A9&lt;'Données projet'!$A$88,$BA$205^A9,IF(A9='Données projet'!$A$88,'Données projet'!$B$88,BD8+BC9-BL8)))</f>
        <v>2.2620859438457455</v>
      </c>
      <c r="BE9" s="13">
        <f>BD9*VLOOKUP('Données projet'!$B$11,Paramètres!$A$1:$I$89,3,0)*VLOOKUP('Données projet'!$B$11,Paramètres!$A$1:$I$89,5,0)</f>
        <v>2.4349093099555601</v>
      </c>
      <c r="BF9" s="13">
        <f t="shared" si="37"/>
        <v>1.0116918660706939</v>
      </c>
      <c r="BG9" s="20">
        <f t="shared" si="7"/>
        <v>6.0028303815790593</v>
      </c>
      <c r="BH9" s="59">
        <f t="shared" si="8"/>
        <v>187.47308247783803</v>
      </c>
      <c r="BI9" s="59">
        <f ca="1">AVERAGE(OFFSET($BH$3,0,0,'Données projet'!$E$11+1,1))-AVERAGE(OFFSET($H$3,0,0,'Données projet'!$E$11+1,1))</f>
        <v>361.24725625563468</v>
      </c>
      <c r="BJ9" s="59">
        <f t="shared" si="38"/>
        <v>186.0840067781198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2.1</v>
      </c>
      <c r="BY9" s="12">
        <f>IF('Données projet'!$A$114&gt;35,BY8+BX9-CG8,IF(A9&lt;'Données projet'!$A$114,$BV$205^A9,IF(A9='Données projet'!$A$114,'Données projet'!$B$114,BY8+BX9-CG8)))</f>
        <v>3.0688438220956993</v>
      </c>
      <c r="BZ9" s="13">
        <f>BY9*VLOOKUP('Données projet'!$B$12,Paramètres!$A$1:$I$89,3,0)*VLOOKUP('Données projet'!$B$12,Paramètres!$A$1:$I$89,5,0)</f>
        <v>2.0585804358617952</v>
      </c>
      <c r="CA9" s="13">
        <f t="shared" si="39"/>
        <v>0.87220909146105896</v>
      </c>
      <c r="CB9" s="20">
        <f t="shared" si="10"/>
        <v>5.104458426753971</v>
      </c>
      <c r="CC9" s="59">
        <f t="shared" si="11"/>
        <v>186.57471052301295</v>
      </c>
      <c r="CD9" s="59">
        <f ca="1">AVERAGE(OFFSET($CC$3,0,0,'Données projet'!$E$12+1,1))-AVERAGE(OFFSET($H$3,0,0,'Données projet'!$E$12+1,1))</f>
        <v>323.91378047319455</v>
      </c>
      <c r="CE9" s="59">
        <f t="shared" si="40"/>
        <v>212.89889176380288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3.2373333333333334</v>
      </c>
      <c r="CT9" s="12">
        <f>IF('Données projet'!$A$140&gt;35,CT8+CS9-DB8,IF(A9&lt;'Données projet'!$A$140,$CQ$205^A9,IF(A9='Données projet'!$A$140,'Données projet'!$B$140,CT8+CS9-DB8)))</f>
        <v>4.7261932025255282</v>
      </c>
      <c r="CU9" s="17">
        <f>CT9*VLOOKUP('Données projet'!$B$13,Paramètres!$A$1:$I$89,3,0)*VLOOKUP('Données projet'!$B$13,Paramètres!$A$1:$I$89,5,0)</f>
        <v>2.8262635351102658</v>
      </c>
      <c r="CV9" s="13">
        <f t="shared" si="41"/>
        <v>1.1541003348110361</v>
      </c>
      <c r="CW9" s="20">
        <f t="shared" si="13"/>
        <v>6.9324670734462677</v>
      </c>
      <c r="CX9" s="59">
        <f t="shared" si="14"/>
        <v>188.40271916970525</v>
      </c>
      <c r="CY9" s="59">
        <f ca="1">AVERAGE(OFFSET($CX$3,0,0,'Données projet'!$E$13+1,1))-AVERAGE(OFFSET($H$3,0,0,'Données projet'!$E$13+1,1))</f>
        <v>356.07880667298025</v>
      </c>
      <c r="CZ9" s="59">
        <f t="shared" si="42"/>
        <v>396.05161661639659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7</v>
      </c>
      <c r="DO9" s="12">
        <f>IF('Données projet'!$A$166&gt;35,DO8+DN9-DW8,IF(A9&lt;'Données projet'!$A$166,$DL$205^A9,IF(A9='Données projet'!$A$166,'Données projet'!$B$166,DO8+DN9-DW8)))</f>
        <v>4.4039097538147285</v>
      </c>
      <c r="DP9" s="17">
        <f>DO9*VLOOKUP('Données projet'!$B$14,Paramètres!$A$1:$I$89,3,0)*VLOOKUP('Données projet'!$B$14,Paramètres!$A$1:$I$89,5,0)</f>
        <v>2.0610297647852929</v>
      </c>
      <c r="DQ9" s="13">
        <f t="shared" si="43"/>
        <v>0.87312599896069631</v>
      </c>
      <c r="DR9" s="20">
        <f t="shared" si="16"/>
        <v>5.1103212885242639</v>
      </c>
      <c r="DS9" s="59">
        <f t="shared" si="17"/>
        <v>186.58057338478324</v>
      </c>
      <c r="DT9" s="59">
        <f ca="1">AVERAGE(OFFSET($DS$3,0,0,'Données projet'!$E$14+1,1))-AVERAGE(OFFSET($H$3,0,0,'Données projet'!$E$14+1,1))</f>
        <v>246.11623544660486</v>
      </c>
      <c r="DU9" s="59">
        <f t="shared" si="44"/>
        <v>273.18950868898253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5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67">
        <f t="shared" si="1"/>
        <v>183.33333333333334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3.65</v>
      </c>
      <c r="N10" s="13">
        <f>IF('Données projet'!$A$36&gt;35,N9+M10-V9,IF(A10&lt;'Données projet'!$A$36,$K$205^A10,IF(A10='Données projet'!$A$36,'Données projet'!$B$36,N9+M10-V9)))</f>
        <v>4.4891384635544309</v>
      </c>
      <c r="O10" s="13">
        <f>N10*VLOOKUP('Données projet'!$B$9,Paramètres!$A$1:$I$89,3,0)*VLOOKUP('Données projet'!$B$9,Paramètres!$A$1:$I$89,5,0)</f>
        <v>4.5519864020441929</v>
      </c>
      <c r="P10" s="13">
        <f t="shared" si="33"/>
        <v>1.7584840343783612</v>
      </c>
      <c r="Q10" s="20">
        <f t="shared" si="2"/>
        <v>10.990736010102614</v>
      </c>
      <c r="R10" s="59">
        <f t="shared" si="0"/>
        <v>195.11491694583884</v>
      </c>
      <c r="S10" s="59">
        <f ca="1">AVERAGE(OFFSET($R$3,0,0,'Données projet'!$E$9+1,1))-AVERAGE(OFFSET($H$3,0,0,'Données projet'!$E$9+1,1))</f>
        <v>538.10210778862256</v>
      </c>
      <c r="T10" s="59">
        <f t="shared" si="34"/>
        <v>399.53300632021399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3.65</v>
      </c>
      <c r="AI10" s="13">
        <f>IF('Données projet'!$A$62&gt;35,AI9+AH10-AQ9,IF(A10&lt;'Données projet'!$A$62,$AF$205^A10,IF(A10='Données projet'!$A$62,'Données projet'!$B$62,AI9+AH10-AQ9)))</f>
        <v>4.4891384635544309</v>
      </c>
      <c r="AJ10" s="13">
        <f>AI10*VLOOKUP('Données projet'!$B$10,Paramètres!$A$1:$I$89,3,0)*VLOOKUP('Données projet'!$B$10,Paramètres!$A$1:$I$89,5,0)</f>
        <v>4.6920475221070923</v>
      </c>
      <c r="AK10" s="13">
        <f t="shared" si="35"/>
        <v>1.8062085067820133</v>
      </c>
      <c r="AL10" s="20">
        <f t="shared" si="4"/>
        <v>11.317795916981858</v>
      </c>
      <c r="AM10" s="59">
        <f t="shared" si="5"/>
        <v>195.44197685271808</v>
      </c>
      <c r="AN10" s="59">
        <f ca="1">AVERAGE(OFFSET($AM$3,0,0,'Données projet'!$E$10+1,1))-AVERAGE(OFFSET($H$3,0,0,'Données projet'!$E$10+1,1))</f>
        <v>552.26894123675538</v>
      </c>
      <c r="AO10" s="59">
        <f t="shared" si="36"/>
        <v>409.85604950107006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1.2</v>
      </c>
      <c r="BD10" s="12">
        <f>IF('Données projet'!$A$88&gt;35,BD9+BC10-BL9,IF(A10&lt;'Données projet'!$A$88,$BA$205^A10,IF(A10='Données projet'!$A$88,'Données projet'!$B$88,BD9+BC10-BL9)))</f>
        <v>2.5917550374450604</v>
      </c>
      <c r="BE10" s="13">
        <f>BD10*VLOOKUP('Données projet'!$B$11,Paramètres!$A$1:$I$89,3,0)*VLOOKUP('Données projet'!$B$11,Paramètres!$A$1:$I$89,5,0)</f>
        <v>2.7897651223058633</v>
      </c>
      <c r="BF10" s="13">
        <f t="shared" si="37"/>
        <v>1.1409211524498617</v>
      </c>
      <c r="BG10" s="20">
        <f t="shared" si="7"/>
        <v>6.8459452618662198</v>
      </c>
      <c r="BH10" s="59">
        <f t="shared" si="8"/>
        <v>190.97012619760244</v>
      </c>
      <c r="BI10" s="59">
        <f ca="1">AVERAGE(OFFSET($BH$3,0,0,'Données projet'!$E$11+1,1))-AVERAGE(OFFSET($H$3,0,0,'Données projet'!$E$11+1,1))</f>
        <v>361.24725625563468</v>
      </c>
      <c r="BJ10" s="59">
        <f t="shared" si="38"/>
        <v>186.0840067781198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2.1</v>
      </c>
      <c r="BY10" s="12">
        <f>IF('Données projet'!$A$114&gt;35,BY9+BX10-CG9,IF(A10&lt;'Données projet'!$A$114,$BV$205^A10,IF(A10='Données projet'!$A$114,'Données projet'!$B$114,BY9+BX10-CG9)))</f>
        <v>3.6994507637402658</v>
      </c>
      <c r="BZ10" s="13">
        <f>BY10*VLOOKUP('Données projet'!$B$12,Paramètres!$A$1:$I$89,3,0)*VLOOKUP('Données projet'!$B$12,Paramètres!$A$1:$I$89,5,0)</f>
        <v>2.4815915723169706</v>
      </c>
      <c r="CA10" s="13">
        <f t="shared" si="39"/>
        <v>1.0288113880595531</v>
      </c>
      <c r="CB10" s="20">
        <f t="shared" si="10"/>
        <v>6.1139518226557783</v>
      </c>
      <c r="CC10" s="59">
        <f t="shared" si="11"/>
        <v>190.238132758392</v>
      </c>
      <c r="CD10" s="59">
        <f ca="1">AVERAGE(OFFSET($CC$3,0,0,'Données projet'!$E$12+1,1))-AVERAGE(OFFSET($H$3,0,0,'Données projet'!$E$12+1,1))</f>
        <v>323.91378047319455</v>
      </c>
      <c r="CE10" s="59">
        <f t="shared" si="40"/>
        <v>212.89889176380288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3.2373333333333334</v>
      </c>
      <c r="CT10" s="12">
        <f>IF('Données projet'!$A$140&gt;35,CT9+CS10-DB9,IF(A10&lt;'Données projet'!$A$140,$CQ$205^A10,IF(A10='Données projet'!$A$140,'Données projet'!$B$140,CT9+CS10-DB9)))</f>
        <v>6.1225177061306688</v>
      </c>
      <c r="CU10" s="17">
        <f>CT10*VLOOKUP('Données projet'!$B$13,Paramètres!$A$1:$I$89,3,0)*VLOOKUP('Données projet'!$B$13,Paramètres!$A$1:$I$89,5,0)</f>
        <v>3.66126558826614</v>
      </c>
      <c r="CV10" s="13">
        <f t="shared" si="41"/>
        <v>1.4506966996107142</v>
      </c>
      <c r="CW10" s="20">
        <f t="shared" si="13"/>
        <v>8.9033343180521864</v>
      </c>
      <c r="CX10" s="59">
        <f t="shared" si="14"/>
        <v>193.02751525378841</v>
      </c>
      <c r="CY10" s="59">
        <f ca="1">AVERAGE(OFFSET($CX$3,0,0,'Données projet'!$E$13+1,1))-AVERAGE(OFFSET($H$3,0,0,'Données projet'!$E$13+1,1))</f>
        <v>356.07880667298025</v>
      </c>
      <c r="CZ10" s="59">
        <f t="shared" si="42"/>
        <v>396.05161661639659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7</v>
      </c>
      <c r="DO10" s="12">
        <f>IF('Données projet'!$A$166&gt;35,DO9+DN10-DW9,IF(A10&lt;'Données projet'!$A$166,$DL$205^A10,IF(A10='Données projet'!$A$166,'Données projet'!$B$166,DO9+DN10-DW9)))</f>
        <v>5.6382562823625264</v>
      </c>
      <c r="DP10" s="17">
        <f>DO10*VLOOKUP('Données projet'!$B$14,Paramètres!$A$1:$I$89,3,0)*VLOOKUP('Données projet'!$B$14,Paramètres!$A$1:$I$89,5,0)</f>
        <v>2.6387039401456627</v>
      </c>
      <c r="DQ10" s="13">
        <f t="shared" si="43"/>
        <v>1.0861576289918606</v>
      </c>
      <c r="DR10" s="20">
        <f t="shared" si="16"/>
        <v>6.4874672329145193</v>
      </c>
      <c r="DS10" s="59">
        <f t="shared" si="17"/>
        <v>190.61164816865076</v>
      </c>
      <c r="DT10" s="59">
        <f ca="1">AVERAGE(OFFSET($DS$3,0,0,'Données projet'!$E$14+1,1))-AVERAGE(OFFSET($H$3,0,0,'Données projet'!$E$14+1,1))</f>
        <v>246.11623544660486</v>
      </c>
      <c r="DU10" s="59">
        <f t="shared" si="44"/>
        <v>273.18950868898253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5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67">
        <f t="shared" si="1"/>
        <v>183.33333333333334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3.65</v>
      </c>
      <c r="N11" s="13">
        <f>IF('Données projet'!$A$36&gt;35,N10+M11-V10,IF(A11&lt;'Données projet'!$A$36,$K$205^A11,IF(A11='Données projet'!$A$36,'Données projet'!$B$36,N10+M11-V10)))</f>
        <v>5.563257268920875</v>
      </c>
      <c r="O11" s="13">
        <f>N11*VLOOKUP('Données projet'!$B$9,Paramètres!$A$1:$I$89,3,0)*VLOOKUP('Données projet'!$B$9,Paramètres!$A$1:$I$89,5,0)</f>
        <v>5.6411428706857674</v>
      </c>
      <c r="P11" s="13">
        <f t="shared" si="33"/>
        <v>2.125494735292019</v>
      </c>
      <c r="Q11" s="20">
        <f t="shared" si="2"/>
        <v>13.526893830411311</v>
      </c>
      <c r="R11" s="59">
        <f t="shared" si="0"/>
        <v>200.28016669663185</v>
      </c>
      <c r="S11" s="59">
        <f ca="1">AVERAGE(OFFSET($R$3,0,0,'Données projet'!$E$9+1,1))-AVERAGE(OFFSET($H$3,0,0,'Données projet'!$E$9+1,1))</f>
        <v>538.10210778862256</v>
      </c>
      <c r="T11" s="59">
        <f t="shared" si="34"/>
        <v>399.53300632021399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3.65</v>
      </c>
      <c r="AI11" s="13">
        <f>IF('Données projet'!$A$62&gt;35,AI10+AH11-AQ10,IF(A11&lt;'Données projet'!$A$62,$AF$205^A11,IF(A11='Données projet'!$A$62,'Données projet'!$B$62,AI10+AH11-AQ10)))</f>
        <v>5.563257268920875</v>
      </c>
      <c r="AJ11" s="13">
        <f>AI11*VLOOKUP('Données projet'!$B$10,Paramètres!$A$1:$I$89,3,0)*VLOOKUP('Données projet'!$B$10,Paramètres!$A$1:$I$89,5,0)</f>
        <v>5.8147164974760992</v>
      </c>
      <c r="AK11" s="13">
        <f t="shared" si="35"/>
        <v>2.1831797144305476</v>
      </c>
      <c r="AL11" s="20">
        <f t="shared" si="4"/>
        <v>13.929669235737409</v>
      </c>
      <c r="AM11" s="59">
        <f t="shared" si="5"/>
        <v>200.68294210195796</v>
      </c>
      <c r="AN11" s="59">
        <f ca="1">AVERAGE(OFFSET($AM$3,0,0,'Données projet'!$E$10+1,1))-AVERAGE(OFFSET($H$3,0,0,'Données projet'!$E$10+1,1))</f>
        <v>552.26894123675538</v>
      </c>
      <c r="AO11" s="59">
        <f t="shared" si="36"/>
        <v>409.85604950107006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1.2</v>
      </c>
      <c r="BD11" s="12">
        <f>IF('Données projet'!$A$88&gt;35,BD10+BC11-BL10,IF(A11&lt;'Données projet'!$A$88,$BA$205^A11,IF(A11='Données projet'!$A$88,'Données projet'!$B$88,BD10+BC11-BL10)))</f>
        <v>2.9694690391391689</v>
      </c>
      <c r="BE11" s="13">
        <f>BD11*VLOOKUP('Données projet'!$B$11,Paramètres!$A$1:$I$89,3,0)*VLOOKUP('Données projet'!$B$11,Paramètres!$A$1:$I$89,5,0)</f>
        <v>3.1963364737294016</v>
      </c>
      <c r="BF11" s="13">
        <f t="shared" si="37"/>
        <v>1.28665764721742</v>
      </c>
      <c r="BG11" s="20">
        <f t="shared" si="7"/>
        <v>7.8078814273157144</v>
      </c>
      <c r="BH11" s="59">
        <f t="shared" si="8"/>
        <v>194.56115429353628</v>
      </c>
      <c r="BI11" s="59">
        <f ca="1">AVERAGE(OFFSET($BH$3,0,0,'Données projet'!$E$11+1,1))-AVERAGE(OFFSET($H$3,0,0,'Données projet'!$E$11+1,1))</f>
        <v>361.24725625563468</v>
      </c>
      <c r="BJ11" s="59">
        <f t="shared" si="38"/>
        <v>186.0840067781198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2.1</v>
      </c>
      <c r="BY11" s="12">
        <f>IF('Données projet'!$A$114&gt;35,BY10+BX11-CG10,IF(A11&lt;'Données projet'!$A$114,$BV$205^A11,IF(A11='Données projet'!$A$114,'Données projet'!$B$114,BY10+BX11-CG10)))</f>
        <v>4.4596391171162209</v>
      </c>
      <c r="BZ11" s="13">
        <f>BY11*VLOOKUP('Données projet'!$B$12,Paramètres!$A$1:$I$89,3,0)*VLOOKUP('Données projet'!$B$12,Paramètres!$A$1:$I$89,5,0)</f>
        <v>2.9915259197615609</v>
      </c>
      <c r="CA11" s="13">
        <f t="shared" si="39"/>
        <v>1.2135311160629882</v>
      </c>
      <c r="CB11" s="20">
        <f t="shared" si="10"/>
        <v>7.3238076707277555</v>
      </c>
      <c r="CC11" s="59">
        <f t="shared" si="11"/>
        <v>194.0770805369483</v>
      </c>
      <c r="CD11" s="59">
        <f ca="1">AVERAGE(OFFSET($CC$3,0,0,'Données projet'!$E$12+1,1))-AVERAGE(OFFSET($H$3,0,0,'Données projet'!$E$12+1,1))</f>
        <v>323.91378047319455</v>
      </c>
      <c r="CE11" s="59">
        <f t="shared" si="40"/>
        <v>212.89889176380288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3.2373333333333334</v>
      </c>
      <c r="CT11" s="12">
        <f>IF('Données projet'!$A$140&gt;35,CT10+CS11-DB10,IF(A11&lt;'Données projet'!$A$140,$CQ$205^A11,IF(A11='Données projet'!$A$140,'Données projet'!$B$140,CT10+CS11-DB10)))</f>
        <v>7.9313776342982827</v>
      </c>
      <c r="CU11" s="17">
        <f>CT11*VLOOKUP('Données projet'!$B$13,Paramètres!$A$1:$I$89,3,0)*VLOOKUP('Données projet'!$B$13,Paramètres!$A$1:$I$89,5,0)</f>
        <v>4.7429638253103734</v>
      </c>
      <c r="CV11" s="13">
        <f t="shared" si="41"/>
        <v>1.8235164229512146</v>
      </c>
      <c r="CW11" s="20">
        <f t="shared" si="13"/>
        <v>11.436619765722265</v>
      </c>
      <c r="CX11" s="59">
        <f t="shared" si="14"/>
        <v>198.18989263194283</v>
      </c>
      <c r="CY11" s="59">
        <f ca="1">AVERAGE(OFFSET($CX$3,0,0,'Données projet'!$E$13+1,1))-AVERAGE(OFFSET($H$3,0,0,'Données projet'!$E$13+1,1))</f>
        <v>356.07880667298025</v>
      </c>
      <c r="CZ11" s="59">
        <f t="shared" si="42"/>
        <v>396.05161661639659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7</v>
      </c>
      <c r="DO11" s="12">
        <f>IF('Données projet'!$A$166&gt;35,DO10+DN11-DW10,IF(A11&lt;'Données projet'!$A$166,$DL$205^A11,IF(A11='Données projet'!$A$166,'Données projet'!$B$166,DO10+DN11-DW10)))</f>
        <v>7.2185706980175075</v>
      </c>
      <c r="DP11" s="17">
        <f>DO11*VLOOKUP('Données projet'!$B$14,Paramètres!$A$1:$I$89,3,0)*VLOOKUP('Données projet'!$B$14,Paramètres!$A$1:$I$89,5,0)</f>
        <v>3.3782910866721938</v>
      </c>
      <c r="DQ11" s="13">
        <f t="shared" si="43"/>
        <v>1.3511662651455716</v>
      </c>
      <c r="DR11" s="20">
        <f t="shared" si="16"/>
        <v>8.2371382210826081</v>
      </c>
      <c r="DS11" s="59">
        <f t="shared" si="17"/>
        <v>194.99041108730316</v>
      </c>
      <c r="DT11" s="59">
        <f ca="1">AVERAGE(OFFSET($DS$3,0,0,'Données projet'!$E$14+1,1))-AVERAGE(OFFSET($H$3,0,0,'Données projet'!$E$14+1,1))</f>
        <v>246.11623544660486</v>
      </c>
      <c r="DU11" s="59">
        <f t="shared" si="44"/>
        <v>273.18950868898253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5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67">
        <f t="shared" si="1"/>
        <v>183.33333333333334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3.65</v>
      </c>
      <c r="N12" s="13">
        <f>IF('Données projet'!$A$36&gt;35,N11+M12-V11,IF(A12&lt;'Données projet'!$A$36,$K$205^A12,IF(A12='Données projet'!$A$36,'Données projet'!$B$36,N11+M12-V11)))</f>
        <v>6.8943811137639424</v>
      </c>
      <c r="O12" s="13">
        <f>N12*VLOOKUP('Données projet'!$B$9,Paramètres!$A$1:$I$89,3,0)*VLOOKUP('Données projet'!$B$9,Paramètres!$A$1:$I$89,5,0)</f>
        <v>6.9909024493566383</v>
      </c>
      <c r="P12" s="13">
        <f t="shared" si="33"/>
        <v>2.5691037174250742</v>
      </c>
      <c r="Q12" s="20">
        <f t="shared" si="2"/>
        <v>16.650344073811482</v>
      </c>
      <c r="R12" s="59">
        <f t="shared" si="0"/>
        <v>206.00830282636755</v>
      </c>
      <c r="S12" s="59">
        <f ca="1">AVERAGE(OFFSET($R$3,0,0,'Données projet'!$E$9+1,1))-AVERAGE(OFFSET($H$3,0,0,'Données projet'!$E$9+1,1))</f>
        <v>538.10210778862256</v>
      </c>
      <c r="T12" s="59">
        <f t="shared" si="34"/>
        <v>399.53300632021399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3.65</v>
      </c>
      <c r="AI12" s="13">
        <f>IF('Données projet'!$A$62&gt;35,AI11+AH12-AQ11,IF(A12&lt;'Données projet'!$A$62,$AF$205^A12,IF(A12='Données projet'!$A$62,'Données projet'!$B$62,AI11+AH12-AQ11)))</f>
        <v>6.8943811137639424</v>
      </c>
      <c r="AJ12" s="13">
        <f>AI12*VLOOKUP('Données projet'!$B$10,Paramètres!$A$1:$I$89,3,0)*VLOOKUP('Données projet'!$B$10,Paramètres!$A$1:$I$89,5,0)</f>
        <v>7.2060071401060739</v>
      </c>
      <c r="AK12" s="13">
        <f t="shared" si="35"/>
        <v>2.6388280464877014</v>
      </c>
      <c r="AL12" s="20">
        <f t="shared" si="4"/>
        <v>17.14642128331749</v>
      </c>
      <c r="AM12" s="59">
        <f t="shared" si="5"/>
        <v>206.50438003587357</v>
      </c>
      <c r="AN12" s="59">
        <f ca="1">AVERAGE(OFFSET($AM$3,0,0,'Données projet'!$E$10+1,1))-AVERAGE(OFFSET($H$3,0,0,'Données projet'!$E$10+1,1))</f>
        <v>552.26894123675538</v>
      </c>
      <c r="AO12" s="59">
        <f t="shared" si="36"/>
        <v>409.85604950107006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1.2</v>
      </c>
      <c r="BD12" s="12">
        <f>IF('Données projet'!$A$88&gt;35,BD11+BC12-BL11,IF(A12&lt;'Données projet'!$A$88,$BA$205^A12,IF(A12='Données projet'!$A$88,'Données projet'!$B$88,BD11+BC12-BL11)))</f>
        <v>3.4022298585357786</v>
      </c>
      <c r="BE12" s="13">
        <f>BD12*VLOOKUP('Données projet'!$B$11,Paramètres!$A$1:$I$89,3,0)*VLOOKUP('Données projet'!$B$11,Paramètres!$A$1:$I$89,5,0)</f>
        <v>3.6621602197279119</v>
      </c>
      <c r="BF12" s="13">
        <f t="shared" si="37"/>
        <v>1.4510099121120625</v>
      </c>
      <c r="BG12" s="20">
        <f t="shared" si="7"/>
        <v>8.9054379796212881</v>
      </c>
      <c r="BH12" s="59">
        <f t="shared" si="8"/>
        <v>198.26339673217737</v>
      </c>
      <c r="BI12" s="59">
        <f ca="1">AVERAGE(OFFSET($BH$3,0,0,'Données projet'!$E$11+1,1))-AVERAGE(OFFSET($H$3,0,0,'Données projet'!$E$11+1,1))</f>
        <v>361.24725625563468</v>
      </c>
      <c r="BJ12" s="59">
        <f t="shared" si="38"/>
        <v>186.0840067781198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2.1</v>
      </c>
      <c r="BY12" s="12">
        <f>IF('Données projet'!$A$114&gt;35,BY11+BX12-CG11,IF(A12&lt;'Données projet'!$A$114,$BV$205^A12,IF(A12='Données projet'!$A$114,'Données projet'!$B$114,BY11+BX12-CG11)))</f>
        <v>5.3760361537574148</v>
      </c>
      <c r="BZ12" s="13">
        <f>BY12*VLOOKUP('Données projet'!$B$12,Paramètres!$A$1:$I$89,3,0)*VLOOKUP('Données projet'!$B$12,Paramètres!$A$1:$I$89,5,0)</f>
        <v>3.6062450519404741</v>
      </c>
      <c r="CA12" s="13">
        <f t="shared" si="39"/>
        <v>1.4314166685408396</v>
      </c>
      <c r="CB12" s="20">
        <f t="shared" si="10"/>
        <v>8.773927496504955</v>
      </c>
      <c r="CC12" s="59">
        <f t="shared" si="11"/>
        <v>198.13188624906104</v>
      </c>
      <c r="CD12" s="59">
        <f ca="1">AVERAGE(OFFSET($CC$3,0,0,'Données projet'!$E$12+1,1))-AVERAGE(OFFSET($H$3,0,0,'Données projet'!$E$12+1,1))</f>
        <v>323.91378047319455</v>
      </c>
      <c r="CE12" s="59">
        <f t="shared" si="40"/>
        <v>212.89889176380288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3.2373333333333334</v>
      </c>
      <c r="CT12" s="12">
        <f>IF('Données projet'!$A$140&gt;35,CT11+CS12-DB11,IF(A12&lt;'Données projet'!$A$140,$CQ$205^A12,IF(A12='Données projet'!$A$140,'Données projet'!$B$140,CT11+CS12-DB11)))</f>
        <v>10.274654022618265</v>
      </c>
      <c r="CU12" s="17">
        <f>CT12*VLOOKUP('Données projet'!$B$13,Paramètres!$A$1:$I$89,3,0)*VLOOKUP('Données projet'!$B$13,Paramètres!$A$1:$I$89,5,0)</f>
        <v>6.1442431055257218</v>
      </c>
      <c r="CV12" s="13">
        <f t="shared" si="41"/>
        <v>2.2921484178361289</v>
      </c>
      <c r="CW12" s="20">
        <f t="shared" si="13"/>
        <v>14.693381903188557</v>
      </c>
      <c r="CX12" s="59">
        <f t="shared" si="14"/>
        <v>204.05134065574464</v>
      </c>
      <c r="CY12" s="59">
        <f ca="1">AVERAGE(OFFSET($CX$3,0,0,'Données projet'!$E$13+1,1))-AVERAGE(OFFSET($H$3,0,0,'Données projet'!$E$13+1,1))</f>
        <v>356.07880667298025</v>
      </c>
      <c r="CZ12" s="59">
        <f t="shared" si="42"/>
        <v>396.05161661639659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7</v>
      </c>
      <c r="DO12" s="12">
        <f>IF('Données projet'!$A$166&gt;35,DO11+DN12-DW11,IF(A12&lt;'Données projet'!$A$166,$DL$205^A12,IF(A12='Données projet'!$A$166,'Données projet'!$B$166,DO11+DN12-DW11)))</f>
        <v>9.2418223494521463</v>
      </c>
      <c r="DP12" s="17">
        <f>DO12*VLOOKUP('Données projet'!$B$14,Paramètres!$A$1:$I$89,3,0)*VLOOKUP('Données projet'!$B$14,Paramètres!$A$1:$I$89,5,0)</f>
        <v>4.3251728595436045</v>
      </c>
      <c r="DQ12" s="13">
        <f t="shared" si="43"/>
        <v>1.6808336353186117</v>
      </c>
      <c r="DR12" s="20">
        <f t="shared" si="16"/>
        <v>10.460461311885025</v>
      </c>
      <c r="DS12" s="59">
        <f t="shared" si="17"/>
        <v>199.81842006444109</v>
      </c>
      <c r="DT12" s="59">
        <f ca="1">AVERAGE(OFFSET($DS$3,0,0,'Données projet'!$E$14+1,1))-AVERAGE(OFFSET($H$3,0,0,'Données projet'!$E$14+1,1))</f>
        <v>246.11623544660486</v>
      </c>
      <c r="DU12" s="59">
        <f t="shared" si="44"/>
        <v>273.18950868898253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5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67">
        <f t="shared" si="1"/>
        <v>183.33333333333334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3.65</v>
      </c>
      <c r="N13" s="13">
        <f>IF('Données projet'!$A$36&gt;35,N12+M13-V12,IF(A13&lt;'Données projet'!$A$36,$K$205^A13,IF(A13='Données projet'!$A$36,'Données projet'!$B$36,N12+M13-V12)))</f>
        <v>8.5440037453175322</v>
      </c>
      <c r="O13" s="13">
        <f>N13*VLOOKUP('Données projet'!$B$9,Paramètres!$A$1:$I$89,3,0)*VLOOKUP('Données projet'!$B$9,Paramètres!$A$1:$I$89,5,0)</f>
        <v>8.6636197977519771</v>
      </c>
      <c r="P13" s="13">
        <f t="shared" si="33"/>
        <v>3.1052976990698267</v>
      </c>
      <c r="Q13" s="20">
        <f t="shared" si="2"/>
        <v>20.497531306964643</v>
      </c>
      <c r="R13" s="59">
        <f t="shared" si="0"/>
        <v>212.43619329200953</v>
      </c>
      <c r="S13" s="59">
        <f ca="1">AVERAGE(OFFSET($R$3,0,0,'Données projet'!$E$9+1,1))-AVERAGE(OFFSET($H$3,0,0,'Données projet'!$E$9+1,1))</f>
        <v>538.10210778862256</v>
      </c>
      <c r="T13" s="59">
        <f t="shared" si="34"/>
        <v>399.53300632021399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3.65</v>
      </c>
      <c r="AI13" s="13">
        <f>IF('Données projet'!$A$62&gt;35,AI12+AH13-AQ12,IF(A13&lt;'Données projet'!$A$62,$AF$205^A13,IF(A13='Données projet'!$A$62,'Données projet'!$B$62,AI12+AH13-AQ12)))</f>
        <v>8.5440037453175322</v>
      </c>
      <c r="AJ13" s="13">
        <f>AI13*VLOOKUP('Données projet'!$B$10,Paramètres!$A$1:$I$89,3,0)*VLOOKUP('Données projet'!$B$10,Paramètres!$A$1:$I$89,5,0)</f>
        <v>8.9301927146058855</v>
      </c>
      <c r="AK13" s="13">
        <f t="shared" si="35"/>
        <v>3.1895740936500991</v>
      </c>
      <c r="AL13" s="20">
        <f t="shared" si="4"/>
        <v>21.108593857712506</v>
      </c>
      <c r="AM13" s="59">
        <f t="shared" si="5"/>
        <v>213.04725584275741</v>
      </c>
      <c r="AN13" s="59">
        <f ca="1">AVERAGE(OFFSET($AM$3,0,0,'Données projet'!$E$10+1,1))-AVERAGE(OFFSET($H$3,0,0,'Données projet'!$E$10+1,1))</f>
        <v>552.26894123675538</v>
      </c>
      <c r="AO13" s="59">
        <f t="shared" si="36"/>
        <v>409.85604950107006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1.2</v>
      </c>
      <c r="BD13" s="12">
        <f>IF('Données projet'!$A$88&gt;35,BD12+BC13-BL12,IF(A13&lt;'Données projet'!$A$88,$BA$205^A13,IF(A13='Données projet'!$A$88,'Données projet'!$B$88,BD12+BC13-BL12)))</f>
        <v>3.8980598409161908</v>
      </c>
      <c r="BE13" s="13">
        <f>BD13*VLOOKUP('Données projet'!$B$11,Paramètres!$A$1:$I$89,3,0)*VLOOKUP('Données projet'!$B$11,Paramètres!$A$1:$I$89,5,0)</f>
        <v>4.1958716127621871</v>
      </c>
      <c r="BF13" s="13">
        <f t="shared" si="37"/>
        <v>1.63635584772744</v>
      </c>
      <c r="BG13" s="20">
        <f t="shared" si="7"/>
        <v>10.157796160352767</v>
      </c>
      <c r="BH13" s="59">
        <f t="shared" si="8"/>
        <v>202.09645814539766</v>
      </c>
      <c r="BI13" s="59">
        <f ca="1">AVERAGE(OFFSET($BH$3,0,0,'Données projet'!$E$11+1,1))-AVERAGE(OFFSET($H$3,0,0,'Données projet'!$E$11+1,1))</f>
        <v>361.24725625563468</v>
      </c>
      <c r="BJ13" s="59">
        <f t="shared" si="38"/>
        <v>186.0840067781198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2.1</v>
      </c>
      <c r="BY13" s="12">
        <f>IF('Données projet'!$A$114&gt;35,BY12+BX13-CG12,IF(A13&lt;'Données projet'!$A$114,$BV$205^A13,IF(A13='Données projet'!$A$114,'Données projet'!$B$114,BY12+BX13-CG12)))</f>
        <v>6.4807406984078657</v>
      </c>
      <c r="BZ13" s="13">
        <f>BY13*VLOOKUP('Données projet'!$B$12,Paramètres!$A$1:$I$89,3,0)*VLOOKUP('Données projet'!$B$12,Paramètres!$A$1:$I$89,5,0)</f>
        <v>4.3472808604919964</v>
      </c>
      <c r="CA13" s="13">
        <f t="shared" si="39"/>
        <v>1.6884228610667158</v>
      </c>
      <c r="CB13" s="20">
        <f t="shared" si="10"/>
        <v>10.512183981714756</v>
      </c>
      <c r="CC13" s="59">
        <f t="shared" si="11"/>
        <v>202.45084596675963</v>
      </c>
      <c r="CD13" s="59">
        <f ca="1">AVERAGE(OFFSET($CC$3,0,0,'Données projet'!$E$12+1,1))-AVERAGE(OFFSET($H$3,0,0,'Données projet'!$E$12+1,1))</f>
        <v>323.91378047319455</v>
      </c>
      <c r="CE13" s="59">
        <f t="shared" si="40"/>
        <v>212.89889176380288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3.2373333333333334</v>
      </c>
      <c r="CT13" s="12">
        <f>IF('Données projet'!$A$140&gt;35,CT12+CS13-DB12,IF(A13&lt;'Données projet'!$A$140,$CQ$205^A13,IF(A13='Données projet'!$A$140,'Données projet'!$B$140,CT12+CS13-DB12)))</f>
        <v>13.310236903610214</v>
      </c>
      <c r="CU13" s="17">
        <f>CT13*VLOOKUP('Données projet'!$B$13,Paramètres!$A$1:$I$89,3,0)*VLOOKUP('Données projet'!$B$13,Paramètres!$A$1:$I$89,5,0)</f>
        <v>7.9595216683589083</v>
      </c>
      <c r="CV13" s="13">
        <f t="shared" si="41"/>
        <v>2.8812158219477846</v>
      </c>
      <c r="CW13" s="20">
        <f t="shared" si="13"/>
        <v>18.880951128950827</v>
      </c>
      <c r="CX13" s="59">
        <f t="shared" si="14"/>
        <v>210.81961311399573</v>
      </c>
      <c r="CY13" s="59">
        <f ca="1">AVERAGE(OFFSET($CX$3,0,0,'Données projet'!$E$13+1,1))-AVERAGE(OFFSET($H$3,0,0,'Données projet'!$E$13+1,1))</f>
        <v>356.07880667298025</v>
      </c>
      <c r="CZ13" s="59">
        <f t="shared" si="42"/>
        <v>396.05161661639659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7</v>
      </c>
      <c r="DO13" s="12">
        <f>IF('Données projet'!$A$166&gt;35,DO12+DN13-DW12,IF(A13&lt;'Données projet'!$A$166,$DL$205^A13,IF(A13='Données projet'!$A$166,'Données projet'!$B$166,DO12+DN13-DW12)))</f>
        <v>11.832159566199214</v>
      </c>
      <c r="DP13" s="17">
        <f>DO13*VLOOKUP('Données projet'!$B$14,Paramètres!$A$1:$I$89,3,0)*VLOOKUP('Données projet'!$B$14,Paramètres!$A$1:$I$89,5,0)</f>
        <v>5.5374506769812326</v>
      </c>
      <c r="DQ13" s="13">
        <f t="shared" si="43"/>
        <v>2.090935647593303</v>
      </c>
      <c r="DR13" s="20">
        <f t="shared" si="16"/>
        <v>13.286106181967314</v>
      </c>
      <c r="DS13" s="59">
        <f t="shared" si="17"/>
        <v>205.2247681670122</v>
      </c>
      <c r="DT13" s="59">
        <f ca="1">AVERAGE(OFFSET($DS$3,0,0,'Données projet'!$E$14+1,1))-AVERAGE(OFFSET($H$3,0,0,'Données projet'!$E$14+1,1))</f>
        <v>246.11623544660486</v>
      </c>
      <c r="DU13" s="59">
        <f t="shared" si="44"/>
        <v>273.18950868898253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5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67">
        <f t="shared" si="1"/>
        <v>183.33333333333334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3.65</v>
      </c>
      <c r="N14" s="13">
        <f>IF('Données projet'!$A$36&gt;35,N13+M14-V13,IF(A14&lt;'Données projet'!$A$36,$K$205^A14,IF(A14='Données projet'!$A$36,'Données projet'!$B$36,N13+M14-V13)))</f>
        <v>10.588332555950936</v>
      </c>
      <c r="O14" s="13">
        <f>N14*VLOOKUP('Données projet'!$B$9,Paramètres!$A$1:$I$89,3,0)*VLOOKUP('Données projet'!$B$9,Paramètres!$A$1:$I$89,5,0)</f>
        <v>10.736569211734251</v>
      </c>
      <c r="P14" s="13">
        <f t="shared" si="33"/>
        <v>3.7533999637480915</v>
      </c>
      <c r="Q14" s="20">
        <f t="shared" si="2"/>
        <v>25.23669631396508</v>
      </c>
      <c r="R14" s="59">
        <f t="shared" si="0"/>
        <v>219.7324949230792</v>
      </c>
      <c r="S14" s="59">
        <f ca="1">AVERAGE(OFFSET($R$3,0,0,'Données projet'!$E$9+1,1))-AVERAGE(OFFSET($H$3,0,0,'Données projet'!$E$9+1,1))</f>
        <v>538.10210778862256</v>
      </c>
      <c r="T14" s="59">
        <f t="shared" si="34"/>
        <v>399.53300632021399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3.65</v>
      </c>
      <c r="AI14" s="13">
        <f>IF('Données projet'!$A$62&gt;35,AI13+AH14-AQ13,IF(A14&lt;'Données projet'!$A$62,$AF$205^A14,IF(A14='Données projet'!$A$62,'Données projet'!$B$62,AI13+AH14-AQ13)))</f>
        <v>10.588332555950936</v>
      </c>
      <c r="AJ14" s="13">
        <f>AI14*VLOOKUP('Données projet'!$B$10,Paramètres!$A$1:$I$89,3,0)*VLOOKUP('Données projet'!$B$10,Paramètres!$A$1:$I$89,5,0)</f>
        <v>11.066925187479919</v>
      </c>
      <c r="AK14" s="13">
        <f t="shared" si="35"/>
        <v>3.8552655647360954</v>
      </c>
      <c r="AL14" s="20">
        <f t="shared" si="4"/>
        <v>25.989482226776222</v>
      </c>
      <c r="AM14" s="59">
        <f t="shared" si="5"/>
        <v>220.48528083589036</v>
      </c>
      <c r="AN14" s="59">
        <f ca="1">AVERAGE(OFFSET($AM$3,0,0,'Données projet'!$E$10+1,1))-AVERAGE(OFFSET($H$3,0,0,'Données projet'!$E$10+1,1))</f>
        <v>552.26894123675538</v>
      </c>
      <c r="AO14" s="59">
        <f t="shared" si="36"/>
        <v>409.85604950107006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1.2</v>
      </c>
      <c r="BD14" s="12">
        <f>IF('Données projet'!$A$88&gt;35,BD13+BC14-BL13,IF(A14&lt;'Données projet'!$A$88,$BA$205^A14,IF(A14='Données projet'!$A$88,'Données projet'!$B$88,BD13+BC14-BL13)))</f>
        <v>4.4661504822319662</v>
      </c>
      <c r="BE14" s="13">
        <f>BD14*VLOOKUP('Données projet'!$B$11,Paramètres!$A$1:$I$89,3,0)*VLOOKUP('Données projet'!$B$11,Paramètres!$A$1:$I$89,5,0)</f>
        <v>4.8073643790744889</v>
      </c>
      <c r="BF14" s="13">
        <f t="shared" si="37"/>
        <v>1.8453770977306692</v>
      </c>
      <c r="BG14" s="20">
        <f t="shared" si="7"/>
        <v>11.586858072102316</v>
      </c>
      <c r="BH14" s="59">
        <f t="shared" si="8"/>
        <v>206.08265668121646</v>
      </c>
      <c r="BI14" s="59">
        <f ca="1">AVERAGE(OFFSET($BH$3,0,0,'Données projet'!$E$11+1,1))-AVERAGE(OFFSET($H$3,0,0,'Données projet'!$E$11+1,1))</f>
        <v>361.24725625563468</v>
      </c>
      <c r="BJ14" s="59">
        <f t="shared" si="38"/>
        <v>186.0840067781198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2.1</v>
      </c>
      <c r="BY14" s="12">
        <f>IF('Données projet'!$A$114&gt;35,BY13+BX14-CG13,IF(A14&lt;'Données projet'!$A$114,$BV$205^A14,IF(A14='Données projet'!$A$114,'Données projet'!$B$114,BY13+BX14-CG13)))</f>
        <v>7.8124474610620815</v>
      </c>
      <c r="BZ14" s="13">
        <f>BY14*VLOOKUP('Données projet'!$B$12,Paramètres!$A$1:$I$89,3,0)*VLOOKUP('Données projet'!$B$12,Paramètres!$A$1:$I$89,5,0)</f>
        <v>5.2405897568804445</v>
      </c>
      <c r="CA14" s="13">
        <f t="shared" si="39"/>
        <v>1.9915736769215775</v>
      </c>
      <c r="CB14" s="20">
        <f t="shared" si="10"/>
        <v>12.59601798053852</v>
      </c>
      <c r="CC14" s="59">
        <f t="shared" si="11"/>
        <v>207.09181658965264</v>
      </c>
      <c r="CD14" s="59">
        <f ca="1">AVERAGE(OFFSET($CC$3,0,0,'Données projet'!$E$12+1,1))-AVERAGE(OFFSET($H$3,0,0,'Données projet'!$E$12+1,1))</f>
        <v>323.91378047319455</v>
      </c>
      <c r="CE14" s="59">
        <f t="shared" si="40"/>
        <v>212.89889176380288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3.2373333333333334</v>
      </c>
      <c r="CT14" s="12">
        <f>IF('Données projet'!$A$140&gt;35,CT13+CS14-DB13,IF(A14&lt;'Données projet'!$A$140,$CQ$205^A14,IF(A14='Données projet'!$A$140,'Données projet'!$B$140,CT13+CS14-DB13)))</f>
        <v>17.242663941795808</v>
      </c>
      <c r="CU14" s="17">
        <f>CT14*VLOOKUP('Données projet'!$B$13,Paramètres!$A$1:$I$89,3,0)*VLOOKUP('Données projet'!$B$13,Paramètres!$A$1:$I$89,5,0)</f>
        <v>10.311113037193895</v>
      </c>
      <c r="CV14" s="13">
        <f t="shared" si="41"/>
        <v>3.6216697610179529</v>
      </c>
      <c r="CW14" s="20">
        <f t="shared" si="13"/>
        <v>24.266263373552302</v>
      </c>
      <c r="CX14" s="59">
        <f t="shared" si="14"/>
        <v>218.76206198266644</v>
      </c>
      <c r="CY14" s="59">
        <f ca="1">AVERAGE(OFFSET($CX$3,0,0,'Données projet'!$E$13+1,1))-AVERAGE(OFFSET($H$3,0,0,'Données projet'!$E$13+1,1))</f>
        <v>356.07880667298025</v>
      </c>
      <c r="CZ14" s="59">
        <f t="shared" si="42"/>
        <v>396.05161661639659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7</v>
      </c>
      <c r="DO14" s="12">
        <f>IF('Données projet'!$A$166&gt;35,DO13+DN14-DW13,IF(A14&lt;'Données projet'!$A$166,$DL$205^A14,IF(A14='Données projet'!$A$166,'Données projet'!$B$166,DO13+DN14-DW13)))</f>
        <v>15.148527498832387</v>
      </c>
      <c r="DP14" s="17">
        <f>DO14*VLOOKUP('Données projet'!$B$14,Paramètres!$A$1:$I$89,3,0)*VLOOKUP('Données projet'!$B$14,Paramètres!$A$1:$I$89,5,0)</f>
        <v>7.0895108694535569</v>
      </c>
      <c r="DQ14" s="13">
        <f t="shared" si="43"/>
        <v>2.6010973308180407</v>
      </c>
      <c r="DR14" s="20">
        <f t="shared" si="16"/>
        <v>16.877809282139697</v>
      </c>
      <c r="DS14" s="59">
        <f t="shared" si="17"/>
        <v>211.37360789125384</v>
      </c>
      <c r="DT14" s="59">
        <f ca="1">AVERAGE(OFFSET($DS$3,0,0,'Données projet'!$E$14+1,1))-AVERAGE(OFFSET($H$3,0,0,'Données projet'!$E$14+1,1))</f>
        <v>246.11623544660486</v>
      </c>
      <c r="DU14" s="59">
        <f t="shared" si="44"/>
        <v>273.18950868898253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5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67">
        <f t="shared" si="1"/>
        <v>183.33333333333334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3.65</v>
      </c>
      <c r="N15" s="13">
        <f>IF('Données projet'!$A$36&gt;35,N14+M15-V14,IF(A15&lt;'Données projet'!$A$36,$K$205^A15,IF(A15='Données projet'!$A$36,'Données projet'!$B$36,N14+M15-V14)))</f>
        <v>13.121809125710287</v>
      </c>
      <c r="O15" s="13">
        <f>N15*VLOOKUP('Données projet'!$B$9,Paramètres!$A$1:$I$89,3,0)*VLOOKUP('Données projet'!$B$9,Paramètres!$A$1:$I$89,5,0)</f>
        <v>13.305514453470233</v>
      </c>
      <c r="P15" s="13">
        <f t="shared" si="33"/>
        <v>4.5367667299931158</v>
      </c>
      <c r="Q15" s="20">
        <f t="shared" si="2"/>
        <v>31.075306394532003</v>
      </c>
      <c r="R15" s="59">
        <f t="shared" si="0"/>
        <v>228.10508384726486</v>
      </c>
      <c r="S15" s="59">
        <f ca="1">AVERAGE(OFFSET($R$3,0,0,'Données projet'!$E$9+1,1))-AVERAGE(OFFSET($H$3,0,0,'Données projet'!$E$9+1,1))</f>
        <v>538.10210778862256</v>
      </c>
      <c r="T15" s="59">
        <f t="shared" si="34"/>
        <v>399.53300632021399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3.65</v>
      </c>
      <c r="AI15" s="13">
        <f>IF('Données projet'!$A$62&gt;35,AI14+AH15-AQ14,IF(A15&lt;'Données projet'!$A$62,$AF$205^A15,IF(A15='Données projet'!$A$62,'Données projet'!$B$62,AI14+AH15-AQ14)))</f>
        <v>13.121809125710287</v>
      </c>
      <c r="AJ15" s="13">
        <f>AI15*VLOOKUP('Données projet'!$B$10,Paramètres!$A$1:$I$89,3,0)*VLOOKUP('Données projet'!$B$10,Paramètres!$A$1:$I$89,5,0)</f>
        <v>13.714914898192394</v>
      </c>
      <c r="AK15" s="13">
        <f t="shared" si="35"/>
        <v>4.6598925556329869</v>
      </c>
      <c r="AL15" s="20">
        <f t="shared" si="4"/>
        <v>32.002789648745868</v>
      </c>
      <c r="AM15" s="59">
        <f t="shared" si="5"/>
        <v>229.03256710147875</v>
      </c>
      <c r="AN15" s="59">
        <f ca="1">AVERAGE(OFFSET($AM$3,0,0,'Données projet'!$E$10+1,1))-AVERAGE(OFFSET($H$3,0,0,'Données projet'!$E$10+1,1))</f>
        <v>552.26894123675538</v>
      </c>
      <c r="AO15" s="59">
        <f t="shared" si="36"/>
        <v>409.85604950107006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1.2</v>
      </c>
      <c r="BD15" s="12">
        <f>IF('Données projet'!$A$88&gt;35,BD14+BC15-BL14,IF(A15&lt;'Données projet'!$A$88,$BA$205^A15,IF(A15='Données projet'!$A$88,'Données projet'!$B$88,BD14+BC15-BL14)))</f>
        <v>5.1170328173444979</v>
      </c>
      <c r="BE15" s="13">
        <f>BD15*VLOOKUP('Données projet'!$B$11,Paramètres!$A$1:$I$89,3,0)*VLOOKUP('Données projet'!$B$11,Paramètres!$A$1:$I$89,5,0)</f>
        <v>5.5079741245896177</v>
      </c>
      <c r="BF15" s="13">
        <f t="shared" si="37"/>
        <v>2.0810978477317659</v>
      </c>
      <c r="BG15" s="20">
        <f t="shared" si="7"/>
        <v>13.217633685126408</v>
      </c>
      <c r="BH15" s="59">
        <f t="shared" si="8"/>
        <v>210.24741113785927</v>
      </c>
      <c r="BI15" s="59">
        <f ca="1">AVERAGE(OFFSET($BH$3,0,0,'Données projet'!$E$11+1,1))-AVERAGE(OFFSET($H$3,0,0,'Données projet'!$E$11+1,1))</f>
        <v>361.24725625563468</v>
      </c>
      <c r="BJ15" s="59">
        <f t="shared" si="38"/>
        <v>186.0840067781198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2.1</v>
      </c>
      <c r="BY15" s="12">
        <f>IF('Données projet'!$A$114&gt;35,BY14+BX15-CG14,IF(A15&lt;'Données projet'!$A$114,$BV$205^A15,IF(A15='Données projet'!$A$114,'Données projet'!$B$114,BY14+BX15-CG14)))</f>
        <v>9.4178024044149407</v>
      </c>
      <c r="BZ15" s="13">
        <f>BY15*VLOOKUP('Données projet'!$B$12,Paramètres!$A$1:$I$89,3,0)*VLOOKUP('Données projet'!$B$12,Paramètres!$A$1:$I$89,5,0)</f>
        <v>6.3174618528815421</v>
      </c>
      <c r="CA15" s="13">
        <f t="shared" si="39"/>
        <v>2.3491542326671957</v>
      </c>
      <c r="CB15" s="20">
        <f t="shared" si="10"/>
        <v>15.094356348997385</v>
      </c>
      <c r="CC15" s="59">
        <f t="shared" si="11"/>
        <v>212.12413380173027</v>
      </c>
      <c r="CD15" s="59">
        <f ca="1">AVERAGE(OFFSET($CC$3,0,0,'Données projet'!$E$12+1,1))-AVERAGE(OFFSET($H$3,0,0,'Données projet'!$E$12+1,1))</f>
        <v>323.91378047319455</v>
      </c>
      <c r="CE15" s="59">
        <f t="shared" si="40"/>
        <v>212.89889176380288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3.2373333333333334</v>
      </c>
      <c r="CT15" s="12">
        <f>IF('Données projet'!$A$140&gt;35,CT14+CS15-DB14,IF(A15&lt;'Données projet'!$A$140,$CQ$205^A15,IF(A15='Données projet'!$A$140,'Données projet'!$B$140,CT14+CS15-DB14)))</f>
        <v>22.336902187598508</v>
      </c>
      <c r="CU15" s="17">
        <f>CT15*VLOOKUP('Données projet'!$B$13,Paramètres!$A$1:$I$89,3,0)*VLOOKUP('Données projet'!$B$13,Paramètres!$A$1:$I$89,5,0)</f>
        <v>13.357467508183909</v>
      </c>
      <c r="CV15" s="13">
        <f t="shared" si="41"/>
        <v>4.5524156010654915</v>
      </c>
      <c r="CW15" s="20">
        <f t="shared" si="13"/>
        <v>31.193046415276033</v>
      </c>
      <c r="CX15" s="59">
        <f t="shared" si="14"/>
        <v>228.2228238680089</v>
      </c>
      <c r="CY15" s="59">
        <f ca="1">AVERAGE(OFFSET($CX$3,0,0,'Données projet'!$E$13+1,1))-AVERAGE(OFFSET($H$3,0,0,'Données projet'!$E$13+1,1))</f>
        <v>356.07880667298025</v>
      </c>
      <c r="CZ15" s="59">
        <f t="shared" si="42"/>
        <v>396.05161661639659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7</v>
      </c>
      <c r="DO15" s="12">
        <f>IF('Données projet'!$A$166&gt;35,DO14+DN15-DW14,IF(A15&lt;'Données projet'!$A$166,$DL$205^A15,IF(A15='Données projet'!$A$166,'Données projet'!$B$166,DO14+DN15-DW14)))</f>
        <v>19.394421119744504</v>
      </c>
      <c r="DP15" s="17">
        <f>DO15*VLOOKUP('Données projet'!$B$14,Paramètres!$A$1:$I$89,3,0)*VLOOKUP('Données projet'!$B$14,Paramètres!$A$1:$I$89,5,0)</f>
        <v>9.0765890840404282</v>
      </c>
      <c r="DQ15" s="13">
        <f t="shared" si="43"/>
        <v>3.2357319710801056</v>
      </c>
      <c r="DR15" s="20">
        <f t="shared" si="16"/>
        <v>21.443959171001595</v>
      </c>
      <c r="DS15" s="59">
        <f t="shared" si="17"/>
        <v>218.47373662373445</v>
      </c>
      <c r="DT15" s="59">
        <f ca="1">AVERAGE(OFFSET($DS$3,0,0,'Données projet'!$E$14+1,1))-AVERAGE(OFFSET($H$3,0,0,'Données projet'!$E$14+1,1))</f>
        <v>246.11623544660486</v>
      </c>
      <c r="DU15" s="59">
        <f t="shared" si="44"/>
        <v>273.18950868898253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5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67">
        <f t="shared" si="1"/>
        <v>183.33333333333334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3.65</v>
      </c>
      <c r="N16" s="13">
        <f>IF('Données projet'!$A$36&gt;35,N15+M16-V15,IF(A16&lt;'Données projet'!$A$36,$K$205^A16,IF(A16='Données projet'!$A$36,'Données projet'!$B$36,N15+M16-V15)))</f>
        <v>16.261472127148366</v>
      </c>
      <c r="O16" s="13">
        <f>N16*VLOOKUP('Données projet'!$B$9,Paramètres!$A$1:$I$89,3,0)*VLOOKUP('Données projet'!$B$9,Paramètres!$A$1:$I$89,5,0)</f>
        <v>16.489132736928447</v>
      </c>
      <c r="P16" s="13">
        <f t="shared" si="33"/>
        <v>5.4836288594779292</v>
      </c>
      <c r="Q16" s="20">
        <f t="shared" si="2"/>
        <v>38.269226447074438</v>
      </c>
      <c r="R16" s="59">
        <f t="shared" si="0"/>
        <v>237.81022669869324</v>
      </c>
      <c r="S16" s="59">
        <f ca="1">AVERAGE(OFFSET($R$3,0,0,'Données projet'!$E$9+1,1))-AVERAGE(OFFSET($H$3,0,0,'Données projet'!$E$9+1,1))</f>
        <v>538.10210778862256</v>
      </c>
      <c r="T16" s="59">
        <f t="shared" si="34"/>
        <v>399.53300632021399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3.65</v>
      </c>
      <c r="AI16" s="13">
        <f>IF('Données projet'!$A$62&gt;35,AI15+AH16-AQ15,IF(A16&lt;'Données projet'!$A$62,$AF$205^A16,IF(A16='Données projet'!$A$62,'Données projet'!$B$62,AI15+AH16-AQ15)))</f>
        <v>16.261472127148366</v>
      </c>
      <c r="AJ16" s="13">
        <f>AI16*VLOOKUP('Données projet'!$B$10,Paramètres!$A$1:$I$89,3,0)*VLOOKUP('Données projet'!$B$10,Paramètres!$A$1:$I$89,5,0)</f>
        <v>16.996490667295472</v>
      </c>
      <c r="AK16" s="13">
        <f t="shared" si="35"/>
        <v>5.6324521010085444</v>
      </c>
      <c r="AL16" s="20">
        <f t="shared" si="4"/>
        <v>39.412075321462829</v>
      </c>
      <c r="AM16" s="59">
        <f t="shared" si="5"/>
        <v>238.95307557308163</v>
      </c>
      <c r="AN16" s="59">
        <f ca="1">AVERAGE(OFFSET($AM$3,0,0,'Données projet'!$E$10+1,1))-AVERAGE(OFFSET($H$3,0,0,'Données projet'!$E$10+1,1))</f>
        <v>552.26894123675538</v>
      </c>
      <c r="AO16" s="59">
        <f t="shared" si="36"/>
        <v>409.85604950107006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1.2</v>
      </c>
      <c r="BD16" s="12">
        <f>IF('Données projet'!$A$88&gt;35,BD15+BC16-BL15,IF(A16&lt;'Données projet'!$A$88,$BA$205^A16,IF(A16='Données projet'!$A$88,'Données projet'!$B$88,BD15+BC16-BL15)))</f>
        <v>5.8627726400958746</v>
      </c>
      <c r="BE16" s="13">
        <f>BD16*VLOOKUP('Données projet'!$B$11,Paramètres!$A$1:$I$89,3,0)*VLOOKUP('Données projet'!$B$11,Paramètres!$A$1:$I$89,5,0)</f>
        <v>6.3106884697991985</v>
      </c>
      <c r="BF16" s="13">
        <f t="shared" si="37"/>
        <v>2.346928580158357</v>
      </c>
      <c r="BG16" s="20">
        <f t="shared" si="7"/>
        <v>15.078683028676075</v>
      </c>
      <c r="BH16" s="59">
        <f t="shared" si="8"/>
        <v>214.61968328029488</v>
      </c>
      <c r="BI16" s="59">
        <f ca="1">AVERAGE(OFFSET($BH$3,0,0,'Données projet'!$E$11+1,1))-AVERAGE(OFFSET($H$3,0,0,'Données projet'!$E$11+1,1))</f>
        <v>361.24725625563468</v>
      </c>
      <c r="BJ16" s="59">
        <f t="shared" si="38"/>
        <v>186.0840067781198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2.1</v>
      </c>
      <c r="BY16" s="12">
        <f>IF('Données projet'!$A$114&gt;35,BY15+BX16-CG15,IF(A16&lt;'Données projet'!$A$114,$BV$205^A16,IF(A16='Données projet'!$A$114,'Données projet'!$B$114,BY15+BX16-CG15)))</f>
        <v>11.35303662145153</v>
      </c>
      <c r="BZ16" s="13">
        <f>BY16*VLOOKUP('Données projet'!$B$12,Paramètres!$A$1:$I$89,3,0)*VLOOKUP('Données projet'!$B$12,Paramètres!$A$1:$I$89,5,0)</f>
        <v>7.6156169656696866</v>
      </c>
      <c r="CA16" s="13">
        <f t="shared" si="39"/>
        <v>2.7709372105119989</v>
      </c>
      <c r="CB16" s="20">
        <f t="shared" si="10"/>
        <v>18.089915190183103</v>
      </c>
      <c r="CC16" s="59">
        <f t="shared" si="11"/>
        <v>217.6309154418019</v>
      </c>
      <c r="CD16" s="59">
        <f ca="1">AVERAGE(OFFSET($CC$3,0,0,'Données projet'!$E$12+1,1))-AVERAGE(OFFSET($H$3,0,0,'Données projet'!$E$12+1,1))</f>
        <v>323.91378047319455</v>
      </c>
      <c r="CE16" s="59">
        <f t="shared" si="40"/>
        <v>212.89889176380288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3.2373333333333334</v>
      </c>
      <c r="CT16" s="12">
        <f>IF('Données projet'!$A$140&gt;35,CT15+CS16-DB15,IF(A16&lt;'Données projet'!$A$140,$CQ$205^A16,IF(A16='Données projet'!$A$140,'Données projet'!$B$140,CT15+CS16-DB15)))</f>
        <v>28.936201565056958</v>
      </c>
      <c r="CU16" s="17">
        <f>CT16*VLOOKUP('Données projet'!$B$13,Paramètres!$A$1:$I$89,3,0)*VLOOKUP('Données projet'!$B$13,Paramètres!$A$1:$I$89,5,0)</f>
        <v>17.303848535904063</v>
      </c>
      <c r="CV16" s="13">
        <f t="shared" si="41"/>
        <v>5.7223571370017456</v>
      </c>
      <c r="CW16" s="20">
        <f t="shared" si="13"/>
        <v>40.10397488031095</v>
      </c>
      <c r="CX16" s="59">
        <f t="shared" si="14"/>
        <v>239.64497513192975</v>
      </c>
      <c r="CY16" s="59">
        <f ca="1">AVERAGE(OFFSET($CX$3,0,0,'Données projet'!$E$13+1,1))-AVERAGE(OFFSET($H$3,0,0,'Données projet'!$E$13+1,1))</f>
        <v>356.07880667298025</v>
      </c>
      <c r="CZ16" s="59">
        <f t="shared" si="42"/>
        <v>396.05161661639659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7</v>
      </c>
      <c r="DO16" s="12">
        <f>IF('Données projet'!$A$166&gt;35,DO15+DN16-DW15,IF(A16&lt;'Données projet'!$A$166,$DL$205^A16,IF(A16='Données projet'!$A$166,'Données projet'!$B$166,DO15+DN16-DW15)))</f>
        <v>24.830371836403501</v>
      </c>
      <c r="DP16" s="17">
        <f>DO16*VLOOKUP('Données projet'!$B$14,Paramètres!$A$1:$I$89,3,0)*VLOOKUP('Données projet'!$B$14,Paramètres!$A$1:$I$89,5,0)</f>
        <v>11.620614019436839</v>
      </c>
      <c r="DQ16" s="13">
        <f t="shared" si="43"/>
        <v>4.0252093855239011</v>
      </c>
      <c r="DR16" s="20">
        <f t="shared" si="16"/>
        <v>27.249809096973291</v>
      </c>
      <c r="DS16" s="59">
        <f t="shared" si="17"/>
        <v>226.79080934859209</v>
      </c>
      <c r="DT16" s="59">
        <f ca="1">AVERAGE(OFFSET($DS$3,0,0,'Données projet'!$E$14+1,1))-AVERAGE(OFFSET($H$3,0,0,'Données projet'!$E$14+1,1))</f>
        <v>246.11623544660486</v>
      </c>
      <c r="DU16" s="59">
        <f t="shared" si="44"/>
        <v>273.18950868898253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5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67">
        <f t="shared" si="1"/>
        <v>183.33333333333334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3.65</v>
      </c>
      <c r="N17" s="13">
        <f>IF('Données projet'!$A$36&gt;35,N16+M17-V16,IF(A17&lt;'Données projet'!$A$36,$K$205^A17,IF(A17='Données projet'!$A$36,'Données projet'!$B$36,N16+M17-V16)))</f>
        <v>20.152364144963837</v>
      </c>
      <c r="O17" s="13">
        <f>N17*VLOOKUP('Données projet'!$B$9,Paramètres!$A$1:$I$89,3,0)*VLOOKUP('Données projet'!$B$9,Paramètres!$A$1:$I$89,5,0)</f>
        <v>20.434497242993334</v>
      </c>
      <c r="P17" s="13">
        <f t="shared" si="33"/>
        <v>6.6281092368495731</v>
      </c>
      <c r="Q17" s="20">
        <f t="shared" si="2"/>
        <v>47.134039619059727</v>
      </c>
      <c r="R17" s="59">
        <f t="shared" si="0"/>
        <v>249.16390139133293</v>
      </c>
      <c r="S17" s="59">
        <f ca="1">AVERAGE(OFFSET($R$3,0,0,'Données projet'!$E$9+1,1))-AVERAGE(OFFSET($H$3,0,0,'Données projet'!$E$9+1,1))</f>
        <v>538.10210778862256</v>
      </c>
      <c r="T17" s="59">
        <f t="shared" si="34"/>
        <v>399.53300632021399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3.65</v>
      </c>
      <c r="AI17" s="13">
        <f>IF('Données projet'!$A$62&gt;35,AI16+AH17-AQ16,IF(A17&lt;'Données projet'!$A$62,$AF$205^A17,IF(A17='Données projet'!$A$62,'Données projet'!$B$62,AI16+AH17-AQ16)))</f>
        <v>20.152364144963837</v>
      </c>
      <c r="AJ17" s="13">
        <f>AI17*VLOOKUP('Données projet'!$B$10,Paramètres!$A$1:$I$89,3,0)*VLOOKUP('Données projet'!$B$10,Paramètres!$A$1:$I$89,5,0)</f>
        <v>21.063251004316204</v>
      </c>
      <c r="AK17" s="13">
        <f t="shared" si="35"/>
        <v>6.8079931653802301</v>
      </c>
      <c r="AL17" s="20">
        <f t="shared" si="4"/>
        <v>48.542416928887945</v>
      </c>
      <c r="AM17" s="59">
        <f t="shared" si="5"/>
        <v>250.57227870116114</v>
      </c>
      <c r="AN17" s="59">
        <f ca="1">AVERAGE(OFFSET($AM$3,0,0,'Données projet'!$E$10+1,1))-AVERAGE(OFFSET($H$3,0,0,'Données projet'!$E$10+1,1))</f>
        <v>552.26894123675538</v>
      </c>
      <c r="AO17" s="59">
        <f t="shared" si="36"/>
        <v>409.85604950107006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1.2</v>
      </c>
      <c r="BD17" s="12">
        <f>IF('Données projet'!$A$88&gt;35,BD16+BC17-BL16,IF(A17&lt;'Données projet'!$A$88,$BA$205^A17,IF(A17='Données projet'!$A$88,'Données projet'!$B$88,BD16+BC17-BL16)))</f>
        <v>6.7171941741218459</v>
      </c>
      <c r="BE17" s="13">
        <f>BD17*VLOOKUP('Données projet'!$B$11,Paramètres!$A$1:$I$89,3,0)*VLOOKUP('Données projet'!$B$11,Paramètres!$A$1:$I$89,5,0)</f>
        <v>7.2303878090247551</v>
      </c>
      <c r="BF17" s="13">
        <f t="shared" si="37"/>
        <v>2.6467154181950132</v>
      </c>
      <c r="BG17" s="20">
        <f t="shared" si="7"/>
        <v>17.202621454074428</v>
      </c>
      <c r="BH17" s="59">
        <f t="shared" si="8"/>
        <v>219.23248322634763</v>
      </c>
      <c r="BI17" s="59">
        <f ca="1">AVERAGE(OFFSET($BH$3,0,0,'Données projet'!$E$11+1,1))-AVERAGE(OFFSET($H$3,0,0,'Données projet'!$E$11+1,1))</f>
        <v>361.24725625563468</v>
      </c>
      <c r="BJ17" s="59">
        <f t="shared" si="38"/>
        <v>186.0840067781198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2.1</v>
      </c>
      <c r="BY17" s="12">
        <f>IF('Données projet'!$A$114&gt;35,BY16+BX17-CG16,IF(A17&lt;'Données projet'!$A$114,$BV$205^A17,IF(A17='Données projet'!$A$114,'Données projet'!$B$114,BY16+BX17-CG16)))</f>
        <v>13.685935953338433</v>
      </c>
      <c r="BZ17" s="13">
        <f>BY17*VLOOKUP('Données projet'!$B$12,Paramètres!$A$1:$I$89,3,0)*VLOOKUP('Données projet'!$B$12,Paramètres!$A$1:$I$89,5,0)</f>
        <v>9.1805258374994221</v>
      </c>
      <c r="CA17" s="13">
        <f t="shared" si="39"/>
        <v>3.2684499458694205</v>
      </c>
      <c r="CB17" s="20">
        <f t="shared" si="10"/>
        <v>21.681966156034065</v>
      </c>
      <c r="CC17" s="59">
        <f t="shared" si="11"/>
        <v>223.71182792830726</v>
      </c>
      <c r="CD17" s="59">
        <f ca="1">AVERAGE(OFFSET($CC$3,0,0,'Données projet'!$E$12+1,1))-AVERAGE(OFFSET($H$3,0,0,'Données projet'!$E$12+1,1))</f>
        <v>323.91378047319455</v>
      </c>
      <c r="CE17" s="59">
        <f t="shared" si="40"/>
        <v>212.89889176380288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3.2373333333333334</v>
      </c>
      <c r="CT17" s="12">
        <f>IF('Données projet'!$A$140&gt;35,CT16+CS17-DB16,IF(A17&lt;'Données projet'!$A$140,$CQ$205^A17,IF(A17='Données projet'!$A$140,'Données projet'!$B$140,CT16+CS17-DB16)))</f>
        <v>37.485223061883545</v>
      </c>
      <c r="CU17" s="17">
        <f>CT17*VLOOKUP('Données projet'!$B$13,Paramètres!$A$1:$I$89,3,0)*VLOOKUP('Données projet'!$B$13,Paramètres!$A$1:$I$89,5,0)</f>
        <v>22.416163391006364</v>
      </c>
      <c r="CV17" s="13">
        <f t="shared" si="41"/>
        <v>7.1929661245626981</v>
      </c>
      <c r="CW17" s="20">
        <f t="shared" si="13"/>
        <v>51.569233906282783</v>
      </c>
      <c r="CX17" s="59">
        <f t="shared" si="14"/>
        <v>253.59909567855598</v>
      </c>
      <c r="CY17" s="59">
        <f ca="1">AVERAGE(OFFSET($CX$3,0,0,'Données projet'!$E$13+1,1))-AVERAGE(OFFSET($H$3,0,0,'Données projet'!$E$13+1,1))</f>
        <v>356.07880667298025</v>
      </c>
      <c r="CZ17" s="59">
        <f t="shared" si="42"/>
        <v>396.05161661639659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7</v>
      </c>
      <c r="DO17" s="12">
        <f>IF('Données projet'!$A$166&gt;35,DO16+DN17-DW16,IF(A17&lt;'Données projet'!$A$166,$DL$205^A17,IF(A17='Données projet'!$A$166,'Données projet'!$B$166,DO16+DN17-DW16)))</f>
        <v>31.789933905600495</v>
      </c>
      <c r="DP17" s="17">
        <f>DO17*VLOOKUP('Données projet'!$B$14,Paramètres!$A$1:$I$89,3,0)*VLOOKUP('Données projet'!$B$14,Paramètres!$A$1:$I$89,5,0)</f>
        <v>14.877689067821033</v>
      </c>
      <c r="DQ17" s="13">
        <f t="shared" si="43"/>
        <v>5.0073092401102919</v>
      </c>
      <c r="DR17" s="20">
        <f t="shared" si="16"/>
        <v>34.633038719647061</v>
      </c>
      <c r="DS17" s="59">
        <f t="shared" si="17"/>
        <v>236.66290049192025</v>
      </c>
      <c r="DT17" s="59">
        <f ca="1">AVERAGE(OFFSET($DS$3,0,0,'Données projet'!$E$14+1,1))-AVERAGE(OFFSET($H$3,0,0,'Données projet'!$E$14+1,1))</f>
        <v>246.11623544660486</v>
      </c>
      <c r="DU17" s="59">
        <f t="shared" si="44"/>
        <v>273.18950868898253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5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67">
        <f t="shared" si="1"/>
        <v>183.33333333333334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3.65</v>
      </c>
      <c r="N18" s="13">
        <f>IF('Données projet'!$A$36&gt;35,N17+M18-V17,IF(A18&lt;'Données projet'!$A$36,$K$205^A18,IF(A18='Données projet'!$A$36,'Données projet'!$B$36,N17+M18-V17)))</f>
        <v>24.974232188561476</v>
      </c>
      <c r="O18" s="13">
        <f>N18*VLOOKUP('Données projet'!$B$9,Paramètres!$A$1:$I$89,3,0)*VLOOKUP('Données projet'!$B$9,Paramètres!$A$1:$I$89,5,0)</f>
        <v>25.323871439201337</v>
      </c>
      <c r="P18" s="13">
        <f t="shared" si="33"/>
        <v>8.0114524854610902</v>
      </c>
      <c r="Q18" s="20">
        <f t="shared" si="2"/>
        <v>58.059022502120392</v>
      </c>
      <c r="R18" s="59">
        <f t="shared" si="0"/>
        <v>262.55577243500142</v>
      </c>
      <c r="S18" s="59">
        <f ca="1">AVERAGE(OFFSET($R$3,0,0,'Données projet'!$E$9+1,1))-AVERAGE(OFFSET($H$3,0,0,'Données projet'!$E$9+1,1))</f>
        <v>538.10210778862256</v>
      </c>
      <c r="T18" s="59">
        <f t="shared" si="34"/>
        <v>399.53300632021399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3.65</v>
      </c>
      <c r="AI18" s="13">
        <f>IF('Données projet'!$A$62&gt;35,AI17+AH18-AQ17,IF(A18&lt;'Données projet'!$A$62,$AF$205^A18,IF(A18='Données projet'!$A$62,'Données projet'!$B$62,AI17+AH18-AQ17)))</f>
        <v>24.974232188561476</v>
      </c>
      <c r="AJ18" s="13">
        <f>AI18*VLOOKUP('Données projet'!$B$10,Paramètres!$A$1:$I$89,3,0)*VLOOKUP('Données projet'!$B$10,Paramètres!$A$1:$I$89,5,0)</f>
        <v>26.103067483484455</v>
      </c>
      <c r="AK18" s="13">
        <f t="shared" si="35"/>
        <v>8.2288797327836498</v>
      </c>
      <c r="AL18" s="20">
        <f t="shared" si="4"/>
        <v>59.794808068333602</v>
      </c>
      <c r="AM18" s="59">
        <f t="shared" si="5"/>
        <v>264.29155800121464</v>
      </c>
      <c r="AN18" s="59">
        <f ca="1">AVERAGE(OFFSET($AM$3,0,0,'Données projet'!$E$10+1,1))-AVERAGE(OFFSET($H$3,0,0,'Données projet'!$E$10+1,1))</f>
        <v>552.26894123675538</v>
      </c>
      <c r="AO18" s="59">
        <f t="shared" si="36"/>
        <v>409.85604950107006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1.2</v>
      </c>
      <c r="BD18" s="12">
        <f>IF('Données projet'!$A$88&gt;35,BD17+BC18-BL17,IF(A18&lt;'Données projet'!$A$88,$BA$205^A18,IF(A18='Données projet'!$A$88,'Données projet'!$B$88,BD17+BC18-BL17)))</f>
        <v>7.6961363407260848</v>
      </c>
      <c r="BE18" s="13">
        <f>BD18*VLOOKUP('Données projet'!$B$11,Paramètres!$A$1:$I$89,3,0)*VLOOKUP('Données projet'!$B$11,Paramètres!$A$1:$I$89,5,0)</f>
        <v>8.284121157157557</v>
      </c>
      <c r="BF18" s="13">
        <f t="shared" si="37"/>
        <v>2.9847957727109624</v>
      </c>
      <c r="BG18" s="20">
        <f t="shared" si="7"/>
        <v>19.626696986187671</v>
      </c>
      <c r="BH18" s="59">
        <f t="shared" si="8"/>
        <v>224.12344691906873</v>
      </c>
      <c r="BI18" s="59">
        <f ca="1">AVERAGE(OFFSET($BH$3,0,0,'Données projet'!$E$11+1,1))-AVERAGE(OFFSET($H$3,0,0,'Données projet'!$E$11+1,1))</f>
        <v>361.24725625563468</v>
      </c>
      <c r="BJ18" s="59">
        <f t="shared" si="38"/>
        <v>186.0840067781198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2.1</v>
      </c>
      <c r="BY18" s="12">
        <f>IF('Données projet'!$A$114&gt;35,BY17+BX18-CG17,IF(A18&lt;'Données projet'!$A$114,$BV$205^A18,IF(A18='Données projet'!$A$114,'Données projet'!$B$114,BY17+BX18-CG17)))</f>
        <v>16.498215337821566</v>
      </c>
      <c r="BZ18" s="13">
        <f>BY18*VLOOKUP('Données projet'!$B$12,Paramètres!$A$1:$I$89,3,0)*VLOOKUP('Données projet'!$B$12,Paramètres!$A$1:$I$89,5,0)</f>
        <v>11.067002848610706</v>
      </c>
      <c r="CA18" s="13">
        <f t="shared" si="39"/>
        <v>3.8552894696159199</v>
      </c>
      <c r="CB18" s="20">
        <f t="shared" si="10"/>
        <v>25.989659120911373</v>
      </c>
      <c r="CC18" s="59">
        <f t="shared" si="11"/>
        <v>230.48640905379241</v>
      </c>
      <c r="CD18" s="59">
        <f ca="1">AVERAGE(OFFSET($CC$3,0,0,'Données projet'!$E$12+1,1))-AVERAGE(OFFSET($H$3,0,0,'Données projet'!$E$12+1,1))</f>
        <v>323.91378047319455</v>
      </c>
      <c r="CE18" s="59">
        <f t="shared" si="40"/>
        <v>212.89889176380288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>
        <f>VLOOKUP(A18,'Données projet'!$A$139:$I$159,2,0)</f>
        <v>48.56</v>
      </c>
      <c r="CR18" s="12">
        <f>VLOOKUP(A18,'Données projet'!$A$139:$I$159,9,0)</f>
        <v>3.2373333333333334</v>
      </c>
      <c r="CS18" s="12">
        <f t="array" ref="CS18">INDEX(CR:CR,MIN(IF(ISNUMBER(CR18:CR214),ROW(CR18:CR214),"")))</f>
        <v>3.2373333333333334</v>
      </c>
      <c r="CT18" s="12">
        <f>IF('Données projet'!$A$140&gt;35,CT17+CS18-DB17,IF(A18&lt;'Données projet'!$A$140,$CQ$205^A18,IF(A18='Données projet'!$A$140,'Données projet'!$B$140,CT17+CS18-DB17)))</f>
        <v>48.56</v>
      </c>
      <c r="CU18" s="17">
        <f>CT18*VLOOKUP('Données projet'!$B$13,Paramètres!$A$1:$I$89,3,0)*VLOOKUP('Données projet'!$B$13,Paramètres!$A$1:$I$89,5,0)</f>
        <v>29.038880000000002</v>
      </c>
      <c r="CV18" s="13">
        <f t="shared" si="41"/>
        <v>9.0415121654247592</v>
      </c>
      <c r="CW18" s="20">
        <f t="shared" si="13"/>
        <v>66.323349688114789</v>
      </c>
      <c r="CX18" s="59">
        <f t="shared" si="14"/>
        <v>270.82009962099585</v>
      </c>
      <c r="CY18" s="59">
        <f ca="1">AVERAGE(OFFSET($CX$3,0,0,'Données projet'!$E$13+1,1))-AVERAGE(OFFSET($H$3,0,0,'Données projet'!$E$13+1,1))</f>
        <v>356.07880667298025</v>
      </c>
      <c r="CZ18" s="59">
        <f t="shared" si="42"/>
        <v>396.05161661639659</v>
      </c>
      <c r="DA18" s="15">
        <f>IF(ISNA(VLOOKUP(A18,'Données projet'!$A$139:$I$159,3,0)),0,VLOOKUP(A18,'Données projet'!$A$139:$I$159,3,0))</f>
        <v>1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7</v>
      </c>
      <c r="DO18" s="12">
        <f>IF('Données projet'!$A$166&gt;35,DO17+DN18-DW17,IF(A18&lt;'Données projet'!$A$166,$DL$205^A18,IF(A18='Données projet'!$A$166,'Données projet'!$B$166,DO17+DN18-DW17)))</f>
        <v>40.70015158777526</v>
      </c>
      <c r="DP18" s="17">
        <f>DO18*VLOOKUP('Données projet'!$B$14,Paramètres!$A$1:$I$89,3,0)*VLOOKUP('Données projet'!$B$14,Paramètres!$A$1:$I$89,5,0)</f>
        <v>19.04767094307882</v>
      </c>
      <c r="DQ18" s="13">
        <f t="shared" si="43"/>
        <v>6.2290289584104483</v>
      </c>
      <c r="DR18" s="20">
        <f t="shared" si="16"/>
        <v>44.023585661760478</v>
      </c>
      <c r="DS18" s="59">
        <f t="shared" si="17"/>
        <v>248.52033559464152</v>
      </c>
      <c r="DT18" s="59">
        <f ca="1">AVERAGE(OFFSET($DS$3,0,0,'Données projet'!$E$14+1,1))-AVERAGE(OFFSET($H$3,0,0,'Données projet'!$E$14+1,1))</f>
        <v>246.11623544660486</v>
      </c>
      <c r="DU18" s="59">
        <f t="shared" si="44"/>
        <v>273.18950868898253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5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67">
        <f t="shared" si="1"/>
        <v>183.33333333333334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3.65</v>
      </c>
      <c r="N19" s="13">
        <f>IF('Données projet'!$A$36&gt;35,N18+M19-V18,IF(A19&lt;'Données projet'!$A$36,$K$205^A19,IF(A19='Données projet'!$A$36,'Données projet'!$B$36,N18+M19-V18)))</f>
        <v>30.949831440200953</v>
      </c>
      <c r="O19" s="13">
        <f>N19*VLOOKUP('Données projet'!$B$9,Paramètres!$A$1:$I$89,3,0)*VLOOKUP('Données projet'!$B$9,Paramètres!$A$1:$I$89,5,0)</f>
        <v>31.383129080363769</v>
      </c>
      <c r="P19" s="13">
        <f t="shared" si="33"/>
        <v>9.6835113353243223</v>
      </c>
      <c r="Q19" s="20">
        <f t="shared" si="2"/>
        <v>71.524398723990075</v>
      </c>
      <c r="R19" s="59">
        <f t="shared" si="0"/>
        <v>278.46644464610415</v>
      </c>
      <c r="S19" s="59">
        <f ca="1">AVERAGE(OFFSET($R$3,0,0,'Données projet'!$E$9+1,1))-AVERAGE(OFFSET($H$3,0,0,'Données projet'!$E$9+1,1))</f>
        <v>538.10210778862256</v>
      </c>
      <c r="T19" s="59">
        <f t="shared" si="34"/>
        <v>399.53300632021399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3.65</v>
      </c>
      <c r="AI19" s="13">
        <f>IF('Données projet'!$A$62&gt;35,AI18+AH19-AQ18,IF(A19&lt;'Données projet'!$A$62,$AF$205^A19,IF(A19='Données projet'!$A$62,'Données projet'!$B$62,AI18+AH19-AQ18)))</f>
        <v>30.949831440200953</v>
      </c>
      <c r="AJ19" s="13">
        <f>AI19*VLOOKUP('Données projet'!$B$10,Paramètres!$A$1:$I$89,3,0)*VLOOKUP('Données projet'!$B$10,Paramètres!$A$1:$I$89,5,0)</f>
        <v>32.348763821298036</v>
      </c>
      <c r="AK19" s="13">
        <f t="shared" si="35"/>
        <v>9.9463175140886975</v>
      </c>
      <c r="AL19" s="20">
        <f t="shared" si="4"/>
        <v>73.663933325798567</v>
      </c>
      <c r="AM19" s="59">
        <f t="shared" si="5"/>
        <v>280.60597924791261</v>
      </c>
      <c r="AN19" s="59">
        <f ca="1">AVERAGE(OFFSET($AM$3,0,0,'Données projet'!$E$10+1,1))-AVERAGE(OFFSET($H$3,0,0,'Données projet'!$E$10+1,1))</f>
        <v>552.26894123675538</v>
      </c>
      <c r="AO19" s="59">
        <f t="shared" si="36"/>
        <v>409.85604950107006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1.2</v>
      </c>
      <c r="BD19" s="12">
        <f>IF('Données projet'!$A$88&gt;35,BD18+BC19-BL18,IF(A19&lt;'Données projet'!$A$88,$BA$205^A19,IF(A19='Données projet'!$A$88,'Données projet'!$B$88,BD18+BC19-BL18)))</f>
        <v>8.8177463744060987</v>
      </c>
      <c r="BE19" s="13">
        <f>BD19*VLOOKUP('Données projet'!$B$11,Paramètres!$A$1:$I$89,3,0)*VLOOKUP('Données projet'!$B$11,Paramètres!$A$1:$I$89,5,0)</f>
        <v>9.4914221974107242</v>
      </c>
      <c r="BF19" s="13">
        <f t="shared" si="37"/>
        <v>3.3660610972935361</v>
      </c>
      <c r="BG19" s="20">
        <f t="shared" si="7"/>
        <v>22.393450071609919</v>
      </c>
      <c r="BH19" s="59">
        <f t="shared" si="8"/>
        <v>229.33549599372398</v>
      </c>
      <c r="BI19" s="59">
        <f ca="1">AVERAGE(OFFSET($BH$3,0,0,'Données projet'!$E$11+1,1))-AVERAGE(OFFSET($H$3,0,0,'Données projet'!$E$11+1,1))</f>
        <v>361.24725625563468</v>
      </c>
      <c r="BJ19" s="59">
        <f t="shared" si="38"/>
        <v>186.0840067781198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2.1</v>
      </c>
      <c r="BY19" s="12">
        <f>IF('Données projet'!$A$114&gt;35,BY18+BX19-CG18,IF(A19&lt;'Données projet'!$A$114,$BV$205^A19,IF(A19='Données projet'!$A$114,'Données projet'!$B$114,BY18+BX19-CG18)))</f>
        <v>19.888381054913147</v>
      </c>
      <c r="BZ19" s="13">
        <f>BY19*VLOOKUP('Données projet'!$B$12,Paramètres!$A$1:$I$89,3,0)*VLOOKUP('Données projet'!$B$12,Paramètres!$A$1:$I$89,5,0)</f>
        <v>13.34112601163574</v>
      </c>
      <c r="CA19" s="13">
        <f t="shared" si="39"/>
        <v>4.5474941151585293</v>
      </c>
      <c r="CB19" s="20">
        <f t="shared" si="10"/>
        <v>31.156013387500014</v>
      </c>
      <c r="CC19" s="59">
        <f t="shared" si="11"/>
        <v>238.09805930961409</v>
      </c>
      <c r="CD19" s="59">
        <f ca="1">AVERAGE(OFFSET($CC$3,0,0,'Données projet'!$E$12+1,1))-AVERAGE(OFFSET($H$3,0,0,'Données projet'!$E$12+1,1))</f>
        <v>323.91378047319455</v>
      </c>
      <c r="CE19" s="59">
        <f t="shared" si="40"/>
        <v>212.89889176380288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19.814999999999998</v>
      </c>
      <c r="CT19" s="12">
        <f>IF('Données projet'!$A$140&gt;35,CT18+CS19-DB18,IF(A19&lt;'Données projet'!$A$140,$CQ$205^A19,IF(A19='Données projet'!$A$140,'Données projet'!$B$140,CT18+CS19-DB18)))</f>
        <v>68.375</v>
      </c>
      <c r="CU19" s="17">
        <f>CT19*VLOOKUP('Données projet'!$B$13,Paramètres!$A$1:$I$89,3,0)*VLOOKUP('Données projet'!$B$13,Paramètres!$A$1:$I$89,5,0)</f>
        <v>40.888249999999999</v>
      </c>
      <c r="CV19" s="13">
        <f t="shared" si="41"/>
        <v>12.233775880721598</v>
      </c>
      <c r="CW19" s="20">
        <f t="shared" si="13"/>
        <v>92.52086174225677</v>
      </c>
      <c r="CX19" s="59">
        <f t="shared" si="14"/>
        <v>299.46290766437085</v>
      </c>
      <c r="CY19" s="59">
        <f ca="1">AVERAGE(OFFSET($CX$3,0,0,'Données projet'!$E$13+1,1))-AVERAGE(OFFSET($H$3,0,0,'Données projet'!$E$13+1,1))</f>
        <v>356.07880667298025</v>
      </c>
      <c r="CZ19" s="59">
        <f t="shared" si="42"/>
        <v>396.05161661639659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7</v>
      </c>
      <c r="DO19" s="12">
        <f>IF('Données projet'!$A$166&gt;35,DO18+DN19-DW18,IF(A19&lt;'Données projet'!$A$166,$DL$205^A19,IF(A19='Données projet'!$A$166,'Données projet'!$B$166,DO18+DN19-DW18)))</f>
        <v>52.107762922276969</v>
      </c>
      <c r="DP19" s="17">
        <f>DO19*VLOOKUP('Données projet'!$B$14,Paramètres!$A$1:$I$89,3,0)*VLOOKUP('Données projet'!$B$14,Paramètres!$A$1:$I$89,5,0)</f>
        <v>24.386433047625623</v>
      </c>
      <c r="DQ19" s="13">
        <f t="shared" si="43"/>
        <v>7.7488327371331547</v>
      </c>
      <c r="DR19" s="20">
        <f t="shared" si="16"/>
        <v>55.968921241788202</v>
      </c>
      <c r="DS19" s="59">
        <f t="shared" si="17"/>
        <v>262.91096716390228</v>
      </c>
      <c r="DT19" s="59">
        <f ca="1">AVERAGE(OFFSET($DS$3,0,0,'Données projet'!$E$14+1,1))-AVERAGE(OFFSET($H$3,0,0,'Données projet'!$E$14+1,1))</f>
        <v>246.11623544660486</v>
      </c>
      <c r="DU19" s="59">
        <f t="shared" si="44"/>
        <v>273.18950868898253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5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67">
        <f t="shared" si="1"/>
        <v>183.33333333333334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3.65</v>
      </c>
      <c r="N20" s="13">
        <f>IF('Données projet'!$A$36&gt;35,N19+M20-V19,IF(A20&lt;'Données projet'!$A$36,$K$205^A20,IF(A20='Données projet'!$A$36,'Données projet'!$B$36,N19+M20-V19)))</f>
        <v>38.355215845858055</v>
      </c>
      <c r="O20" s="13">
        <f>N20*VLOOKUP('Données projet'!$B$9,Paramètres!$A$1:$I$89,3,0)*VLOOKUP('Données projet'!$B$9,Paramètres!$A$1:$I$89,5,0)</f>
        <v>38.892188867700071</v>
      </c>
      <c r="P20" s="13">
        <f t="shared" si="33"/>
        <v>11.704543208803392</v>
      </c>
      <c r="Q20" s="20">
        <f t="shared" si="2"/>
        <v>88.122641699910204</v>
      </c>
      <c r="R20" s="59">
        <f t="shared" si="0"/>
        <v>297.48876601578291</v>
      </c>
      <c r="S20" s="59">
        <f ca="1">AVERAGE(OFFSET($R$3,0,0,'Données projet'!$E$9+1,1))-AVERAGE(OFFSET($H$3,0,0,'Données projet'!$E$9+1,1))</f>
        <v>538.10210778862256</v>
      </c>
      <c r="T20" s="59">
        <f t="shared" si="34"/>
        <v>399.53300632021399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3.65</v>
      </c>
      <c r="AI20" s="13">
        <f>IF('Données projet'!$A$62&gt;35,AI19+AH20-AQ19,IF(A20&lt;'Données projet'!$A$62,$AF$205^A20,IF(A20='Données projet'!$A$62,'Données projet'!$B$62,AI19+AH20-AQ19)))</f>
        <v>38.355215845858055</v>
      </c>
      <c r="AJ20" s="13">
        <f>AI20*VLOOKUP('Données projet'!$B$10,Paramètres!$A$1:$I$89,3,0)*VLOOKUP('Données projet'!$B$10,Paramètres!$A$1:$I$89,5,0)</f>
        <v>40.08887160209084</v>
      </c>
      <c r="AK20" s="13">
        <f t="shared" si="35"/>
        <v>12.022199291227453</v>
      </c>
      <c r="AL20" s="20">
        <f t="shared" si="4"/>
        <v>90.760115139196031</v>
      </c>
      <c r="AM20" s="59">
        <f t="shared" si="5"/>
        <v>300.12623945506874</v>
      </c>
      <c r="AN20" s="59">
        <f ca="1">AVERAGE(OFFSET($AM$3,0,0,'Données projet'!$E$10+1,1))-AVERAGE(OFFSET($H$3,0,0,'Données projet'!$E$10+1,1))</f>
        <v>552.26894123675538</v>
      </c>
      <c r="AO20" s="59">
        <f t="shared" si="36"/>
        <v>409.85604950107006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1.2</v>
      </c>
      <c r="BD20" s="12">
        <f>IF('Données projet'!$A$88&gt;35,BD19+BC20-BL19,IF(A20&lt;'Données projet'!$A$88,$BA$205^A20,IF(A20='Données projet'!$A$88,'Données projet'!$B$88,BD19+BC20-BL19)))</f>
        <v>10.102816228956828</v>
      </c>
      <c r="BE20" s="13">
        <f>BD20*VLOOKUP('Données projet'!$B$11,Paramètres!$A$1:$I$89,3,0)*VLOOKUP('Données projet'!$B$11,Paramètres!$A$1:$I$89,5,0)</f>
        <v>10.874671388849128</v>
      </c>
      <c r="BF20" s="13">
        <f t="shared" si="37"/>
        <v>3.7960276593470508</v>
      </c>
      <c r="BG20" s="20">
        <f t="shared" si="7"/>
        <v>25.551467508941673</v>
      </c>
      <c r="BH20" s="59">
        <f t="shared" si="8"/>
        <v>234.91759182481439</v>
      </c>
      <c r="BI20" s="59">
        <f ca="1">AVERAGE(OFFSET($BH$3,0,0,'Données projet'!$E$11+1,1))-AVERAGE(OFFSET($H$3,0,0,'Données projet'!$E$11+1,1))</f>
        <v>361.24725625563468</v>
      </c>
      <c r="BJ20" s="59">
        <f t="shared" si="38"/>
        <v>186.0840067781198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2.1</v>
      </c>
      <c r="BY20" s="12">
        <f>IF('Données projet'!$A$114&gt;35,BY19+BX20-CG19,IF(A20&lt;'Données projet'!$A$114,$BV$205^A20,IF(A20='Données projet'!$A$114,'Données projet'!$B$114,BY19+BX20-CG19)))</f>
        <v>23.975181126327602</v>
      </c>
      <c r="BZ20" s="13">
        <f>BY20*VLOOKUP('Données projet'!$B$12,Paramètres!$A$1:$I$89,3,0)*VLOOKUP('Données projet'!$B$12,Paramètres!$A$1:$I$89,5,0)</f>
        <v>16.082551499540557</v>
      </c>
      <c r="CA20" s="13">
        <f t="shared" si="39"/>
        <v>5.363981846338933</v>
      </c>
      <c r="CB20" s="20">
        <f t="shared" si="10"/>
        <v>37.352712244073444</v>
      </c>
      <c r="CC20" s="59">
        <f t="shared" si="11"/>
        <v>246.71883655994617</v>
      </c>
      <c r="CD20" s="59">
        <f ca="1">AVERAGE(OFFSET($CC$3,0,0,'Données projet'!$E$12+1,1))-AVERAGE(OFFSET($H$3,0,0,'Données projet'!$E$12+1,1))</f>
        <v>323.91378047319455</v>
      </c>
      <c r="CE20" s="59">
        <f t="shared" si="40"/>
        <v>212.89889176380288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19.814999999999998</v>
      </c>
      <c r="CT20" s="12">
        <f>IF('Données projet'!$A$140&gt;35,CT19+CS20-DB19,IF(A20&lt;'Données projet'!$A$140,$CQ$205^A20,IF(A20='Données projet'!$A$140,'Données projet'!$B$140,CT19+CS20-DB19)))</f>
        <v>88.19</v>
      </c>
      <c r="CU20" s="17">
        <f>CT20*VLOOKUP('Données projet'!$B$13,Paramètres!$A$1:$I$89,3,0)*VLOOKUP('Données projet'!$B$13,Paramètres!$A$1:$I$89,5,0)</f>
        <v>52.73762</v>
      </c>
      <c r="CV20" s="13">
        <f t="shared" si="41"/>
        <v>15.318553658088213</v>
      </c>
      <c r="CW20" s="20">
        <f t="shared" si="13"/>
        <v>118.53116912117031</v>
      </c>
      <c r="CX20" s="59">
        <f t="shared" si="14"/>
        <v>327.897293437043</v>
      </c>
      <c r="CY20" s="59">
        <f ca="1">AVERAGE(OFFSET($CX$3,0,0,'Données projet'!$E$13+1,1))-AVERAGE(OFFSET($H$3,0,0,'Données projet'!$E$13+1,1))</f>
        <v>356.07880667298025</v>
      </c>
      <c r="CZ20" s="59">
        <f t="shared" si="42"/>
        <v>396.05161661639659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7</v>
      </c>
      <c r="DO20" s="12">
        <f>IF('Données projet'!$A$166&gt;35,DO19+DN20-DW19,IF(A20&lt;'Données projet'!$A$166,$DL$205^A20,IF(A20='Données projet'!$A$166,'Données projet'!$B$166,DO19+DN20-DW19)))</f>
        <v>66.712748008038588</v>
      </c>
      <c r="DP20" s="17">
        <f>DO20*VLOOKUP('Données projet'!$B$14,Paramètres!$A$1:$I$89,3,0)*VLOOKUP('Données projet'!$B$14,Paramètres!$A$1:$I$89,5,0)</f>
        <v>31.221566067762058</v>
      </c>
      <c r="DQ20" s="13">
        <f t="shared" si="43"/>
        <v>9.6394492928138327</v>
      </c>
      <c r="DR20" s="20">
        <f t="shared" si="16"/>
        <v>71.166268419669663</v>
      </c>
      <c r="DS20" s="59">
        <f t="shared" si="17"/>
        <v>280.53239273554237</v>
      </c>
      <c r="DT20" s="59">
        <f ca="1">AVERAGE(OFFSET($DS$3,0,0,'Données projet'!$E$14+1,1))-AVERAGE(OFFSET($H$3,0,0,'Données projet'!$E$14+1,1))</f>
        <v>246.11623544660486</v>
      </c>
      <c r="DU20" s="59">
        <f t="shared" si="44"/>
        <v>273.18950868898253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5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67">
        <f t="shared" si="1"/>
        <v>183.33333333333334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3.65</v>
      </c>
      <c r="N21" s="13">
        <f>IF('Données projet'!$A$36&gt;35,N20+M21-V20,IF(A21&lt;'Données projet'!$A$36,$K$205^A21,IF(A21='Données projet'!$A$36,'Données projet'!$B$36,N20+M21-V20)))</f>
        <v>47.532490941824946</v>
      </c>
      <c r="O21" s="13">
        <f>N21*VLOOKUP('Données projet'!$B$9,Paramètres!$A$1:$I$89,3,0)*VLOOKUP('Données projet'!$B$9,Paramètres!$A$1:$I$89,5,0)</f>
        <v>48.197945815010499</v>
      </c>
      <c r="P21" s="13">
        <f t="shared" si="33"/>
        <v>14.147381769152156</v>
      </c>
      <c r="Q21" s="20">
        <f t="shared" si="2"/>
        <v>108.58477887574996</v>
      </c>
      <c r="R21" s="59">
        <f t="shared" si="0"/>
        <v>320.35413206775308</v>
      </c>
      <c r="S21" s="59">
        <f ca="1">AVERAGE(OFFSET($R$3,0,0,'Données projet'!$E$9+1,1))-AVERAGE(OFFSET($H$3,0,0,'Données projet'!$E$9+1,1))</f>
        <v>538.10210778862256</v>
      </c>
      <c r="T21" s="59">
        <f t="shared" si="34"/>
        <v>399.53300632021399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3.65</v>
      </c>
      <c r="AI21" s="13">
        <f>IF('Données projet'!$A$62&gt;35,AI20+AH21-AQ20,IF(A21&lt;'Données projet'!$A$62,$AF$205^A21,IF(A21='Données projet'!$A$62,'Données projet'!$B$62,AI20+AH21-AQ20)))</f>
        <v>47.532490941824946</v>
      </c>
      <c r="AJ21" s="13">
        <f>AI21*VLOOKUP('Données projet'!$B$10,Paramètres!$A$1:$I$89,3,0)*VLOOKUP('Données projet'!$B$10,Paramètres!$A$1:$I$89,5,0)</f>
        <v>49.680959532395441</v>
      </c>
      <c r="AK21" s="13">
        <f t="shared" si="35"/>
        <v>14.53133540059045</v>
      </c>
      <c r="AL21" s="20">
        <f t="shared" si="4"/>
        <v>111.83641367495041</v>
      </c>
      <c r="AM21" s="59">
        <f t="shared" si="5"/>
        <v>323.6057668669535</v>
      </c>
      <c r="AN21" s="59">
        <f ca="1">AVERAGE(OFFSET($AM$3,0,0,'Données projet'!$E$10+1,1))-AVERAGE(OFFSET($H$3,0,0,'Données projet'!$E$10+1,1))</f>
        <v>552.26894123675538</v>
      </c>
      <c r="AO21" s="59">
        <f t="shared" si="36"/>
        <v>409.85604950107006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1.2</v>
      </c>
      <c r="BD21" s="12">
        <f>IF('Données projet'!$A$88&gt;35,BD20+BC21-BL20,IF(A21&lt;'Données projet'!$A$88,$BA$205^A21,IF(A21='Données projet'!$A$88,'Données projet'!$B$88,BD20+BC21-BL20)))</f>
        <v>11.575168010312384</v>
      </c>
      <c r="BE21" s="13">
        <f>BD21*VLOOKUP('Données projet'!$B$11,Paramètres!$A$1:$I$89,3,0)*VLOOKUP('Données projet'!$B$11,Paramètres!$A$1:$I$89,5,0)</f>
        <v>12.459510846300249</v>
      </c>
      <c r="BF21" s="13">
        <f t="shared" si="37"/>
        <v>4.2809163511957635</v>
      </c>
      <c r="BG21" s="20">
        <f t="shared" si="7"/>
        <v>29.156244035638881</v>
      </c>
      <c r="BH21" s="59">
        <f t="shared" si="8"/>
        <v>240.92559722764199</v>
      </c>
      <c r="BI21" s="59">
        <f ca="1">AVERAGE(OFFSET($BH$3,0,0,'Données projet'!$E$11+1,1))-AVERAGE(OFFSET($H$3,0,0,'Données projet'!$E$11+1,1))</f>
        <v>361.24725625563468</v>
      </c>
      <c r="BJ21" s="59">
        <f t="shared" si="38"/>
        <v>186.0840067781198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2.1</v>
      </c>
      <c r="BY21" s="12">
        <f>IF('Données projet'!$A$114&gt;35,BY20+BX21-CG20,IF(A21&lt;'Données projet'!$A$114,$BV$205^A21,IF(A21='Données projet'!$A$114,'Données projet'!$B$114,BY20+BX21-CG20)))</f>
        <v>28.901764726506816</v>
      </c>
      <c r="BZ21" s="13">
        <f>BY21*VLOOKUP('Données projet'!$B$12,Paramètres!$A$1:$I$89,3,0)*VLOOKUP('Données projet'!$B$12,Paramètres!$A$1:$I$89,5,0)</f>
        <v>19.387303778540772</v>
      </c>
      <c r="CA21" s="13">
        <f t="shared" si="39"/>
        <v>6.32706728568259</v>
      </c>
      <c r="CB21" s="20">
        <f t="shared" si="10"/>
        <v>44.785862936855693</v>
      </c>
      <c r="CC21" s="59">
        <f t="shared" si="11"/>
        <v>256.55521612885877</v>
      </c>
      <c r="CD21" s="59">
        <f ca="1">AVERAGE(OFFSET($CC$3,0,0,'Données projet'!$E$12+1,1))-AVERAGE(OFFSET($H$3,0,0,'Données projet'!$E$12+1,1))</f>
        <v>323.91378047319455</v>
      </c>
      <c r="CE21" s="59">
        <f t="shared" si="40"/>
        <v>212.89889176380288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19.814999999999998</v>
      </c>
      <c r="CT21" s="12">
        <f>IF('Données projet'!$A$140&gt;35,CT20+CS21-DB20,IF(A21&lt;'Données projet'!$A$140,$CQ$205^A21,IF(A21='Données projet'!$A$140,'Données projet'!$B$140,CT20+CS21-DB20)))</f>
        <v>108.005</v>
      </c>
      <c r="CU21" s="17">
        <f>CT21*VLOOKUP('Données projet'!$B$13,Paramètres!$A$1:$I$89,3,0)*VLOOKUP('Données projet'!$B$13,Paramètres!$A$1:$I$89,5,0)</f>
        <v>64.58699</v>
      </c>
      <c r="CV21" s="13">
        <f t="shared" si="41"/>
        <v>18.32298503252624</v>
      </c>
      <c r="CW21" s="20">
        <f t="shared" si="13"/>
        <v>144.4015398483165</v>
      </c>
      <c r="CX21" s="59">
        <f t="shared" si="14"/>
        <v>356.17089304031958</v>
      </c>
      <c r="CY21" s="59">
        <f ca="1">AVERAGE(OFFSET($CX$3,0,0,'Données projet'!$E$13+1,1))-AVERAGE(OFFSET($H$3,0,0,'Données projet'!$E$13+1,1))</f>
        <v>356.07880667298025</v>
      </c>
      <c r="CZ21" s="59">
        <f t="shared" si="42"/>
        <v>396.05161661639659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7</v>
      </c>
      <c r="DO21" s="12">
        <f>IF('Données projet'!$A$166&gt;35,DO20+DN21-DW20,IF(A21&lt;'Données projet'!$A$166,$DL$205^A21,IF(A21='Données projet'!$A$166,'Données projet'!$B$166,DO20+DN21-DW20)))</f>
        <v>85.411280338833194</v>
      </c>
      <c r="DP21" s="17">
        <f>DO21*VLOOKUP('Données projet'!$B$14,Paramètres!$A$1:$I$89,3,0)*VLOOKUP('Données projet'!$B$14,Paramètres!$A$1:$I$89,5,0)</f>
        <v>39.972479198573936</v>
      </c>
      <c r="DQ21" s="13">
        <f t="shared" si="43"/>
        <v>11.991352223084183</v>
      </c>
      <c r="DR21" s="20">
        <f t="shared" si="16"/>
        <v>90.503673059387893</v>
      </c>
      <c r="DS21" s="59">
        <f t="shared" si="17"/>
        <v>302.273026251391</v>
      </c>
      <c r="DT21" s="59">
        <f ca="1">AVERAGE(OFFSET($DS$3,0,0,'Données projet'!$E$14+1,1))-AVERAGE(OFFSET($H$3,0,0,'Données projet'!$E$14+1,1))</f>
        <v>246.11623544660486</v>
      </c>
      <c r="DU21" s="59">
        <f t="shared" si="44"/>
        <v>273.18950868898253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5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67">
        <f t="shared" si="1"/>
        <v>183.33333333333334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3.65</v>
      </c>
      <c r="N22" s="13">
        <f>IF('Données projet'!$A$36&gt;35,N21+M22-V21,IF(A22&lt;'Données projet'!$A$36,$K$205^A22,IF(A22='Données projet'!$A$36,'Données projet'!$B$36,N21+M22-V21)))</f>
        <v>58.90561805764559</v>
      </c>
      <c r="O22" s="13">
        <f>N22*VLOOKUP('Données projet'!$B$9,Paramètres!$A$1:$I$89,3,0)*VLOOKUP('Données projet'!$B$9,Paramètres!$A$1:$I$89,5,0)</f>
        <v>59.730296710452635</v>
      </c>
      <c r="P22" s="13">
        <f t="shared" si="33"/>
        <v>17.100061689857345</v>
      </c>
      <c r="Q22" s="20">
        <f t="shared" si="2"/>
        <v>133.81287421387319</v>
      </c>
      <c r="R22" s="59">
        <f t="shared" si="0"/>
        <v>347.96496845689671</v>
      </c>
      <c r="S22" s="59">
        <f ca="1">AVERAGE(OFFSET($R$3,0,0,'Données projet'!$E$9+1,1))-AVERAGE(OFFSET($H$3,0,0,'Données projet'!$E$9+1,1))</f>
        <v>538.10210778862256</v>
      </c>
      <c r="T22" s="59">
        <f t="shared" si="34"/>
        <v>399.53300632021399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3.65</v>
      </c>
      <c r="AI22" s="13">
        <f>IF('Données projet'!$A$62&gt;35,AI21+AH22-AQ21,IF(A22&lt;'Données projet'!$A$62,$AF$205^A22,IF(A22='Données projet'!$A$62,'Données projet'!$B$62,AI21+AH22-AQ21)))</f>
        <v>58.90561805764559</v>
      </c>
      <c r="AJ22" s="13">
        <f>AI22*VLOOKUP('Données projet'!$B$10,Paramètres!$A$1:$I$89,3,0)*VLOOKUP('Données projet'!$B$10,Paramètres!$A$1:$I$89,5,0)</f>
        <v>61.568151993851174</v>
      </c>
      <c r="AK22" s="13">
        <f t="shared" si="35"/>
        <v>17.564149737439095</v>
      </c>
      <c r="AL22" s="20">
        <f t="shared" si="4"/>
        <v>137.82209218199722</v>
      </c>
      <c r="AM22" s="59">
        <f t="shared" si="5"/>
        <v>351.97418642502078</v>
      </c>
      <c r="AN22" s="59">
        <f ca="1">AVERAGE(OFFSET($AM$3,0,0,'Données projet'!$E$10+1,1))-AVERAGE(OFFSET($H$3,0,0,'Données projet'!$E$10+1,1))</f>
        <v>552.26894123675538</v>
      </c>
      <c r="AO22" s="59">
        <f t="shared" si="36"/>
        <v>409.85604950107006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1.2</v>
      </c>
      <c r="BD22" s="12">
        <f>IF('Données projet'!$A$88&gt;35,BD21+BC22-BL21,IF(A22&lt;'Données projet'!$A$88,$BA$205^A22,IF(A22='Données projet'!$A$88,'Données projet'!$B$88,BD21+BC22-BL21)))</f>
        <v>13.262095581124292</v>
      </c>
      <c r="BE22" s="13">
        <f>BD22*VLOOKUP('Données projet'!$B$11,Paramètres!$A$1:$I$89,3,0)*VLOOKUP('Données projet'!$B$11,Paramètres!$A$1:$I$89,5,0)</f>
        <v>14.275319683522188</v>
      </c>
      <c r="BF22" s="13">
        <f t="shared" si="37"/>
        <v>4.8277426959232219</v>
      </c>
      <c r="BG22" s="20">
        <f t="shared" si="7"/>
        <v>33.271166977534087</v>
      </c>
      <c r="BH22" s="59">
        <f t="shared" si="8"/>
        <v>247.42326122055761</v>
      </c>
      <c r="BI22" s="59">
        <f ca="1">AVERAGE(OFFSET($BH$3,0,0,'Données projet'!$E$11+1,1))-AVERAGE(OFFSET($H$3,0,0,'Données projet'!$E$11+1,1))</f>
        <v>361.24725625563468</v>
      </c>
      <c r="BJ22" s="59">
        <f t="shared" si="38"/>
        <v>186.0840067781198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2.1</v>
      </c>
      <c r="BY22" s="12">
        <f>IF('Données projet'!$A$114&gt;35,BY21+BX22-CG21,IF(A22&lt;'Données projet'!$A$114,$BV$205^A22,IF(A22='Données projet'!$A$114,'Données projet'!$B$114,BY21+BX22-CG21)))</f>
        <v>34.840696297767764</v>
      </c>
      <c r="BZ22" s="13">
        <f>BY22*VLOOKUP('Données projet'!$B$12,Paramètres!$A$1:$I$89,3,0)*VLOOKUP('Données projet'!$B$12,Paramètres!$A$1:$I$89,5,0)</f>
        <v>23.371139076542615</v>
      </c>
      <c r="CA22" s="13">
        <f t="shared" si="39"/>
        <v>7.463071573383055</v>
      </c>
      <c r="CB22" s="20">
        <f t="shared" si="10"/>
        <v>53.702916881953875</v>
      </c>
      <c r="CC22" s="59">
        <f t="shared" si="11"/>
        <v>267.85501112497741</v>
      </c>
      <c r="CD22" s="59">
        <f ca="1">AVERAGE(OFFSET($CC$3,0,0,'Données projet'!$E$12+1,1))-AVERAGE(OFFSET($H$3,0,0,'Données projet'!$E$12+1,1))</f>
        <v>323.91378047319455</v>
      </c>
      <c r="CE22" s="59">
        <f t="shared" si="40"/>
        <v>212.89889176380288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>
        <f>VLOOKUP(A22,'Données projet'!$A$139:$I$159,2,0)</f>
        <v>127.82</v>
      </c>
      <c r="CR22" s="12">
        <f>VLOOKUP(A22,'Données projet'!$A$139:$I$159,9,0)</f>
        <v>19.814999999999998</v>
      </c>
      <c r="CS22" s="12">
        <f t="array" ref="CS22">INDEX(CR:CR,MIN(IF(ISNUMBER(CR22:CR218),ROW(CR22:CR218),"")))</f>
        <v>19.814999999999998</v>
      </c>
      <c r="CT22" s="12">
        <f>IF('Données projet'!$A$140&gt;35,CT21+CS22-DB21,IF(A22&lt;'Données projet'!$A$140,$CQ$205^A22,IF(A22='Données projet'!$A$140,'Données projet'!$B$140,CT21+CS22-DB21)))</f>
        <v>127.82</v>
      </c>
      <c r="CU22" s="17">
        <f>CT22*VLOOKUP('Données projet'!$B$13,Paramètres!$A$1:$I$89,3,0)*VLOOKUP('Données projet'!$B$13,Paramètres!$A$1:$I$89,5,0)</f>
        <v>76.436359999999993</v>
      </c>
      <c r="CV22" s="13">
        <f t="shared" si="41"/>
        <v>21.263558306949722</v>
      </c>
      <c r="CW22" s="20">
        <f t="shared" si="13"/>
        <v>170.16069105127073</v>
      </c>
      <c r="CX22" s="59">
        <f t="shared" si="14"/>
        <v>384.31278529429426</v>
      </c>
      <c r="CY22" s="59">
        <f ca="1">AVERAGE(OFFSET($CX$3,0,0,'Données projet'!$E$13+1,1))-AVERAGE(OFFSET($H$3,0,0,'Données projet'!$E$13+1,1))</f>
        <v>356.07880667298025</v>
      </c>
      <c r="CZ22" s="59">
        <f t="shared" si="42"/>
        <v>396.05161661639659</v>
      </c>
      <c r="DA22" s="15">
        <f>IF(ISNA(VLOOKUP(A22,'Données projet'!$A$139:$I$159,3,0)),0,VLOOKUP(A22,'Données projet'!$A$139:$I$159,3,0))</f>
        <v>2</v>
      </c>
      <c r="DB22" s="15">
        <f>IF(ISNA(VLOOKUP(A22,'Données projet'!$A$139:$I$159,4,0)),0,VLOOKUP(A22,'Données projet'!$A$139:$I$159,4,0))</f>
        <v>46.3</v>
      </c>
      <c r="DC22" s="16">
        <f>IF(ISNA(VLOOKUP(A22,'Données projet'!$A$139:$I$159,5,0)),0%,VLOOKUP(A22,'Données projet'!$A$139:$I$159,5,0)*VLOOKUP('Données projet'!$B$13,Paramètres!$A$1:$I$89,7,0))</f>
        <v>9.0000000000000011E-2</v>
      </c>
      <c r="DD22" s="16">
        <f>IF(ISNA(VLOOKUP(A22,'Données projet'!$A$139:$I$159,6,0)),0%,VLOOKUP(A22,'Données projet'!$A$139:$I$159,6,0)*VLOOKUP('Données projet'!$B$13,Paramètres!$A$1:$I$89,7,0))</f>
        <v>0.20250000000000001</v>
      </c>
      <c r="DE22" s="16">
        <f>IF(ISNA(VLOOKUP(A22,'Données projet'!$A$139:$I$159,7,0)),0%,VLOOKUP(A22,'Données projet'!$A$139:$I$159,7,0))</f>
        <v>0.35</v>
      </c>
      <c r="DF22" s="21">
        <f>EXP(-LN(2)/35)*DF21+(1-EXP(-LN(2)/35))/(LN(2)/35)*DB22*DC22*VLOOKUP('Données projet'!$B$13,Paramètres!$A$1:$I$89,3,0)*0.475*44/12</f>
        <v>3.3056208633183055</v>
      </c>
      <c r="DG22" s="21">
        <f>EXP(-LN(2)/25)*DG21+(1-EXP(-LN(2)/25))/(LN(2)/25)*Calculateur!DB22*Calculateur!DD22*VLOOKUP('Données projet'!$B$13,Paramètres!$A$1:$I$89,3,0)*0.475*44/12</f>
        <v>7.4083620924880345</v>
      </c>
      <c r="DH22" s="21">
        <f>EXP(-LN(2)/2)*DH21+(1-EXP(-LN(2)/2))/(LN(2)/2)*DB22*DE22*VLOOKUP('Données projet'!$B$13,Paramètres!$A$1:$I$89,3,0)*0.475*44/12</f>
        <v>10.971998980086994</v>
      </c>
      <c r="DI22" s="22">
        <f t="shared" si="15"/>
        <v>21.685981935893334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7</v>
      </c>
      <c r="DO22" s="12">
        <f>IF('Données projet'!$A$166&gt;35,DO21+DN22-DW21,IF(A22&lt;'Données projet'!$A$166,$DL$205^A22,IF(A22='Données projet'!$A$166,'Données projet'!$B$166,DO21+DN22-DW21)))</f>
        <v>109.35071672118391</v>
      </c>
      <c r="DP22" s="17">
        <f>DO22*VLOOKUP('Données projet'!$B$14,Paramètres!$A$1:$I$89,3,0)*VLOOKUP('Données projet'!$B$14,Paramètres!$A$1:$I$89,5,0)</f>
        <v>51.176135425514076</v>
      </c>
      <c r="DQ22" s="13">
        <f t="shared" si="43"/>
        <v>14.917089531791261</v>
      </c>
      <c r="DR22" s="20">
        <f t="shared" si="16"/>
        <v>115.11236680064013</v>
      </c>
      <c r="DS22" s="59">
        <f t="shared" si="17"/>
        <v>329.26446104366369</v>
      </c>
      <c r="DT22" s="59">
        <f ca="1">AVERAGE(OFFSET($DS$3,0,0,'Données projet'!$E$14+1,1))-AVERAGE(OFFSET($H$3,0,0,'Données projet'!$E$14+1,1))</f>
        <v>246.11623544660486</v>
      </c>
      <c r="DU22" s="59">
        <f t="shared" si="44"/>
        <v>273.18950868898253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5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67">
        <f t="shared" si="1"/>
        <v>183.33333333333334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73</v>
      </c>
      <c r="L23" s="12">
        <f>VLOOKUP(A23,'Données projet'!$A$35:$I$55,9,0)</f>
        <v>3.65</v>
      </c>
      <c r="M23" s="12">
        <f t="array" ref="M23">INDEX(L:L,MIN(IF(ISNUMBER(L23:L219),ROW(L23:L219),"")))</f>
        <v>3.65</v>
      </c>
      <c r="N23" s="13">
        <f>IF('Données projet'!$A$36&gt;35,N22+M23-V22,IF(A23&lt;'Données projet'!$A$36,$K$205^A23,IF(A23='Données projet'!$A$36,'Données projet'!$B$36,N22+M23-V22)))</f>
        <v>73</v>
      </c>
      <c r="O23" s="13">
        <f>N23*VLOOKUP('Données projet'!$B$9,Paramètres!$A$1:$I$89,3,0)*VLOOKUP('Données projet'!$B$9,Paramètres!$A$1:$I$89,5,0)</f>
        <v>74.022000000000006</v>
      </c>
      <c r="P23" s="13">
        <f t="shared" si="33"/>
        <v>20.668991235856851</v>
      </c>
      <c r="Q23" s="20">
        <f t="shared" si="2"/>
        <v>164.92014306911736</v>
      </c>
      <c r="R23" s="59">
        <f t="shared" si="0"/>
        <v>381.43484595601308</v>
      </c>
      <c r="S23" s="59">
        <f ca="1">AVERAGE(OFFSET($R$3,0,0,'Données projet'!$E$9+1,1))-AVERAGE(OFFSET($H$3,0,0,'Données projet'!$E$9+1,1))</f>
        <v>538.10210778862256</v>
      </c>
      <c r="T23" s="59">
        <f t="shared" si="34"/>
        <v>399.53300632021399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73</v>
      </c>
      <c r="AG23" s="12">
        <f>VLOOKUP(A23,'Données projet'!$A$61:$I$81,9,0)</f>
        <v>3.65</v>
      </c>
      <c r="AH23" s="12">
        <f t="array" ref="AH23">INDEX(AG:AG,MIN(IF(ISNUMBER(AG23:AG219),ROW(AG23:AG219),"")))</f>
        <v>3.65</v>
      </c>
      <c r="AI23" s="13">
        <f>IF('Données projet'!$A$62&gt;35,AI22+AH23-AQ22,IF(A23&lt;'Données projet'!$A$62,$AF$205^A23,IF(A23='Données projet'!$A$62,'Données projet'!$B$62,AI22+AH23-AQ22)))</f>
        <v>73</v>
      </c>
      <c r="AJ23" s="13">
        <f>AI23*VLOOKUP('Données projet'!$B$10,Paramètres!$A$1:$I$89,3,0)*VLOOKUP('Données projet'!$B$10,Paramètres!$A$1:$I$89,5,0)</f>
        <v>76.299600000000012</v>
      </c>
      <c r="AK23" s="13">
        <f t="shared" si="35"/>
        <v>21.229938439563291</v>
      </c>
      <c r="AL23" s="20">
        <f t="shared" si="4"/>
        <v>169.86394611557276</v>
      </c>
      <c r="AM23" s="59">
        <f t="shared" si="5"/>
        <v>386.37864900246848</v>
      </c>
      <c r="AN23" s="59">
        <f ca="1">AVERAGE(OFFSET($AM$3,0,0,'Données projet'!$E$10+1,1))-AVERAGE(OFFSET($H$3,0,0,'Données projet'!$E$10+1,1))</f>
        <v>552.26894123675538</v>
      </c>
      <c r="AO23" s="59">
        <f t="shared" si="36"/>
        <v>409.85604950107006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1.2</v>
      </c>
      <c r="BD23" s="12">
        <f>IF('Données projet'!$A$88&gt;35,BD22+BC23-BL22,IF(A23&lt;'Données projet'!$A$88,$BA$205^A23,IF(A23='Données projet'!$A$88,'Données projet'!$B$88,BD22+BC23-BL22)))</f>
        <v>15.194870523363559</v>
      </c>
      <c r="BE23" s="13">
        <f>BD23*VLOOKUP('Données projet'!$B$11,Paramètres!$A$1:$I$89,3,0)*VLOOKUP('Données projet'!$B$11,Paramètres!$A$1:$I$89,5,0)</f>
        <v>16.355758631348532</v>
      </c>
      <c r="BF23" s="13">
        <f t="shared" si="37"/>
        <v>5.4444183501809773</v>
      </c>
      <c r="BG23" s="20">
        <f t="shared" si="7"/>
        <v>37.968641576163897</v>
      </c>
      <c r="BH23" s="59">
        <f t="shared" si="8"/>
        <v>254.48334446305961</v>
      </c>
      <c r="BI23" s="59">
        <f ca="1">AVERAGE(OFFSET($BH$3,0,0,'Données projet'!$E$11+1,1))-AVERAGE(OFFSET($H$3,0,0,'Données projet'!$E$11+1,1))</f>
        <v>361.24725625563468</v>
      </c>
      <c r="BJ23" s="59">
        <f t="shared" si="38"/>
        <v>186.0840067781198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>
        <f>VLOOKUP(A23,'Données projet'!$A$113:$I$133,2,0)</f>
        <v>42</v>
      </c>
      <c r="BW23" s="12">
        <f>VLOOKUP(A23,'Données projet'!$A$113:$I$133,9,0)</f>
        <v>2.1</v>
      </c>
      <c r="BX23" s="12">
        <f t="array" ref="BX23">INDEX(BW:BW,MIN(IF(ISNUMBER(BW23:BW219),ROW(BW23:BW219),"")))</f>
        <v>2.1</v>
      </c>
      <c r="BY23" s="12">
        <f>IF('Données projet'!$A$114&gt;35,BY22+BX23-CG22,IF(A23&lt;'Données projet'!$A$114,$BV$205^A23,IF(A23='Données projet'!$A$114,'Données projet'!$B$114,BY22+BX23-CG22)))</f>
        <v>42</v>
      </c>
      <c r="BZ23" s="13">
        <f>BY23*VLOOKUP('Données projet'!$B$12,Paramètres!$A$1:$I$89,3,0)*VLOOKUP('Données projet'!$B$12,Paramètres!$A$1:$I$89,5,0)</f>
        <v>28.1736</v>
      </c>
      <c r="CA23" s="13">
        <f t="shared" si="39"/>
        <v>8.8030417244771453</v>
      </c>
      <c r="CB23" s="20">
        <f t="shared" si="10"/>
        <v>64.400984336797691</v>
      </c>
      <c r="CC23" s="59">
        <f t="shared" si="11"/>
        <v>280.9156872236934</v>
      </c>
      <c r="CD23" s="59">
        <f ca="1">AVERAGE(OFFSET($CC$3,0,0,'Données projet'!$E$12+1,1))-AVERAGE(OFFSET($H$3,0,0,'Données projet'!$E$12+1,1))</f>
        <v>323.91378047319455</v>
      </c>
      <c r="CE23" s="59">
        <f t="shared" si="40"/>
        <v>212.89889176380288</v>
      </c>
      <c r="CF23" s="15">
        <f>IF(ISNA(VLOOKUP(A23,'Données projet'!$A$113:$I$133,3,0)),0,VLOOKUP(A23,'Données projet'!$A$113:$I$133,3,0))</f>
        <v>1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19.68</v>
      </c>
      <c r="CT23" s="12">
        <f>IF('Données projet'!$A$140&gt;35,CT22+CS23-DB22,IF(A23&lt;'Données projet'!$A$140,$CQ$205^A23,IF(A23='Données projet'!$A$140,'Données projet'!$B$140,CT22+CS23-DB22)))</f>
        <v>101.2</v>
      </c>
      <c r="CU23" s="17">
        <f>CT23*VLOOKUP('Données projet'!$B$13,Paramètres!$A$1:$I$89,3,0)*VLOOKUP('Données projet'!$B$13,Paramètres!$A$1:$I$89,5,0)</f>
        <v>60.517600000000009</v>
      </c>
      <c r="CV23" s="13">
        <f t="shared" si="41"/>
        <v>17.299069038249009</v>
      </c>
      <c r="CW23" s="20">
        <f t="shared" si="13"/>
        <v>135.53069857495038</v>
      </c>
      <c r="CX23" s="59">
        <f t="shared" si="14"/>
        <v>352.0454014618461</v>
      </c>
      <c r="CY23" s="59">
        <f ca="1">AVERAGE(OFFSET($CX$3,0,0,'Données projet'!$E$13+1,1))-AVERAGE(OFFSET($H$3,0,0,'Données projet'!$E$13+1,1))</f>
        <v>356.07880667298025</v>
      </c>
      <c r="CZ23" s="59">
        <f t="shared" si="42"/>
        <v>396.05161661639659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3.2407996544182742</v>
      </c>
      <c r="DG23" s="21">
        <f>EXP(-LN(2)/25)*DG22+(1-EXP(-LN(2)/25))/(LN(2)/25)*Calculateur!DB23*Calculateur!DD23*VLOOKUP('Données projet'!$B$13,Paramètres!$A$1:$I$89,3,0)*0.475*44/12</f>
        <v>7.2057800414801187</v>
      </c>
      <c r="DH23" s="21">
        <f>EXP(-LN(2)/2)*DH22+(1-EXP(-LN(2)/2))/(LN(2)/2)*DB23*DE23*VLOOKUP('Données projet'!$B$13,Paramètres!$A$1:$I$89,3,0)*0.475*44/12</f>
        <v>7.7583748819913971</v>
      </c>
      <c r="DI23" s="22">
        <f t="shared" si="15"/>
        <v>18.20495457788979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>
        <f>VLOOKUP(A23,'Données projet'!$A$165:$I$185,2,0)</f>
        <v>140</v>
      </c>
      <c r="DM23" s="12">
        <f>VLOOKUP(A23,'Données projet'!$A$165:$I$185,9,0)</f>
        <v>7</v>
      </c>
      <c r="DN23" s="12">
        <f t="array" ref="DN23">INDEX(DM:DM,MIN(IF(ISNUMBER(DM23:DM219),ROW(DM23:DM219),"")))</f>
        <v>7</v>
      </c>
      <c r="DO23" s="12">
        <f>IF('Données projet'!$A$166&gt;35,DO22+DN23-DW22,IF(A23&lt;'Données projet'!$A$166,$DL$205^A23,IF(A23='Données projet'!$A$166,'Données projet'!$B$166,DO22+DN23-DW22)))</f>
        <v>140</v>
      </c>
      <c r="DP23" s="17">
        <f>DO23*VLOOKUP('Données projet'!$B$14,Paramètres!$A$1:$I$89,3,0)*VLOOKUP('Données projet'!$B$14,Paramètres!$A$1:$I$89,5,0)</f>
        <v>65.52</v>
      </c>
      <c r="DQ23" s="13">
        <f t="shared" si="43"/>
        <v>18.556669503136725</v>
      </c>
      <c r="DR23" s="20">
        <f t="shared" si="16"/>
        <v>146.43353271796309</v>
      </c>
      <c r="DS23" s="59">
        <f t="shared" si="17"/>
        <v>362.94823560485884</v>
      </c>
      <c r="DT23" s="59">
        <f ca="1">AVERAGE(OFFSET($DS$3,0,0,'Données projet'!$E$14+1,1))-AVERAGE(OFFSET($H$3,0,0,'Données projet'!$E$14+1,1))</f>
        <v>246.11623544660486</v>
      </c>
      <c r="DU23" s="59">
        <f t="shared" si="44"/>
        <v>273.18950868898253</v>
      </c>
      <c r="DV23" s="15">
        <f>IF(ISNA(VLOOKUP(A23,'Données projet'!$A$165:$I$185,3,0)),0,VLOOKUP(A23,'Données projet'!$A$165:$I$185,3,0))</f>
        <v>1</v>
      </c>
      <c r="DW23" s="15">
        <f>IF(ISNA(VLOOKUP(A23,'Données projet'!$A$165:$I$185,4,0)),0,VLOOKUP(A23,'Données projet'!$A$165:$I$185,4,0))</f>
        <v>40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0.30800000000000005</v>
      </c>
      <c r="DZ23" s="16">
        <f>IF(ISNA(VLOOKUP(A23,'Données projet'!$A$165:$I$185,7,0)),0%,VLOOKUP(A23,'Données projet'!$A$165:$I$185,7,0))</f>
        <v>0.44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7.6185366162250032</v>
      </c>
      <c r="EC23" s="21">
        <f>EXP(-LN(2)/2)*EC22+(1-EXP(-LN(2)/2))/(LN(2)/2)*DW23*DZ23*VLOOKUP('Données projet'!$B$14,Paramètres!$A$1:$I$89,3,0)*0.475*44/12</f>
        <v>9.3259709882659934</v>
      </c>
      <c r="ED23" s="22">
        <f t="shared" si="18"/>
        <v>16.944507604490997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5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67">
        <f t="shared" si="1"/>
        <v>183.33333333333334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7.2</v>
      </c>
      <c r="N24" s="13">
        <f>IF('Données projet'!$A$36&gt;35,N23+M24-V23,IF(A24&lt;'Données projet'!$A$36,$K$205^A24,IF(A24='Données projet'!$A$36,'Données projet'!$B$36,N23+M24-V23)))</f>
        <v>80.2</v>
      </c>
      <c r="O24" s="13">
        <f>N24*VLOOKUP('Données projet'!$B$9,Paramètres!$A$1:$I$89,3,0)*VLOOKUP('Données projet'!$B$9,Paramètres!$A$1:$I$89,5,0)</f>
        <v>81.322800000000001</v>
      </c>
      <c r="P24" s="13">
        <f t="shared" si="33"/>
        <v>22.460306254032997</v>
      </c>
      <c r="Q24" s="20">
        <f t="shared" si="2"/>
        <v>180.75557672577415</v>
      </c>
      <c r="R24" s="59">
        <f t="shared" si="0"/>
        <v>399.61310510164856</v>
      </c>
      <c r="S24" s="59">
        <f ca="1">AVERAGE(OFFSET($R$3,0,0,'Données projet'!$E$9+1,1))-AVERAGE(OFFSET($H$3,0,0,'Données projet'!$E$9+1,1))</f>
        <v>538.10210778862256</v>
      </c>
      <c r="T24" s="59">
        <f t="shared" si="34"/>
        <v>399.53300632021399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7.2</v>
      </c>
      <c r="AI24" s="13">
        <f>IF('Données projet'!$A$62&gt;35,AI23+AH24-AQ23,IF(A24&lt;'Données projet'!$A$62,$AF$205^A24,IF(A24='Données projet'!$A$62,'Données projet'!$B$62,AI23+AH24-AQ23)))</f>
        <v>80.2</v>
      </c>
      <c r="AJ24" s="13">
        <f>AI24*VLOOKUP('Données projet'!$B$10,Paramètres!$A$1:$I$89,3,0)*VLOOKUP('Données projet'!$B$10,Paramètres!$A$1:$I$89,5,0)</f>
        <v>83.825040000000001</v>
      </c>
      <c r="AK24" s="13">
        <f t="shared" si="35"/>
        <v>23.069868948400639</v>
      </c>
      <c r="AL24" s="20">
        <f t="shared" si="4"/>
        <v>186.17529975179778</v>
      </c>
      <c r="AM24" s="59">
        <f t="shared" si="5"/>
        <v>405.03282812767213</v>
      </c>
      <c r="AN24" s="59">
        <f ca="1">AVERAGE(OFFSET($AM$3,0,0,'Données projet'!$E$10+1,1))-AVERAGE(OFFSET($H$3,0,0,'Données projet'!$E$10+1,1))</f>
        <v>552.26894123675538</v>
      </c>
      <c r="AO24" s="59">
        <f t="shared" si="36"/>
        <v>409.85604950107006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1.2</v>
      </c>
      <c r="BD24" s="12">
        <f>IF('Données projet'!$A$88&gt;35,BD23+BC24-BL23,IF(A24&lt;'Données projet'!$A$88,$BA$205^A24,IF(A24='Données projet'!$A$88,'Données projet'!$B$88,BD23+BC24-BL23)))</f>
        <v>17.409321838276906</v>
      </c>
      <c r="BE24" s="13">
        <f>BD24*VLOOKUP('Données projet'!$B$11,Paramètres!$A$1:$I$89,3,0)*VLOOKUP('Données projet'!$B$11,Paramètres!$A$1:$I$89,5,0)</f>
        <v>18.739394026721261</v>
      </c>
      <c r="BF24" s="13">
        <f t="shared" si="37"/>
        <v>6.1398655725414359</v>
      </c>
      <c r="BG24" s="20">
        <f t="shared" si="7"/>
        <v>43.331377135382525</v>
      </c>
      <c r="BH24" s="59">
        <f t="shared" si="8"/>
        <v>262.18890551125691</v>
      </c>
      <c r="BI24" s="59">
        <f ca="1">AVERAGE(OFFSET($BH$3,0,0,'Données projet'!$E$11+1,1))-AVERAGE(OFFSET($H$3,0,0,'Données projet'!$E$11+1,1))</f>
        <v>361.24725625563468</v>
      </c>
      <c r="BJ24" s="59">
        <f t="shared" si="38"/>
        <v>186.0840067781198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5.6</v>
      </c>
      <c r="BY24" s="12">
        <f>IF('Données projet'!$A$114&gt;35,BY23+BX24-CG23,IF(A24&lt;'Données projet'!$A$114,$BV$205^A24,IF(A24='Données projet'!$A$114,'Données projet'!$B$114,BY23+BX24-CG23)))</f>
        <v>47.6</v>
      </c>
      <c r="BZ24" s="13">
        <f>BY24*VLOOKUP('Données projet'!$B$12,Paramètres!$A$1:$I$89,3,0)*VLOOKUP('Données projet'!$B$12,Paramètres!$A$1:$I$89,5,0)</f>
        <v>31.93008</v>
      </c>
      <c r="CA24" s="13">
        <f t="shared" si="39"/>
        <v>9.8324826954040407</v>
      </c>
      <c r="CB24" s="20">
        <f t="shared" si="10"/>
        <v>72.736463361162052</v>
      </c>
      <c r="CC24" s="59">
        <f t="shared" si="11"/>
        <v>291.59399173703645</v>
      </c>
      <c r="CD24" s="59">
        <f ca="1">AVERAGE(OFFSET($CC$3,0,0,'Données projet'!$E$12+1,1))-AVERAGE(OFFSET($H$3,0,0,'Données projet'!$E$12+1,1))</f>
        <v>323.91378047319455</v>
      </c>
      <c r="CE24" s="59">
        <f t="shared" si="40"/>
        <v>212.89889176380288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19.68</v>
      </c>
      <c r="CT24" s="12">
        <f>IF('Données projet'!$A$140&gt;35,CT23+CS24-DB23,IF(A24&lt;'Données projet'!$A$140,$CQ$205^A24,IF(A24='Données projet'!$A$140,'Données projet'!$B$140,CT23+CS24-DB23)))</f>
        <v>120.88</v>
      </c>
      <c r="CU24" s="17">
        <f>CT24*VLOOKUP('Données projet'!$B$13,Paramètres!$A$1:$I$89,3,0)*VLOOKUP('Données projet'!$B$13,Paramètres!$A$1:$I$89,5,0)</f>
        <v>72.286239999999992</v>
      </c>
      <c r="CV24" s="13">
        <f t="shared" si="41"/>
        <v>20.240145222851208</v>
      </c>
      <c r="CW24" s="20">
        <f t="shared" si="13"/>
        <v>161.15012092979916</v>
      </c>
      <c r="CX24" s="59">
        <f t="shared" si="14"/>
        <v>380.00764930567357</v>
      </c>
      <c r="CY24" s="59">
        <f ca="1">AVERAGE(OFFSET($CX$3,0,0,'Données projet'!$E$13+1,1))-AVERAGE(OFFSET($H$3,0,0,'Données projet'!$E$13+1,1))</f>
        <v>356.07880667298025</v>
      </c>
      <c r="CZ24" s="59">
        <f t="shared" si="42"/>
        <v>396.05161661639659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3.1772495498877387</v>
      </c>
      <c r="DG24" s="21">
        <f>EXP(-LN(2)/25)*DG23+(1-EXP(-LN(2)/25))/(LN(2)/25)*Calculateur!DB24*Calculateur!DD24*VLOOKUP('Données projet'!$B$13,Paramètres!$A$1:$I$89,3,0)*0.475*44/12</f>
        <v>7.0087376073103416</v>
      </c>
      <c r="DH24" s="21">
        <f>EXP(-LN(2)/2)*DH23+(1-EXP(-LN(2)/2))/(LN(2)/2)*DB24*DE24*VLOOKUP('Données projet'!$B$13,Paramètres!$A$1:$I$89,3,0)*0.475*44/12</f>
        <v>5.4859994900434979</v>
      </c>
      <c r="DI24" s="22">
        <f t="shared" si="15"/>
        <v>15.671986647241578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11</v>
      </c>
      <c r="DO24" s="12">
        <f>IF('Données projet'!$A$166&gt;35,DO23+DN24-DW23,IF(A24&lt;'Données projet'!$A$166,$DL$205^A24,IF(A24='Données projet'!$A$166,'Données projet'!$B$166,DO23+DN24-DW23)))</f>
        <v>111</v>
      </c>
      <c r="DP24" s="17">
        <f>DO24*VLOOKUP('Données projet'!$B$14,Paramètres!$A$1:$I$89,3,0)*VLOOKUP('Données projet'!$B$14,Paramètres!$A$1:$I$89,5,0)</f>
        <v>51.948</v>
      </c>
      <c r="DQ24" s="13">
        <f t="shared" si="43"/>
        <v>15.115714645211892</v>
      </c>
      <c r="DR24" s="20">
        <f t="shared" si="16"/>
        <v>116.8026363404107</v>
      </c>
      <c r="DS24" s="59">
        <f t="shared" si="17"/>
        <v>335.66016471628507</v>
      </c>
      <c r="DT24" s="59">
        <f ca="1">AVERAGE(OFFSET($DS$3,0,0,'Données projet'!$E$14+1,1))-AVERAGE(OFFSET($H$3,0,0,'Données projet'!$E$14+1,1))</f>
        <v>246.11623544660486</v>
      </c>
      <c r="DU24" s="59">
        <f t="shared" si="44"/>
        <v>273.18950868898253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7.4102073318129023</v>
      </c>
      <c r="EC24" s="21">
        <f>EXP(-LN(2)/2)*EC23+(1-EXP(-LN(2)/2))/(LN(2)/2)*DW24*DZ24*VLOOKUP('Données projet'!$B$14,Paramètres!$A$1:$I$89,3,0)*0.475*44/12</f>
        <v>6.5944573269518925</v>
      </c>
      <c r="ED24" s="22">
        <f t="shared" si="18"/>
        <v>14.004664658764796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5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67">
        <f t="shared" si="1"/>
        <v>183.33333333333334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7.2</v>
      </c>
      <c r="N25" s="13">
        <f>IF('Données projet'!$A$36&gt;35,N24+M25-V24,IF(A25&lt;'Données projet'!$A$36,$K$205^A25,IF(A25='Données projet'!$A$36,'Données projet'!$B$36,N24+M25-V24)))</f>
        <v>87.4</v>
      </c>
      <c r="O25" s="13">
        <f>N25*VLOOKUP('Données projet'!$B$9,Paramètres!$A$1:$I$89,3,0)*VLOOKUP('Données projet'!$B$9,Paramètres!$A$1:$I$89,5,0)</f>
        <v>88.62360000000001</v>
      </c>
      <c r="P25" s="13">
        <f t="shared" si="33"/>
        <v>24.232973298845781</v>
      </c>
      <c r="Q25" s="20">
        <f t="shared" si="2"/>
        <v>196.55853182882308</v>
      </c>
      <c r="R25" s="59">
        <f t="shared" si="0"/>
        <v>417.73944573229147</v>
      </c>
      <c r="S25" s="59">
        <f ca="1">AVERAGE(OFFSET($R$3,0,0,'Données projet'!$E$9+1,1))-AVERAGE(OFFSET($H$3,0,0,'Données projet'!$E$9+1,1))</f>
        <v>538.10210778862256</v>
      </c>
      <c r="T25" s="59">
        <f t="shared" si="34"/>
        <v>399.53300632021399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7.2</v>
      </c>
      <c r="AI25" s="13">
        <f>IF('Données projet'!$A$62&gt;35,AI24+AH25-AQ24,IF(A25&lt;'Données projet'!$A$62,$AF$205^A25,IF(A25='Données projet'!$A$62,'Données projet'!$B$62,AI24+AH25-AQ24)))</f>
        <v>87.4</v>
      </c>
      <c r="AJ25" s="13">
        <f>AI25*VLOOKUP('Données projet'!$B$10,Paramètres!$A$1:$I$89,3,0)*VLOOKUP('Données projet'!$B$10,Paramètres!$A$1:$I$89,5,0)</f>
        <v>91.350480000000019</v>
      </c>
      <c r="AK25" s="13">
        <f t="shared" si="35"/>
        <v>24.890645386194606</v>
      </c>
      <c r="AL25" s="20">
        <f t="shared" si="4"/>
        <v>202.45329338095564</v>
      </c>
      <c r="AM25" s="59">
        <f t="shared" si="5"/>
        <v>423.63420728442406</v>
      </c>
      <c r="AN25" s="59">
        <f ca="1">AVERAGE(OFFSET($AM$3,0,0,'Données projet'!$E$10+1,1))-AVERAGE(OFFSET($H$3,0,0,'Données projet'!$E$10+1,1))</f>
        <v>552.26894123675538</v>
      </c>
      <c r="AO25" s="59">
        <f t="shared" si="36"/>
        <v>409.85604950107006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1.2</v>
      </c>
      <c r="BD25" s="12">
        <f>IF('Données projet'!$A$88&gt;35,BD24+BC25-BL24,IF(A25&lt;'Données projet'!$A$88,$BA$205^A25,IF(A25='Données projet'!$A$88,'Données projet'!$B$88,BD24+BC25-BL24)))</f>
        <v>19.946500129940819</v>
      </c>
      <c r="BE25" s="13">
        <f>BD25*VLOOKUP('Données projet'!$B$11,Paramètres!$A$1:$I$89,3,0)*VLOOKUP('Données projet'!$B$11,Paramètres!$A$1:$I$89,5,0)</f>
        <v>21.470412739868298</v>
      </c>
      <c r="BF25" s="13">
        <f t="shared" si="37"/>
        <v>6.9241463135591816</v>
      </c>
      <c r="BG25" s="20">
        <f t="shared" si="7"/>
        <v>49.453857018052851</v>
      </c>
      <c r="BH25" s="59">
        <f t="shared" si="8"/>
        <v>270.63477092152124</v>
      </c>
      <c r="BI25" s="59">
        <f ca="1">AVERAGE(OFFSET($BH$3,0,0,'Données projet'!$E$11+1,1))-AVERAGE(OFFSET($H$3,0,0,'Données projet'!$E$11+1,1))</f>
        <v>361.24725625563468</v>
      </c>
      <c r="BJ25" s="59">
        <f t="shared" si="38"/>
        <v>186.0840067781198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5.6</v>
      </c>
      <c r="BY25" s="12">
        <f>IF('Données projet'!$A$114&gt;35,BY24+BX25-CG24,IF(A25&lt;'Données projet'!$A$114,$BV$205^A25,IF(A25='Données projet'!$A$114,'Données projet'!$B$114,BY24+BX25-CG24)))</f>
        <v>53.2</v>
      </c>
      <c r="BZ25" s="13">
        <f>BY25*VLOOKUP('Données projet'!$B$12,Paramètres!$A$1:$I$89,3,0)*VLOOKUP('Données projet'!$B$12,Paramètres!$A$1:$I$89,5,0)</f>
        <v>35.68656</v>
      </c>
      <c r="CA25" s="13">
        <f t="shared" si="39"/>
        <v>10.847888324418458</v>
      </c>
      <c r="CB25" s="20">
        <f t="shared" si="10"/>
        <v>81.047497498362148</v>
      </c>
      <c r="CC25" s="59">
        <f t="shared" si="11"/>
        <v>302.22841140183056</v>
      </c>
      <c r="CD25" s="59">
        <f ca="1">AVERAGE(OFFSET($CC$3,0,0,'Données projet'!$E$12+1,1))-AVERAGE(OFFSET($H$3,0,0,'Données projet'!$E$12+1,1))</f>
        <v>323.91378047319455</v>
      </c>
      <c r="CE25" s="59">
        <f t="shared" si="40"/>
        <v>212.89889176380288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19.68</v>
      </c>
      <c r="CT25" s="12">
        <f>IF('Données projet'!$A$140&gt;35,CT24+CS25-DB24,IF(A25&lt;'Données projet'!$A$140,$CQ$205^A25,IF(A25='Données projet'!$A$140,'Données projet'!$B$140,CT24+CS25-DB24)))</f>
        <v>140.56</v>
      </c>
      <c r="CU25" s="17">
        <f>CT25*VLOOKUP('Données projet'!$B$13,Paramètres!$A$1:$I$89,3,0)*VLOOKUP('Données projet'!$B$13,Paramètres!$A$1:$I$89,5,0)</f>
        <v>84.054880000000011</v>
      </c>
      <c r="CV25" s="13">
        <f t="shared" si="41"/>
        <v>23.12575242793806</v>
      </c>
      <c r="CW25" s="20">
        <f t="shared" si="13"/>
        <v>186.67293481199212</v>
      </c>
      <c r="CX25" s="59">
        <f t="shared" si="14"/>
        <v>407.85384871546051</v>
      </c>
      <c r="CY25" s="59">
        <f ca="1">AVERAGE(OFFSET($CX$3,0,0,'Données projet'!$E$13+1,1))-AVERAGE(OFFSET($H$3,0,0,'Données projet'!$E$13+1,1))</f>
        <v>356.07880667298025</v>
      </c>
      <c r="CZ25" s="59">
        <f t="shared" si="42"/>
        <v>396.05161661639659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3.1149456241453106</v>
      </c>
      <c r="DG25" s="21">
        <f>EXP(-LN(2)/25)*DG24+(1-EXP(-LN(2)/25))/(LN(2)/25)*Calculateur!DB25*Calculateur!DD25*VLOOKUP('Données projet'!$B$13,Paramètres!$A$1:$I$89,3,0)*0.475*44/12</f>
        <v>6.8170833088649481</v>
      </c>
      <c r="DH25" s="21">
        <f>EXP(-LN(2)/2)*DH24+(1-EXP(-LN(2)/2))/(LN(2)/2)*DB25*DE25*VLOOKUP('Données projet'!$B$13,Paramètres!$A$1:$I$89,3,0)*0.475*44/12</f>
        <v>3.879187440995699</v>
      </c>
      <c r="DI25" s="22">
        <f t="shared" si="15"/>
        <v>13.811216374005957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11</v>
      </c>
      <c r="DO25" s="12">
        <f>IF('Données projet'!$A$166&gt;35,DO24+DN25-DW24,IF(A25&lt;'Données projet'!$A$166,$DL$205^A25,IF(A25='Données projet'!$A$166,'Données projet'!$B$166,DO24+DN25-DW24)))</f>
        <v>122</v>
      </c>
      <c r="DP25" s="17">
        <f>DO25*VLOOKUP('Données projet'!$B$14,Paramètres!$A$1:$I$89,3,0)*VLOOKUP('Données projet'!$B$14,Paramètres!$A$1:$I$89,5,0)</f>
        <v>57.096000000000004</v>
      </c>
      <c r="DQ25" s="13">
        <f t="shared" si="43"/>
        <v>16.431940248498016</v>
      </c>
      <c r="DR25" s="20">
        <f t="shared" si="16"/>
        <v>128.06116259946739</v>
      </c>
      <c r="DS25" s="59">
        <f t="shared" si="17"/>
        <v>349.24207650293579</v>
      </c>
      <c r="DT25" s="59">
        <f ca="1">AVERAGE(OFFSET($DS$3,0,0,'Données projet'!$E$14+1,1))-AVERAGE(OFFSET($H$3,0,0,'Données projet'!$E$14+1,1))</f>
        <v>246.11623544660486</v>
      </c>
      <c r="DU25" s="59">
        <f t="shared" si="44"/>
        <v>273.18950868898253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7.2075748226386107</v>
      </c>
      <c r="EC25" s="21">
        <f>EXP(-LN(2)/2)*EC24+(1-EXP(-LN(2)/2))/(LN(2)/2)*DW25*DZ25*VLOOKUP('Données projet'!$B$14,Paramètres!$A$1:$I$89,3,0)*0.475*44/12</f>
        <v>4.6629854941329976</v>
      </c>
      <c r="ED25" s="22">
        <f t="shared" si="18"/>
        <v>11.870560316771609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5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67">
        <f t="shared" si="1"/>
        <v>183.33333333333334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7.2</v>
      </c>
      <c r="N26" s="13">
        <f>IF('Données projet'!$A$36&gt;35,N25+M26-V25,IF(A26&lt;'Données projet'!$A$36,$K$205^A26,IF(A26='Données projet'!$A$36,'Données projet'!$B$36,N25+M26-V25)))</f>
        <v>94.600000000000009</v>
      </c>
      <c r="O26" s="13">
        <f>N26*VLOOKUP('Données projet'!$B$9,Paramètres!$A$1:$I$89,3,0)*VLOOKUP('Données projet'!$B$9,Paramètres!$A$1:$I$89,5,0)</f>
        <v>95.92440000000002</v>
      </c>
      <c r="P26" s="13">
        <f t="shared" si="33"/>
        <v>25.988703240473907</v>
      </c>
      <c r="Q26" s="20">
        <f t="shared" si="2"/>
        <v>212.33198814382544</v>
      </c>
      <c r="R26" s="59">
        <f t="shared" si="0"/>
        <v>435.81718485337194</v>
      </c>
      <c r="S26" s="59">
        <f ca="1">AVERAGE(OFFSET($R$3,0,0,'Données projet'!$E$9+1,1))-AVERAGE(OFFSET($H$3,0,0,'Données projet'!$E$9+1,1))</f>
        <v>538.10210778862256</v>
      </c>
      <c r="T26" s="59">
        <f t="shared" si="34"/>
        <v>399.53300632021399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7.2</v>
      </c>
      <c r="AI26" s="13">
        <f>IF('Données projet'!$A$62&gt;35,AI25+AH26-AQ25,IF(A26&lt;'Données projet'!$A$62,$AF$205^A26,IF(A26='Données projet'!$A$62,'Données projet'!$B$62,AI25+AH26-AQ25)))</f>
        <v>94.600000000000009</v>
      </c>
      <c r="AJ26" s="13">
        <f>AI26*VLOOKUP('Données projet'!$B$10,Paramètres!$A$1:$I$89,3,0)*VLOOKUP('Données projet'!$B$10,Paramètres!$A$1:$I$89,5,0)</f>
        <v>98.875920000000022</v>
      </c>
      <c r="AK26" s="13">
        <f t="shared" si="35"/>
        <v>26.69402505537747</v>
      </c>
      <c r="AL26" s="20">
        <f t="shared" si="4"/>
        <v>218.70098763811578</v>
      </c>
      <c r="AM26" s="59">
        <f t="shared" si="5"/>
        <v>442.18618434766228</v>
      </c>
      <c r="AN26" s="59">
        <f ca="1">AVERAGE(OFFSET($AM$3,0,0,'Données projet'!$E$10+1,1))-AVERAGE(OFFSET($H$3,0,0,'Données projet'!$E$10+1,1))</f>
        <v>552.26894123675538</v>
      </c>
      <c r="AO26" s="59">
        <f t="shared" si="36"/>
        <v>409.85604950107006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1.2</v>
      </c>
      <c r="BD26" s="12">
        <f>IF('Données projet'!$A$88&gt;35,BD25+BC26-BL25,IF(A26&lt;'Données projet'!$A$88,$BA$205^A26,IF(A26='Données projet'!$A$88,'Données projet'!$B$88,BD25+BC26-BL25)))</f>
        <v>22.853438584779923</v>
      </c>
      <c r="BE26" s="13">
        <f>BD26*VLOOKUP('Données projet'!$B$11,Paramètres!$A$1:$I$89,3,0)*VLOOKUP('Données projet'!$B$11,Paramètres!$A$1:$I$89,5,0)</f>
        <v>24.599441292657108</v>
      </c>
      <c r="BF26" s="13">
        <f t="shared" si="37"/>
        <v>7.808607795256683</v>
      </c>
      <c r="BG26" s="20">
        <f t="shared" si="7"/>
        <v>56.444018828116505</v>
      </c>
      <c r="BH26" s="59">
        <f t="shared" si="8"/>
        <v>279.92921553766303</v>
      </c>
      <c r="BI26" s="59">
        <f ca="1">AVERAGE(OFFSET($BH$3,0,0,'Données projet'!$E$11+1,1))-AVERAGE(OFFSET($H$3,0,0,'Données projet'!$E$11+1,1))</f>
        <v>361.24725625563468</v>
      </c>
      <c r="BJ26" s="59">
        <f t="shared" si="38"/>
        <v>186.0840067781198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5.6</v>
      </c>
      <c r="BY26" s="12">
        <f>IF('Données projet'!$A$114&gt;35,BY25+BX26-CG25,IF(A26&lt;'Données projet'!$A$114,$BV$205^A26,IF(A26='Données projet'!$A$114,'Données projet'!$B$114,BY25+BX26-CG25)))</f>
        <v>58.800000000000004</v>
      </c>
      <c r="BZ26" s="13">
        <f>BY26*VLOOKUP('Données projet'!$B$12,Paramètres!$A$1:$I$89,3,0)*VLOOKUP('Données projet'!$B$12,Paramètres!$A$1:$I$89,5,0)</f>
        <v>39.443040000000003</v>
      </c>
      <c r="CA26" s="13">
        <f t="shared" si="39"/>
        <v>11.850904343164064</v>
      </c>
      <c r="CB26" s="20">
        <f t="shared" si="10"/>
        <v>89.336953064344087</v>
      </c>
      <c r="CC26" s="59">
        <f t="shared" si="11"/>
        <v>312.8221497738906</v>
      </c>
      <c r="CD26" s="59">
        <f ca="1">AVERAGE(OFFSET($CC$3,0,0,'Données projet'!$E$12+1,1))-AVERAGE(OFFSET($H$3,0,0,'Données projet'!$E$12+1,1))</f>
        <v>323.91378047319455</v>
      </c>
      <c r="CE26" s="59">
        <f t="shared" si="40"/>
        <v>212.89889176380288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19.68</v>
      </c>
      <c r="CT26" s="12">
        <f>IF('Données projet'!$A$140&gt;35,CT25+CS26-DB25,IF(A26&lt;'Données projet'!$A$140,$CQ$205^A26,IF(A26='Données projet'!$A$140,'Données projet'!$B$140,CT25+CS26-DB25)))</f>
        <v>160.24</v>
      </c>
      <c r="CU26" s="17">
        <f>CT26*VLOOKUP('Données projet'!$B$13,Paramètres!$A$1:$I$89,3,0)*VLOOKUP('Données projet'!$B$13,Paramètres!$A$1:$I$89,5,0)</f>
        <v>95.823520000000016</v>
      </c>
      <c r="CV26" s="13">
        <f t="shared" si="41"/>
        <v>25.964551808226819</v>
      </c>
      <c r="CW26" s="20">
        <f t="shared" si="13"/>
        <v>212.11422506599504</v>
      </c>
      <c r="CX26" s="59">
        <f t="shared" si="14"/>
        <v>435.59942177554154</v>
      </c>
      <c r="CY26" s="59">
        <f ca="1">AVERAGE(OFFSET($CX$3,0,0,'Données projet'!$E$13+1,1))-AVERAGE(OFFSET($H$3,0,0,'Données projet'!$E$13+1,1))</f>
        <v>356.07880667298025</v>
      </c>
      <c r="CZ26" s="59">
        <f t="shared" si="42"/>
        <v>396.05161661639659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3.0538634403850495</v>
      </c>
      <c r="DG26" s="21">
        <f>EXP(-LN(2)/25)*DG25+(1-EXP(-LN(2)/25))/(LN(2)/25)*Calculateur!DB26*Calculateur!DD26*VLOOKUP('Données projet'!$B$13,Paramètres!$A$1:$I$89,3,0)*0.475*44/12</f>
        <v>6.6306698072892054</v>
      </c>
      <c r="DH26" s="21">
        <f>EXP(-LN(2)/2)*DH25+(1-EXP(-LN(2)/2))/(LN(2)/2)*DB26*DE26*VLOOKUP('Données projet'!$B$13,Paramètres!$A$1:$I$89,3,0)*0.475*44/12</f>
        <v>2.7429997450217494</v>
      </c>
      <c r="DI26" s="22">
        <f t="shared" si="15"/>
        <v>12.427532992696005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11</v>
      </c>
      <c r="DO26" s="12">
        <f>IF('Données projet'!$A$166&gt;35,DO25+DN26-DW25,IF(A26&lt;'Données projet'!$A$166,$DL$205^A26,IF(A26='Données projet'!$A$166,'Données projet'!$B$166,DO25+DN26-DW25)))</f>
        <v>133</v>
      </c>
      <c r="DP26" s="17">
        <f>DO26*VLOOKUP('Données projet'!$B$14,Paramètres!$A$1:$I$89,3,0)*VLOOKUP('Données projet'!$B$14,Paramètres!$A$1:$I$89,5,0)</f>
        <v>62.243999999999993</v>
      </c>
      <c r="DQ26" s="13">
        <f t="shared" si="43"/>
        <v>17.734404526076432</v>
      </c>
      <c r="DR26" s="20">
        <f t="shared" si="16"/>
        <v>139.29572121624975</v>
      </c>
      <c r="DS26" s="59">
        <f t="shared" si="17"/>
        <v>362.78091792579625</v>
      </c>
      <c r="DT26" s="59">
        <f ca="1">AVERAGE(OFFSET($DS$3,0,0,'Données projet'!$E$14+1,1))-AVERAGE(OFFSET($H$3,0,0,'Données projet'!$E$14+1,1))</f>
        <v>246.11623544660486</v>
      </c>
      <c r="DU26" s="59">
        <f t="shared" si="44"/>
        <v>273.18950868898253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7.0104833100836714</v>
      </c>
      <c r="EC26" s="21">
        <f>EXP(-LN(2)/2)*EC25+(1-EXP(-LN(2)/2))/(LN(2)/2)*DW26*DZ26*VLOOKUP('Données projet'!$B$14,Paramètres!$A$1:$I$89,3,0)*0.475*44/12</f>
        <v>3.2972286634759471</v>
      </c>
      <c r="ED26" s="22">
        <f t="shared" si="18"/>
        <v>10.307711973559618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5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67">
        <f t="shared" si="1"/>
        <v>183.33333333333334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7.2</v>
      </c>
      <c r="N27" s="13">
        <f>IF('Données projet'!$A$36&gt;35,N26+M27-V26,IF(A27&lt;'Données projet'!$A$36,$K$205^A27,IF(A27='Données projet'!$A$36,'Données projet'!$B$36,N26+M27-V26)))</f>
        <v>101.80000000000001</v>
      </c>
      <c r="O27" s="13">
        <f>N27*VLOOKUP('Données projet'!$B$9,Paramètres!$A$1:$I$89,3,0)*VLOOKUP('Données projet'!$B$9,Paramètres!$A$1:$I$89,5,0)</f>
        <v>103.22520000000003</v>
      </c>
      <c r="P27" s="13">
        <f t="shared" si="33"/>
        <v>27.728931732779014</v>
      </c>
      <c r="Q27" s="20">
        <f t="shared" si="2"/>
        <v>228.07844610125684</v>
      </c>
      <c r="R27" s="59">
        <f t="shared" si="0"/>
        <v>453.84915428487665</v>
      </c>
      <c r="S27" s="59">
        <f ca="1">AVERAGE(OFFSET($R$3,0,0,'Données projet'!$E$9+1,1))-AVERAGE(OFFSET($H$3,0,0,'Données projet'!$E$9+1,1))</f>
        <v>538.10210778862256</v>
      </c>
      <c r="T27" s="59">
        <f t="shared" si="34"/>
        <v>399.53300632021399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7.2</v>
      </c>
      <c r="AI27" s="13">
        <f>IF('Données projet'!$A$62&gt;35,AI26+AH27-AQ26,IF(A27&lt;'Données projet'!$A$62,$AF$205^A27,IF(A27='Données projet'!$A$62,'Données projet'!$B$62,AI26+AH27-AQ26)))</f>
        <v>101.80000000000001</v>
      </c>
      <c r="AJ27" s="13">
        <f>AI27*VLOOKUP('Données projet'!$B$10,Paramètres!$A$1:$I$89,3,0)*VLOOKUP('Données projet'!$B$10,Paramètres!$A$1:$I$89,5,0)</f>
        <v>106.40136000000003</v>
      </c>
      <c r="AK27" s="13">
        <f t="shared" si="35"/>
        <v>28.481482572816386</v>
      </c>
      <c r="AL27" s="20">
        <f t="shared" si="4"/>
        <v>234.92095081432191</v>
      </c>
      <c r="AM27" s="59">
        <f t="shared" si="5"/>
        <v>460.69165899794172</v>
      </c>
      <c r="AN27" s="59">
        <f ca="1">AVERAGE(OFFSET($AM$3,0,0,'Données projet'!$E$10+1,1))-AVERAGE(OFFSET($H$3,0,0,'Données projet'!$E$10+1,1))</f>
        <v>552.26894123675538</v>
      </c>
      <c r="AO27" s="59">
        <f t="shared" si="36"/>
        <v>409.85604950107006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1.2</v>
      </c>
      <c r="BD27" s="12">
        <f>IF('Données projet'!$A$88&gt;35,BD26+BC27-BL26,IF(A27&lt;'Données projet'!$A$88,$BA$205^A27,IF(A27='Données projet'!$A$88,'Données projet'!$B$88,BD26+BC27-BL26)))</f>
        <v>26.184024853780567</v>
      </c>
      <c r="BE27" s="13">
        <f>BD27*VLOOKUP('Données projet'!$B$11,Paramètres!$A$1:$I$89,3,0)*VLOOKUP('Données projet'!$B$11,Paramètres!$A$1:$I$89,5,0)</f>
        <v>28.184484352609399</v>
      </c>
      <c r="BF27" s="13">
        <f t="shared" si="37"/>
        <v>8.8060466863244411</v>
      </c>
      <c r="BG27" s="20">
        <f t="shared" si="7"/>
        <v>64.425174892809764</v>
      </c>
      <c r="BH27" s="59">
        <f t="shared" si="8"/>
        <v>290.1958830764296</v>
      </c>
      <c r="BI27" s="59">
        <f ca="1">AVERAGE(OFFSET($BH$3,0,0,'Données projet'!$E$11+1,1))-AVERAGE(OFFSET($H$3,0,0,'Données projet'!$E$11+1,1))</f>
        <v>361.24725625563468</v>
      </c>
      <c r="BJ27" s="59">
        <f t="shared" si="38"/>
        <v>186.0840067781198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5.6</v>
      </c>
      <c r="BY27" s="12">
        <f>IF('Données projet'!$A$114&gt;35,BY26+BX27-CG26,IF(A27&lt;'Données projet'!$A$114,$BV$205^A27,IF(A27='Données projet'!$A$114,'Données projet'!$B$114,BY26+BX27-CG26)))</f>
        <v>64.400000000000006</v>
      </c>
      <c r="BZ27" s="13">
        <f>BY27*VLOOKUP('Données projet'!$B$12,Paramètres!$A$1:$I$89,3,0)*VLOOKUP('Données projet'!$B$12,Paramètres!$A$1:$I$89,5,0)</f>
        <v>43.199520000000007</v>
      </c>
      <c r="CA27" s="13">
        <f t="shared" si="39"/>
        <v>12.842844959465618</v>
      </c>
      <c r="CB27" s="20">
        <f t="shared" si="10"/>
        <v>97.607118971069283</v>
      </c>
      <c r="CC27" s="59">
        <f t="shared" si="11"/>
        <v>323.3778271546891</v>
      </c>
      <c r="CD27" s="59">
        <f ca="1">AVERAGE(OFFSET($CC$3,0,0,'Données projet'!$E$12+1,1))-AVERAGE(OFFSET($H$3,0,0,'Données projet'!$E$12+1,1))</f>
        <v>323.91378047319455</v>
      </c>
      <c r="CE27" s="59">
        <f t="shared" si="40"/>
        <v>212.89889176380288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>
        <f>VLOOKUP(A27,'Données projet'!$A$139:$I$159,2,0)</f>
        <v>179.92</v>
      </c>
      <c r="CR27" s="12">
        <f>VLOOKUP(A27,'Données projet'!$A$139:$I$159,9,0)</f>
        <v>19.68</v>
      </c>
      <c r="CS27" s="12">
        <f t="array" ref="CS27">INDEX(CR:CR,MIN(IF(ISNUMBER(CR27:CR223),ROW(CR27:CR223),"")))</f>
        <v>19.68</v>
      </c>
      <c r="CT27" s="12">
        <f>IF('Données projet'!$A$140&gt;35,CT26+CS27-DB26,IF(A27&lt;'Données projet'!$A$140,$CQ$205^A27,IF(A27='Données projet'!$A$140,'Données projet'!$B$140,CT26+CS27-DB26)))</f>
        <v>179.92000000000002</v>
      </c>
      <c r="CU27" s="17">
        <f>CT27*VLOOKUP('Données projet'!$B$13,Paramètres!$A$1:$I$89,3,0)*VLOOKUP('Données projet'!$B$13,Paramètres!$A$1:$I$89,5,0)</f>
        <v>107.59216000000002</v>
      </c>
      <c r="CV27" s="13">
        <f t="shared" si="41"/>
        <v>28.762950003220435</v>
      </c>
      <c r="CW27" s="20">
        <f t="shared" si="13"/>
        <v>237.48514992227561</v>
      </c>
      <c r="CX27" s="59">
        <f t="shared" si="14"/>
        <v>463.25585810589541</v>
      </c>
      <c r="CY27" s="59">
        <f ca="1">AVERAGE(OFFSET($CX$3,0,0,'Données projet'!$E$13+1,1))-AVERAGE(OFFSET($H$3,0,0,'Données projet'!$E$13+1,1))</f>
        <v>356.07880667298025</v>
      </c>
      <c r="CZ27" s="59">
        <f t="shared" si="42"/>
        <v>396.05161661639659</v>
      </c>
      <c r="DA27" s="15">
        <f>IF(ISNA(VLOOKUP(A27,'Données projet'!$A$139:$I$159,3,0)),0,VLOOKUP(A27,'Données projet'!$A$139:$I$159,3,0))</f>
        <v>3</v>
      </c>
      <c r="DB27" s="15">
        <f>IF(ISNA(VLOOKUP(A27,'Données projet'!$A$139:$I$159,4,0)),0,VLOOKUP(A27,'Données projet'!$A$139:$I$159,4,0))</f>
        <v>45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2.9939790409918738</v>
      </c>
      <c r="DG27" s="21">
        <f>EXP(-LN(2)/25)*DG26+(1-EXP(-LN(2)/25))/(LN(2)/25)*Calculateur!DB27*Calculateur!DD27*VLOOKUP('Données projet'!$B$13,Paramètres!$A$1:$I$89,3,0)*0.475*44/12</f>
        <v>6.4493537927171118</v>
      </c>
      <c r="DH27" s="21">
        <f>EXP(-LN(2)/2)*DH26+(1-EXP(-LN(2)/2))/(LN(2)/2)*DB27*DE27*VLOOKUP('Données projet'!$B$13,Paramètres!$A$1:$I$89,3,0)*0.475*44/12</f>
        <v>1.9395937204978499</v>
      </c>
      <c r="DI27" s="22">
        <f t="shared" si="15"/>
        <v>11.382926554206836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11</v>
      </c>
      <c r="DO27" s="12">
        <f>IF('Données projet'!$A$166&gt;35,DO26+DN27-DW26,IF(A27&lt;'Données projet'!$A$166,$DL$205^A27,IF(A27='Données projet'!$A$166,'Données projet'!$B$166,DO26+DN27-DW26)))</f>
        <v>144</v>
      </c>
      <c r="DP27" s="17">
        <f>DO27*VLOOKUP('Données projet'!$B$14,Paramètres!$A$1:$I$89,3,0)*VLOOKUP('Données projet'!$B$14,Paramètres!$A$1:$I$89,5,0)</f>
        <v>67.391999999999996</v>
      </c>
      <c r="DQ27" s="13">
        <f t="shared" si="43"/>
        <v>19.02437502991798</v>
      </c>
      <c r="DR27" s="20">
        <f t="shared" si="16"/>
        <v>150.5085198437738</v>
      </c>
      <c r="DS27" s="59">
        <f t="shared" si="17"/>
        <v>376.27922802739363</v>
      </c>
      <c r="DT27" s="59">
        <f ca="1">AVERAGE(OFFSET($DS$3,0,0,'Données projet'!$E$14+1,1))-AVERAGE(OFFSET($H$3,0,0,'Données projet'!$E$14+1,1))</f>
        <v>246.11623544660486</v>
      </c>
      <c r="DU27" s="59">
        <f t="shared" si="44"/>
        <v>273.18950868898253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6.818781275304139</v>
      </c>
      <c r="EC27" s="21">
        <f>EXP(-LN(2)/2)*EC26+(1-EXP(-LN(2)/2))/(LN(2)/2)*DW27*DZ27*VLOOKUP('Données projet'!$B$14,Paramètres!$A$1:$I$89,3,0)*0.475*44/12</f>
        <v>2.3314927470664992</v>
      </c>
      <c r="ED27" s="22">
        <f t="shared" si="18"/>
        <v>9.1502740223706382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5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67">
        <f t="shared" si="1"/>
        <v>183.33333333333334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109</v>
      </c>
      <c r="L28" s="12">
        <f>VLOOKUP(A28,'Données projet'!$A$35:$I$55,9,0)</f>
        <v>7.2</v>
      </c>
      <c r="M28" s="12">
        <f t="array" ref="M28">INDEX(L:L,MIN(IF(ISNUMBER(L28:L224),ROW(L28:L224),"")))</f>
        <v>7.2</v>
      </c>
      <c r="N28" s="13">
        <f>IF('Données projet'!$A$36&gt;35,N27+M28-V27,IF(A28&lt;'Données projet'!$A$36,$K$205^A28,IF(A28='Données projet'!$A$36,'Données projet'!$B$36,N27+M28-V27)))</f>
        <v>109.00000000000001</v>
      </c>
      <c r="O28" s="13">
        <f>N28*VLOOKUP('Données projet'!$B$9,Paramètres!$A$1:$I$89,3,0)*VLOOKUP('Données projet'!$B$9,Paramètres!$A$1:$I$89,5,0)</f>
        <v>110.52600000000001</v>
      </c>
      <c r="P28" s="13">
        <f t="shared" si="33"/>
        <v>29.454879846564946</v>
      </c>
      <c r="Q28" s="20">
        <f t="shared" si="2"/>
        <v>243.80003239943395</v>
      </c>
      <c r="R28" s="59">
        <f t="shared" si="0"/>
        <v>471.83780636576603</v>
      </c>
      <c r="S28" s="59">
        <f ca="1">AVERAGE(OFFSET($R$3,0,0,'Données projet'!$E$9+1,1))-AVERAGE(OFFSET($H$3,0,0,'Données projet'!$E$9+1,1))</f>
        <v>538.10210778862256</v>
      </c>
      <c r="T28" s="59">
        <f t="shared" si="34"/>
        <v>399.53300632021399</v>
      </c>
      <c r="U28" s="15">
        <f>IF(ISNA(VLOOKUP(A28,'Données projet'!$A$35:$I$55,3,0)),0,VLOOKUP(A28,'Données projet'!$A$35:$I$55,3,0))</f>
        <v>2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109</v>
      </c>
      <c r="AG28" s="12">
        <f>VLOOKUP(A28,'Données projet'!$A$61:$I$81,9,0)</f>
        <v>7.2</v>
      </c>
      <c r="AH28" s="12">
        <f t="array" ref="AH28">INDEX(AG:AG,MIN(IF(ISNUMBER(AG28:AG224),ROW(AG28:AG224),"")))</f>
        <v>7.2</v>
      </c>
      <c r="AI28" s="13">
        <f>IF('Données projet'!$A$62&gt;35,AI27+AH28-AQ27,IF(A28&lt;'Données projet'!$A$62,$AF$205^A28,IF(A28='Données projet'!$A$62,'Données projet'!$B$62,AI27+AH28-AQ27)))</f>
        <v>109.00000000000001</v>
      </c>
      <c r="AJ28" s="13">
        <f>AI28*VLOOKUP('Données projet'!$B$10,Paramètres!$A$1:$I$89,3,0)*VLOOKUP('Données projet'!$B$10,Paramètres!$A$1:$I$89,5,0)</f>
        <v>113.92680000000003</v>
      </c>
      <c r="AK28" s="13">
        <f t="shared" si="35"/>
        <v>30.254272148632214</v>
      </c>
      <c r="AL28" s="20">
        <f t="shared" si="4"/>
        <v>251.11536732553444</v>
      </c>
      <c r="AM28" s="59">
        <f t="shared" si="5"/>
        <v>479.15314129186652</v>
      </c>
      <c r="AN28" s="59">
        <f ca="1">AVERAGE(OFFSET($AM$3,0,0,'Données projet'!$E$10+1,1))-AVERAGE(OFFSET($H$3,0,0,'Données projet'!$E$10+1,1))</f>
        <v>552.26894123675538</v>
      </c>
      <c r="AO28" s="59">
        <f t="shared" si="36"/>
        <v>409.85604950107006</v>
      </c>
      <c r="AP28" s="15">
        <f>IF(ISNA(VLOOKUP(A28,'Données projet'!$A$61:$I$81,3,0)),0,VLOOKUP(A28,'Données projet'!$A$61:$I$81,3,0))</f>
        <v>2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projet'!$A$87:$I$107,2,0)</f>
        <v>30</v>
      </c>
      <c r="BB28" s="12">
        <f>VLOOKUP(A28,'Données projet'!$A$87:$I$107,9,0)</f>
        <v>1.2</v>
      </c>
      <c r="BC28" s="12">
        <f t="array" ref="BC28">INDEX(BB:BB,MIN(IF(ISNUMBER(BB28:BB224),ROW(BB28:BB224),"")))</f>
        <v>1.2</v>
      </c>
      <c r="BD28" s="12">
        <f>IF('Données projet'!$A$88&gt;35,BD27+BC28-BL27,IF(A28&lt;'Données projet'!$A$88,$BA$205^A28,IF(A28='Données projet'!$A$88,'Données projet'!$B$88,BD27+BC28-BL27)))</f>
        <v>30</v>
      </c>
      <c r="BE28" s="13">
        <f>BD28*VLOOKUP('Données projet'!$B$11,Paramètres!$A$1:$I$89,3,0)*VLOOKUP('Données projet'!$B$11,Paramètres!$A$1:$I$89,5,0)</f>
        <v>32.292000000000002</v>
      </c>
      <c r="BF28" s="13">
        <f t="shared" si="37"/>
        <v>9.9308942483743401</v>
      </c>
      <c r="BG28" s="20">
        <f t="shared" si="7"/>
        <v>73.538207482585321</v>
      </c>
      <c r="BH28" s="59">
        <f t="shared" si="8"/>
        <v>301.57598144891745</v>
      </c>
      <c r="BI28" s="59">
        <f ca="1">AVERAGE(OFFSET($BH$3,0,0,'Données projet'!$E$11+1,1))-AVERAGE(OFFSET($H$3,0,0,'Données projet'!$E$11+1,1))</f>
        <v>361.24725625563468</v>
      </c>
      <c r="BJ28" s="59">
        <f t="shared" si="38"/>
        <v>186.0840067781198</v>
      </c>
      <c r="BK28" s="15">
        <f>IF(ISNA(VLOOKUP(A28,'Données projet'!$A$87:$I$107,3,0)),0,VLOOKUP(A28,'Données projet'!$A$87:$I$107,3,0))</f>
        <v>1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>
        <f>VLOOKUP(A28,'Données projet'!$A$113:$I$133,2,0)</f>
        <v>70</v>
      </c>
      <c r="BW28" s="12">
        <f>VLOOKUP(A28,'Données projet'!$A$113:$I$133,9,0)</f>
        <v>5.6</v>
      </c>
      <c r="BX28" s="12">
        <f t="array" ref="BX28">INDEX(BW:BW,MIN(IF(ISNUMBER(BW28:BW224),ROW(BW28:BW224),"")))</f>
        <v>5.6</v>
      </c>
      <c r="BY28" s="12">
        <f>IF('Données projet'!$A$114&gt;35,BY27+BX28-CG27,IF(A28&lt;'Données projet'!$A$114,$BV$205^A28,IF(A28='Données projet'!$A$114,'Données projet'!$B$114,BY27+BX28-CG27)))</f>
        <v>70</v>
      </c>
      <c r="BZ28" s="13">
        <f>BY28*VLOOKUP('Données projet'!$B$12,Paramètres!$A$1:$I$89,3,0)*VLOOKUP('Données projet'!$B$12,Paramètres!$A$1:$I$89,5,0)</f>
        <v>46.955999999999996</v>
      </c>
      <c r="CA28" s="13">
        <f t="shared" si="39"/>
        <v>13.824782755944211</v>
      </c>
      <c r="CB28" s="20">
        <f t="shared" si="10"/>
        <v>105.85986329993615</v>
      </c>
      <c r="CC28" s="59">
        <f t="shared" si="11"/>
        <v>333.89763726626825</v>
      </c>
      <c r="CD28" s="59">
        <f ca="1">AVERAGE(OFFSET($CC$3,0,0,'Données projet'!$E$12+1,1))-AVERAGE(OFFSET($H$3,0,0,'Données projet'!$E$12+1,1))</f>
        <v>323.91378047319455</v>
      </c>
      <c r="CE28" s="59">
        <f t="shared" si="40"/>
        <v>212.89889176380288</v>
      </c>
      <c r="CF28" s="15">
        <f>IF(ISNA(VLOOKUP(A28,'Données projet'!$A$113:$I$133,3,0)),0,VLOOKUP(A28,'Données projet'!$A$113:$I$133,3,0))</f>
        <v>2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20.86333333333334</v>
      </c>
      <c r="CT28" s="12">
        <f>IF('Données projet'!$A$140&gt;35,CT27+CS28-DB27,IF(A28&lt;'Données projet'!$A$140,$CQ$205^A28,IF(A28='Données projet'!$A$140,'Données projet'!$B$140,CT27+CS28-DB27)))</f>
        <v>155.78333333333336</v>
      </c>
      <c r="CU28" s="17">
        <f>CT28*VLOOKUP('Données projet'!$B$13,Paramètres!$A$1:$I$89,3,0)*VLOOKUP('Données projet'!$B$13,Paramètres!$A$1:$I$89,5,0)</f>
        <v>93.158433333333363</v>
      </c>
      <c r="CV28" s="13">
        <f t="shared" si="41"/>
        <v>25.325427193384016</v>
      </c>
      <c r="CW28" s="20">
        <f t="shared" si="13"/>
        <v>206.35939041736609</v>
      </c>
      <c r="CX28" s="59">
        <f t="shared" si="14"/>
        <v>434.39716438369817</v>
      </c>
      <c r="CY28" s="59">
        <f ca="1">AVERAGE(OFFSET($CX$3,0,0,'Données projet'!$E$13+1,1))-AVERAGE(OFFSET($H$3,0,0,'Données projet'!$E$13+1,1))</f>
        <v>356.07880667298025</v>
      </c>
      <c r="CZ28" s="59">
        <f t="shared" si="42"/>
        <v>396.05161661639659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2.9352689381449211</v>
      </c>
      <c r="DG28" s="21">
        <f>EXP(-LN(2)/25)*DG27+(1-EXP(-LN(2)/25))/(LN(2)/25)*Calculateur!DB28*Calculateur!DD28*VLOOKUP('Données projet'!$B$13,Paramètres!$A$1:$I$89,3,0)*0.475*44/12</f>
        <v>6.2729958740984868</v>
      </c>
      <c r="DH28" s="21">
        <f>EXP(-LN(2)/2)*DH27+(1-EXP(-LN(2)/2))/(LN(2)/2)*DB28*DE28*VLOOKUP('Données projet'!$B$13,Paramètres!$A$1:$I$89,3,0)*0.475*44/12</f>
        <v>1.3714998725108749</v>
      </c>
      <c r="DI28" s="22">
        <f t="shared" si="15"/>
        <v>10.579764684754283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11</v>
      </c>
      <c r="DO28" s="12">
        <f>IF('Données projet'!$A$166&gt;35,DO27+DN28-DW27,IF(A28&lt;'Données projet'!$A$166,$DL$205^A28,IF(A28='Données projet'!$A$166,'Données projet'!$B$166,DO27+DN28-DW27)))</f>
        <v>155</v>
      </c>
      <c r="DP28" s="17">
        <f>DO28*VLOOKUP('Données projet'!$B$14,Paramètres!$A$1:$I$89,3,0)*VLOOKUP('Données projet'!$B$14,Paramètres!$A$1:$I$89,5,0)</f>
        <v>72.539999999999992</v>
      </c>
      <c r="DQ28" s="13">
        <f t="shared" si="43"/>
        <v>20.302914660456786</v>
      </c>
      <c r="DR28" s="20">
        <f t="shared" si="16"/>
        <v>161.70140970029556</v>
      </c>
      <c r="DS28" s="59">
        <f t="shared" si="17"/>
        <v>389.7391836666277</v>
      </c>
      <c r="DT28" s="59">
        <f ca="1">AVERAGE(OFFSET($DS$3,0,0,'Données projet'!$E$14+1,1))-AVERAGE(OFFSET($H$3,0,0,'Données projet'!$E$14+1,1))</f>
        <v>246.11623544660486</v>
      </c>
      <c r="DU28" s="59">
        <f t="shared" si="44"/>
        <v>273.18950868898253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6.6323213427468248</v>
      </c>
      <c r="EC28" s="21">
        <f>EXP(-LN(2)/2)*EC27+(1-EXP(-LN(2)/2))/(LN(2)/2)*DW28*DZ28*VLOOKUP('Données projet'!$B$14,Paramètres!$A$1:$I$89,3,0)*0.475*44/12</f>
        <v>1.6486143317379738</v>
      </c>
      <c r="ED28" s="22">
        <f t="shared" si="18"/>
        <v>8.2809356744847982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5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67">
        <f t="shared" si="1"/>
        <v>183.33333333333334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9.1999999999999993</v>
      </c>
      <c r="N29" s="13">
        <f>IF('Données projet'!$A$36&gt;35,N28+M29-V28,IF(A29&lt;'Données projet'!$A$36,$K$205^A29,IF(A29='Données projet'!$A$36,'Données projet'!$B$36,N28+M29-V28)))</f>
        <v>118.20000000000002</v>
      </c>
      <c r="O29" s="13">
        <f>N29*VLOOKUP('Données projet'!$B$9,Paramètres!$A$1:$I$89,3,0)*VLOOKUP('Données projet'!$B$9,Paramètres!$A$1:$I$89,5,0)</f>
        <v>119.85480000000003</v>
      </c>
      <c r="P29" s="13">
        <f t="shared" si="33"/>
        <v>31.641131392625841</v>
      </c>
      <c r="Q29" s="20">
        <f t="shared" si="2"/>
        <v>263.85541384215668</v>
      </c>
      <c r="R29" s="59">
        <f t="shared" si="0"/>
        <v>494.14212789134683</v>
      </c>
      <c r="S29" s="59">
        <f ca="1">AVERAGE(OFFSET($R$3,0,0,'Données projet'!$E$9+1,1))-AVERAGE(OFFSET($H$3,0,0,'Données projet'!$E$9+1,1))</f>
        <v>538.10210778862256</v>
      </c>
      <c r="T29" s="59">
        <f t="shared" si="34"/>
        <v>399.53300632021399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9.1999999999999993</v>
      </c>
      <c r="AI29" s="13">
        <f>IF('Données projet'!$A$62&gt;35,AI28+AH29-AQ28,IF(A29&lt;'Données projet'!$A$62,$AF$205^A29,IF(A29='Données projet'!$A$62,'Données projet'!$B$62,AI28+AH29-AQ28)))</f>
        <v>118.20000000000002</v>
      </c>
      <c r="AJ29" s="13">
        <f>AI29*VLOOKUP('Données projet'!$B$10,Paramètres!$A$1:$I$89,3,0)*VLOOKUP('Données projet'!$B$10,Paramètres!$A$1:$I$89,5,0)</f>
        <v>123.54264000000003</v>
      </c>
      <c r="AK29" s="13">
        <f t="shared" si="35"/>
        <v>32.499857586578202</v>
      </c>
      <c r="AL29" s="20">
        <f t="shared" si="4"/>
        <v>271.77401662995709</v>
      </c>
      <c r="AM29" s="59">
        <f t="shared" si="5"/>
        <v>502.06073067914724</v>
      </c>
      <c r="AN29" s="59">
        <f ca="1">AVERAGE(OFFSET($AM$3,0,0,'Données projet'!$E$10+1,1))-AVERAGE(OFFSET($H$3,0,0,'Données projet'!$E$10+1,1))</f>
        <v>552.26894123675538</v>
      </c>
      <c r="AO29" s="59">
        <f t="shared" si="36"/>
        <v>409.85604950107006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4.8</v>
      </c>
      <c r="BD29" s="12">
        <f>IF('Données projet'!$A$88&gt;35,BD28+BC29-BL28,IF(A29&lt;'Données projet'!$A$88,$BA$205^A29,IF(A29='Données projet'!$A$88,'Données projet'!$B$88,BD28+BC29-BL28)))</f>
        <v>34.799999999999997</v>
      </c>
      <c r="BE29" s="13">
        <f>BD29*VLOOKUP('Données projet'!$B$11,Paramètres!$A$1:$I$89,3,0)*VLOOKUP('Données projet'!$B$11,Paramètres!$A$1:$I$89,5,0)</f>
        <v>37.45872</v>
      </c>
      <c r="BF29" s="13">
        <f t="shared" si="37"/>
        <v>11.322528864493165</v>
      </c>
      <c r="BG29" s="20">
        <f t="shared" si="7"/>
        <v>84.960675105658922</v>
      </c>
      <c r="BH29" s="59">
        <f t="shared" si="8"/>
        <v>315.24738915484909</v>
      </c>
      <c r="BI29" s="59">
        <f ca="1">AVERAGE(OFFSET($BH$3,0,0,'Données projet'!$E$11+1,1))-AVERAGE(OFFSET($H$3,0,0,'Données projet'!$E$11+1,1))</f>
        <v>361.24725625563468</v>
      </c>
      <c r="BJ29" s="59">
        <f t="shared" si="38"/>
        <v>186.0840067781198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7</v>
      </c>
      <c r="BY29" s="12">
        <f>IF('Données projet'!$A$114&gt;35,BY28+BX29-CG28,IF(A29&lt;'Données projet'!$A$114,$BV$205^A29,IF(A29='Données projet'!$A$114,'Données projet'!$B$114,BY28+BX29-CG28)))</f>
        <v>77</v>
      </c>
      <c r="BZ29" s="13">
        <f>BY29*VLOOKUP('Données projet'!$B$12,Paramètres!$A$1:$I$89,3,0)*VLOOKUP('Données projet'!$B$12,Paramètres!$A$1:$I$89,5,0)</f>
        <v>51.651600000000002</v>
      </c>
      <c r="CA29" s="13">
        <f t="shared" si="39"/>
        <v>15.039482479234188</v>
      </c>
      <c r="CB29" s="20">
        <f t="shared" si="10"/>
        <v>116.15363531799953</v>
      </c>
      <c r="CC29" s="59">
        <f t="shared" si="11"/>
        <v>346.4403493671897</v>
      </c>
      <c r="CD29" s="59">
        <f ca="1">AVERAGE(OFFSET($CC$3,0,0,'Données projet'!$E$12+1,1))-AVERAGE(OFFSET($H$3,0,0,'Données projet'!$E$12+1,1))</f>
        <v>323.91378047319455</v>
      </c>
      <c r="CE29" s="59">
        <f t="shared" si="40"/>
        <v>212.89889176380288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20.86333333333334</v>
      </c>
      <c r="CT29" s="12">
        <f>IF('Données projet'!$A$140&gt;35,CT28+CS29-DB28,IF(A29&lt;'Données projet'!$A$140,$CQ$205^A29,IF(A29='Données projet'!$A$140,'Données projet'!$B$140,CT28+CS29-DB28)))</f>
        <v>176.6466666666667</v>
      </c>
      <c r="CU29" s="17">
        <f>CT29*VLOOKUP('Données projet'!$B$13,Paramètres!$A$1:$I$89,3,0)*VLOOKUP('Données projet'!$B$13,Paramètres!$A$1:$I$89,5,0)</f>
        <v>105.6347066666667</v>
      </c>
      <c r="CV29" s="13">
        <f t="shared" si="41"/>
        <v>28.30007612423924</v>
      </c>
      <c r="CW29" s="20">
        <f t="shared" si="13"/>
        <v>233.2697466941612</v>
      </c>
      <c r="CX29" s="59">
        <f t="shared" si="14"/>
        <v>463.55646074335141</v>
      </c>
      <c r="CY29" s="59">
        <f ca="1">AVERAGE(OFFSET($CX$3,0,0,'Données projet'!$E$13+1,1))-AVERAGE(OFFSET($H$3,0,0,'Données projet'!$E$13+1,1))</f>
        <v>356.07880667298025</v>
      </c>
      <c r="CZ29" s="59">
        <f t="shared" si="42"/>
        <v>396.05161661639659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2.8777101046051703</v>
      </c>
      <c r="DG29" s="21">
        <f>EXP(-LN(2)/25)*DG28+(1-EXP(-LN(2)/25))/(LN(2)/25)*Calculateur!DB29*Calculateur!DD29*VLOOKUP('Données projet'!$B$13,Paramètres!$A$1:$I$89,3,0)*0.475*44/12</f>
        <v>6.101460472038748</v>
      </c>
      <c r="DH29" s="21">
        <f>EXP(-LN(2)/2)*DH28+(1-EXP(-LN(2)/2))/(LN(2)/2)*DB29*DE29*VLOOKUP('Données projet'!$B$13,Paramètres!$A$1:$I$89,3,0)*0.475*44/12</f>
        <v>0.96979686024892509</v>
      </c>
      <c r="DI29" s="22">
        <f t="shared" si="15"/>
        <v>9.9489674368928434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11</v>
      </c>
      <c r="DO29" s="12">
        <f>IF('Données projet'!$A$166&gt;35,DO28+DN29-DW28,IF(A29&lt;'Données projet'!$A$166,$DL$205^A29,IF(A29='Données projet'!$A$166,'Données projet'!$B$166,DO28+DN29-DW28)))</f>
        <v>166</v>
      </c>
      <c r="DP29" s="17">
        <f>DO29*VLOOKUP('Données projet'!$B$14,Paramètres!$A$1:$I$89,3,0)*VLOOKUP('Données projet'!$B$14,Paramètres!$A$1:$I$89,5,0)</f>
        <v>77.688000000000002</v>
      </c>
      <c r="DQ29" s="13">
        <f t="shared" si="43"/>
        <v>21.570926907728207</v>
      </c>
      <c r="DR29" s="20">
        <f t="shared" si="16"/>
        <v>172.87596436429328</v>
      </c>
      <c r="DS29" s="59">
        <f t="shared" si="17"/>
        <v>403.16267841348349</v>
      </c>
      <c r="DT29" s="59">
        <f ca="1">AVERAGE(OFFSET($DS$3,0,0,'Données projet'!$E$14+1,1))-AVERAGE(OFFSET($H$3,0,0,'Données projet'!$E$14+1,1))</f>
        <v>246.11623544660486</v>
      </c>
      <c r="DU29" s="59">
        <f t="shared" si="44"/>
        <v>273.18950868898253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6.4509601668507921</v>
      </c>
      <c r="EC29" s="21">
        <f>EXP(-LN(2)/2)*EC28+(1-EXP(-LN(2)/2))/(LN(2)/2)*DW29*DZ29*VLOOKUP('Données projet'!$B$14,Paramètres!$A$1:$I$89,3,0)*0.475*44/12</f>
        <v>1.1657463735332498</v>
      </c>
      <c r="ED29" s="22">
        <f t="shared" si="18"/>
        <v>7.6167065403840422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5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67">
        <f t="shared" si="1"/>
        <v>183.33333333333334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9.1999999999999993</v>
      </c>
      <c r="N30" s="13">
        <f>IF('Données projet'!$A$36&gt;35,N29+M30-V29,IF(A30&lt;'Données projet'!$A$36,$K$205^A30,IF(A30='Données projet'!$A$36,'Données projet'!$B$36,N29+M30-V29)))</f>
        <v>127.40000000000002</v>
      </c>
      <c r="O30" s="13">
        <f>N30*VLOOKUP('Données projet'!$B$9,Paramètres!$A$1:$I$89,3,0)*VLOOKUP('Données projet'!$B$9,Paramètres!$A$1:$I$89,5,0)</f>
        <v>129.18360000000004</v>
      </c>
      <c r="P30" s="13">
        <f t="shared" si="33"/>
        <v>33.807644151387684</v>
      </c>
      <c r="Q30" s="20">
        <f t="shared" si="2"/>
        <v>283.87641689700024</v>
      </c>
      <c r="R30" s="59">
        <f t="shared" si="0"/>
        <v>516.39425976956375</v>
      </c>
      <c r="S30" s="59">
        <f ca="1">AVERAGE(OFFSET($R$3,0,0,'Données projet'!$E$9+1,1))-AVERAGE(OFFSET($H$3,0,0,'Données projet'!$E$9+1,1))</f>
        <v>538.10210778862256</v>
      </c>
      <c r="T30" s="59">
        <f t="shared" si="34"/>
        <v>399.53300632021399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9.1999999999999993</v>
      </c>
      <c r="AI30" s="13">
        <f>IF('Données projet'!$A$62&gt;35,AI29+AH30-AQ29,IF(A30&lt;'Données projet'!$A$62,$AF$205^A30,IF(A30='Données projet'!$A$62,'Données projet'!$B$62,AI29+AH30-AQ29)))</f>
        <v>127.40000000000002</v>
      </c>
      <c r="AJ30" s="13">
        <f>AI30*VLOOKUP('Données projet'!$B$10,Paramètres!$A$1:$I$89,3,0)*VLOOKUP('Données projet'!$B$10,Paramètres!$A$1:$I$89,5,0)</f>
        <v>133.15848000000003</v>
      </c>
      <c r="AK30" s="13">
        <f t="shared" si="35"/>
        <v>34.725168535341354</v>
      </c>
      <c r="AL30" s="20">
        <f t="shared" si="4"/>
        <v>292.39735453238615</v>
      </c>
      <c r="AM30" s="59">
        <f t="shared" si="5"/>
        <v>524.91519740494959</v>
      </c>
      <c r="AN30" s="59">
        <f ca="1">AVERAGE(OFFSET($AM$3,0,0,'Données projet'!$E$10+1,1))-AVERAGE(OFFSET($H$3,0,0,'Données projet'!$E$10+1,1))</f>
        <v>552.26894123675538</v>
      </c>
      <c r="AO30" s="59">
        <f t="shared" si="36"/>
        <v>409.85604950107006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4.8</v>
      </c>
      <c r="BD30" s="12">
        <f>IF('Données projet'!$A$88&gt;35,BD29+BC30-BL29,IF(A30&lt;'Données projet'!$A$88,$BA$205^A30,IF(A30='Données projet'!$A$88,'Données projet'!$B$88,BD29+BC30-BL29)))</f>
        <v>39.599999999999994</v>
      </c>
      <c r="BE30" s="13">
        <f>BD30*VLOOKUP('Données projet'!$B$11,Paramètres!$A$1:$I$89,3,0)*VLOOKUP('Données projet'!$B$11,Paramètres!$A$1:$I$89,5,0)</f>
        <v>42.62543999999999</v>
      </c>
      <c r="BF30" s="13">
        <f t="shared" si="37"/>
        <v>12.691924583898647</v>
      </c>
      <c r="BG30" s="20">
        <f t="shared" si="7"/>
        <v>96.34440998362345</v>
      </c>
      <c r="BH30" s="59">
        <f t="shared" si="8"/>
        <v>328.86225285618696</v>
      </c>
      <c r="BI30" s="59">
        <f ca="1">AVERAGE(OFFSET($BH$3,0,0,'Données projet'!$E$11+1,1))-AVERAGE(OFFSET($H$3,0,0,'Données projet'!$E$11+1,1))</f>
        <v>361.24725625563468</v>
      </c>
      <c r="BJ30" s="59">
        <f t="shared" si="38"/>
        <v>186.0840067781198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7</v>
      </c>
      <c r="BY30" s="12">
        <f>IF('Données projet'!$A$114&gt;35,BY29+BX30-CG29,IF(A30&lt;'Données projet'!$A$114,$BV$205^A30,IF(A30='Données projet'!$A$114,'Données projet'!$B$114,BY29+BX30-CG29)))</f>
        <v>84</v>
      </c>
      <c r="BZ30" s="13">
        <f>BY30*VLOOKUP('Données projet'!$B$12,Paramètres!$A$1:$I$89,3,0)*VLOOKUP('Données projet'!$B$12,Paramètres!$A$1:$I$89,5,0)</f>
        <v>56.347200000000001</v>
      </c>
      <c r="CA30" s="13">
        <f t="shared" si="39"/>
        <v>16.241377637196607</v>
      </c>
      <c r="CB30" s="20">
        <f t="shared" si="10"/>
        <v>126.42510605145075</v>
      </c>
      <c r="CC30" s="59">
        <f t="shared" si="11"/>
        <v>358.94294892401427</v>
      </c>
      <c r="CD30" s="59">
        <f ca="1">AVERAGE(OFFSET($CC$3,0,0,'Données projet'!$E$12+1,1))-AVERAGE(OFFSET($H$3,0,0,'Données projet'!$E$12+1,1))</f>
        <v>323.91378047319455</v>
      </c>
      <c r="CE30" s="59">
        <f t="shared" si="40"/>
        <v>212.89889176380288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20.86333333333334</v>
      </c>
      <c r="CT30" s="12">
        <f>IF('Données projet'!$A$140&gt;35,CT29+CS30-DB29,IF(A30&lt;'Données projet'!$A$140,$CQ$205^A30,IF(A30='Données projet'!$A$140,'Données projet'!$B$140,CT29+CS30-DB29)))</f>
        <v>197.51000000000005</v>
      </c>
      <c r="CU30" s="17">
        <f>CT30*VLOOKUP('Données projet'!$B$13,Paramètres!$A$1:$I$89,3,0)*VLOOKUP('Données projet'!$B$13,Paramètres!$A$1:$I$89,5,0)</f>
        <v>118.11098000000003</v>
      </c>
      <c r="CV30" s="13">
        <f t="shared" si="41"/>
        <v>31.234010364950812</v>
      </c>
      <c r="CW30" s="20">
        <f t="shared" si="13"/>
        <v>260.10919155228936</v>
      </c>
      <c r="CX30" s="59">
        <f t="shared" si="14"/>
        <v>492.62703442485287</v>
      </c>
      <c r="CY30" s="59">
        <f ca="1">AVERAGE(OFFSET($CX$3,0,0,'Données projet'!$E$13+1,1))-AVERAGE(OFFSET($H$3,0,0,'Données projet'!$E$13+1,1))</f>
        <v>356.07880667298025</v>
      </c>
      <c r="CZ30" s="59">
        <f t="shared" si="42"/>
        <v>396.05161661639659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2.8212799646837121</v>
      </c>
      <c r="DG30" s="21">
        <f>EXP(-LN(2)/25)*DG29+(1-EXP(-LN(2)/25))/(LN(2)/25)*Calculateur!DB30*Calculateur!DD30*VLOOKUP('Données projet'!$B$13,Paramètres!$A$1:$I$89,3,0)*0.475*44/12</f>
        <v>5.9346157145689871</v>
      </c>
      <c r="DH30" s="21">
        <f>EXP(-LN(2)/2)*DH29+(1-EXP(-LN(2)/2))/(LN(2)/2)*DB30*DE30*VLOOKUP('Données projet'!$B$13,Paramètres!$A$1:$I$89,3,0)*0.475*44/12</f>
        <v>0.68574993625543756</v>
      </c>
      <c r="DI30" s="22">
        <f t="shared" si="15"/>
        <v>9.4416456155081363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11</v>
      </c>
      <c r="DO30" s="12">
        <f>IF('Données projet'!$A$166&gt;35,DO29+DN30-DW29,IF(A30&lt;'Données projet'!$A$166,$DL$205^A30,IF(A30='Données projet'!$A$166,'Données projet'!$B$166,DO29+DN30-DW29)))</f>
        <v>177</v>
      </c>
      <c r="DP30" s="17">
        <f>DO30*VLOOKUP('Données projet'!$B$14,Paramètres!$A$1:$I$89,3,0)*VLOOKUP('Données projet'!$B$14,Paramètres!$A$1:$I$89,5,0)</f>
        <v>82.835999999999999</v>
      </c>
      <c r="DQ30" s="13">
        <f t="shared" si="43"/>
        <v>22.829188748646022</v>
      </c>
      <c r="DR30" s="20">
        <f t="shared" si="16"/>
        <v>184.03353707055848</v>
      </c>
      <c r="DS30" s="59">
        <f t="shared" si="17"/>
        <v>416.55137994312201</v>
      </c>
      <c r="DT30" s="59">
        <f ca="1">AVERAGE(OFFSET($DS$3,0,0,'Données projet'!$E$14+1,1))-AVERAGE(OFFSET($H$3,0,0,'Données projet'!$E$14+1,1))</f>
        <v>246.11623544660486</v>
      </c>
      <c r="DU30" s="59">
        <f t="shared" si="44"/>
        <v>273.18950868898253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6.2745583218470058</v>
      </c>
      <c r="EC30" s="21">
        <f>EXP(-LN(2)/2)*EC29+(1-EXP(-LN(2)/2))/(LN(2)/2)*DW30*DZ30*VLOOKUP('Données projet'!$B$14,Paramètres!$A$1:$I$89,3,0)*0.475*44/12</f>
        <v>0.824307165868987</v>
      </c>
      <c r="ED30" s="22">
        <f t="shared" si="18"/>
        <v>7.0988654877159929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5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67">
        <f t="shared" si="1"/>
        <v>183.33333333333334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9.1999999999999993</v>
      </c>
      <c r="N31" s="13">
        <f>IF('Données projet'!$A$36&gt;35,N30+M31-V30,IF(A31&lt;'Données projet'!$A$36,$K$205^A31,IF(A31='Données projet'!$A$36,'Données projet'!$B$36,N30+M31-V30)))</f>
        <v>136.60000000000002</v>
      </c>
      <c r="O31" s="13">
        <f>N31*VLOOKUP('Données projet'!$B$9,Paramètres!$A$1:$I$89,3,0)*VLOOKUP('Données projet'!$B$9,Paramètres!$A$1:$I$89,5,0)</f>
        <v>138.51240000000004</v>
      </c>
      <c r="P31" s="13">
        <f t="shared" si="33"/>
        <v>35.956005637403152</v>
      </c>
      <c r="Q31" s="20">
        <f t="shared" si="2"/>
        <v>303.86580648514382</v>
      </c>
      <c r="R31" s="59">
        <f t="shared" si="0"/>
        <v>538.59727590712794</v>
      </c>
      <c r="S31" s="59">
        <f ca="1">AVERAGE(OFFSET($R$3,0,0,'Données projet'!$E$9+1,1))-AVERAGE(OFFSET($H$3,0,0,'Données projet'!$E$9+1,1))</f>
        <v>538.10210778862256</v>
      </c>
      <c r="T31" s="59">
        <f t="shared" si="34"/>
        <v>399.53300632021399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9.1999999999999993</v>
      </c>
      <c r="AI31" s="13">
        <f>IF('Données projet'!$A$62&gt;35,AI30+AH31-AQ30,IF(A31&lt;'Données projet'!$A$62,$AF$205^A31,IF(A31='Données projet'!$A$62,'Données projet'!$B$62,AI30+AH31-AQ30)))</f>
        <v>136.60000000000002</v>
      </c>
      <c r="AJ31" s="13">
        <f>AI31*VLOOKUP('Données projet'!$B$10,Paramètres!$A$1:$I$89,3,0)*VLOOKUP('Données projet'!$B$10,Paramètres!$A$1:$I$89,5,0)</f>
        <v>142.77432000000005</v>
      </c>
      <c r="AK31" s="13">
        <f t="shared" si="35"/>
        <v>36.931835593911373</v>
      </c>
      <c r="AL31" s="20">
        <f t="shared" si="4"/>
        <v>312.98822099272905</v>
      </c>
      <c r="AM31" s="59">
        <f t="shared" si="5"/>
        <v>547.71969041471311</v>
      </c>
      <c r="AN31" s="59">
        <f ca="1">AVERAGE(OFFSET($AM$3,0,0,'Données projet'!$E$10+1,1))-AVERAGE(OFFSET($H$3,0,0,'Données projet'!$E$10+1,1))</f>
        <v>552.26894123675538</v>
      </c>
      <c r="AO31" s="59">
        <f t="shared" si="36"/>
        <v>409.85604950107006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4.8</v>
      </c>
      <c r="BD31" s="12">
        <f>IF('Données projet'!$A$88&gt;35,BD30+BC31-BL30,IF(A31&lt;'Données projet'!$A$88,$BA$205^A31,IF(A31='Données projet'!$A$88,'Données projet'!$B$88,BD30+BC31-BL30)))</f>
        <v>44.399999999999991</v>
      </c>
      <c r="BE31" s="13">
        <f>BD31*VLOOKUP('Données projet'!$B$11,Paramètres!$A$1:$I$89,3,0)*VLOOKUP('Données projet'!$B$11,Paramètres!$A$1:$I$89,5,0)</f>
        <v>47.792159999999988</v>
      </c>
      <c r="BF31" s="13">
        <f t="shared" si="37"/>
        <v>14.042085367056567</v>
      </c>
      <c r="BG31" s="20">
        <f t="shared" si="7"/>
        <v>107.69464401429015</v>
      </c>
      <c r="BH31" s="59">
        <f t="shared" si="8"/>
        <v>342.42611343627425</v>
      </c>
      <c r="BI31" s="59">
        <f ca="1">AVERAGE(OFFSET($BH$3,0,0,'Données projet'!$E$11+1,1))-AVERAGE(OFFSET($H$3,0,0,'Données projet'!$E$11+1,1))</f>
        <v>361.24725625563468</v>
      </c>
      <c r="BJ31" s="59">
        <f t="shared" si="38"/>
        <v>186.0840067781198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7</v>
      </c>
      <c r="BY31" s="12">
        <f>IF('Données projet'!$A$114&gt;35,BY30+BX31-CG30,IF(A31&lt;'Données projet'!$A$114,$BV$205^A31,IF(A31='Données projet'!$A$114,'Données projet'!$B$114,BY30+BX31-CG30)))</f>
        <v>91</v>
      </c>
      <c r="BZ31" s="13">
        <f>BY31*VLOOKUP('Données projet'!$B$12,Paramètres!$A$1:$I$89,3,0)*VLOOKUP('Données projet'!$B$12,Paramètres!$A$1:$I$89,5,0)</f>
        <v>61.042800000000007</v>
      </c>
      <c r="CA31" s="13">
        <f t="shared" si="39"/>
        <v>17.431656590722341</v>
      </c>
      <c r="CB31" s="20">
        <f t="shared" si="10"/>
        <v>136.67634522884143</v>
      </c>
      <c r="CC31" s="59">
        <f t="shared" si="11"/>
        <v>371.40781465082551</v>
      </c>
      <c r="CD31" s="59">
        <f ca="1">AVERAGE(OFFSET($CC$3,0,0,'Données projet'!$E$12+1,1))-AVERAGE(OFFSET($H$3,0,0,'Données projet'!$E$12+1,1))</f>
        <v>323.91378047319455</v>
      </c>
      <c r="CE31" s="59">
        <f t="shared" si="40"/>
        <v>212.89889176380288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20.86333333333334</v>
      </c>
      <c r="CT31" s="12">
        <f>IF('Données projet'!$A$140&gt;35,CT30+CS31-DB30,IF(A31&lt;'Données projet'!$A$140,$CQ$205^A31,IF(A31='Données projet'!$A$140,'Données projet'!$B$140,CT30+CS31-DB30)))</f>
        <v>218.37333333333339</v>
      </c>
      <c r="CU31" s="17">
        <f>CT31*VLOOKUP('Données projet'!$B$13,Paramètres!$A$1:$I$89,3,0)*VLOOKUP('Données projet'!$B$13,Paramètres!$A$1:$I$89,5,0)</f>
        <v>130.58725333333339</v>
      </c>
      <c r="CV31" s="13">
        <f t="shared" si="41"/>
        <v>34.132020719394767</v>
      </c>
      <c r="CW31" s="20">
        <f t="shared" si="13"/>
        <v>286.8860689751682</v>
      </c>
      <c r="CX31" s="59">
        <f t="shared" si="14"/>
        <v>521.61753839715232</v>
      </c>
      <c r="CY31" s="59">
        <f ca="1">AVERAGE(OFFSET($CX$3,0,0,'Données projet'!$E$13+1,1))-AVERAGE(OFFSET($H$3,0,0,'Données projet'!$E$13+1,1))</f>
        <v>356.07880667298025</v>
      </c>
      <c r="CZ31" s="59">
        <f t="shared" si="42"/>
        <v>396.05161661639659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2.7659563853871272</v>
      </c>
      <c r="DG31" s="21">
        <f>EXP(-LN(2)/25)*DG30+(1-EXP(-LN(2)/25))/(LN(2)/25)*Calculateur!DB31*Calculateur!DD31*VLOOKUP('Données projet'!$B$13,Paramètres!$A$1:$I$89,3,0)*0.475*44/12</f>
        <v>5.7723333357662217</v>
      </c>
      <c r="DH31" s="21">
        <f>EXP(-LN(2)/2)*DH30+(1-EXP(-LN(2)/2))/(LN(2)/2)*DB31*DE31*VLOOKUP('Données projet'!$B$13,Paramètres!$A$1:$I$89,3,0)*0.475*44/12</f>
        <v>0.48489843012446265</v>
      </c>
      <c r="DI31" s="22">
        <f t="shared" si="15"/>
        <v>9.0231881512778127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11</v>
      </c>
      <c r="DO31" s="12">
        <f>IF('Données projet'!$A$166&gt;35,DO30+DN31-DW30,IF(A31&lt;'Données projet'!$A$166,$DL$205^A31,IF(A31='Données projet'!$A$166,'Données projet'!$B$166,DO30+DN31-DW30)))</f>
        <v>188</v>
      </c>
      <c r="DP31" s="17">
        <f>DO31*VLOOKUP('Données projet'!$B$14,Paramètres!$A$1:$I$89,3,0)*VLOOKUP('Données projet'!$B$14,Paramètres!$A$1:$I$89,5,0)</f>
        <v>87.983999999999995</v>
      </c>
      <c r="DQ31" s="13">
        <f t="shared" si="43"/>
        <v>24.078375128721785</v>
      </c>
      <c r="DR31" s="20">
        <f t="shared" si="16"/>
        <v>195.17530334919044</v>
      </c>
      <c r="DS31" s="59">
        <f t="shared" si="17"/>
        <v>429.90677277117453</v>
      </c>
      <c r="DT31" s="59">
        <f ca="1">AVERAGE(OFFSET($DS$3,0,0,'Données projet'!$E$14+1,1))-AVERAGE(OFFSET($H$3,0,0,'Données projet'!$E$14+1,1))</f>
        <v>246.11623544660486</v>
      </c>
      <c r="DU31" s="59">
        <f t="shared" si="44"/>
        <v>273.18950868898253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6.1029801945714182</v>
      </c>
      <c r="EC31" s="21">
        <f>EXP(-LN(2)/2)*EC30+(1-EXP(-LN(2)/2))/(LN(2)/2)*DW31*DZ31*VLOOKUP('Données projet'!$B$14,Paramètres!$A$1:$I$89,3,0)*0.475*44/12</f>
        <v>0.58287318676662492</v>
      </c>
      <c r="ED31" s="22">
        <f t="shared" si="18"/>
        <v>6.6858533813380427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5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67">
        <f t="shared" si="1"/>
        <v>183.33333333333334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9.1999999999999993</v>
      </c>
      <c r="N32" s="13">
        <f>IF('Données projet'!$A$36&gt;35,N31+M32-V31,IF(A32&lt;'Données projet'!$A$36,$K$205^A32,IF(A32='Données projet'!$A$36,'Données projet'!$B$36,N31+M32-V31)))</f>
        <v>145.80000000000001</v>
      </c>
      <c r="O32" s="13">
        <f>N32*VLOOKUP('Données projet'!$B$9,Paramètres!$A$1:$I$89,3,0)*VLOOKUP('Données projet'!$B$9,Paramètres!$A$1:$I$89,5,0)</f>
        <v>147.84120000000001</v>
      </c>
      <c r="P32" s="13">
        <f t="shared" si="33"/>
        <v>38.087577427074699</v>
      </c>
      <c r="Q32" s="20">
        <f t="shared" si="2"/>
        <v>323.82595401882173</v>
      </c>
      <c r="R32" s="59">
        <f t="shared" si="0"/>
        <v>560.75385134159751</v>
      </c>
      <c r="S32" s="59">
        <f ca="1">AVERAGE(OFFSET($R$3,0,0,'Données projet'!$E$9+1,1))-AVERAGE(OFFSET($H$3,0,0,'Données projet'!$E$9+1,1))</f>
        <v>538.10210778862256</v>
      </c>
      <c r="T32" s="59">
        <f t="shared" si="34"/>
        <v>399.53300632021399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9.1999999999999993</v>
      </c>
      <c r="AI32" s="13">
        <f>IF('Données projet'!$A$62&gt;35,AI31+AH32-AQ31,IF(A32&lt;'Données projet'!$A$62,$AF$205^A32,IF(A32='Données projet'!$A$62,'Données projet'!$B$62,AI31+AH32-AQ31)))</f>
        <v>145.80000000000001</v>
      </c>
      <c r="AJ32" s="13">
        <f>AI32*VLOOKUP('Données projet'!$B$10,Paramètres!$A$1:$I$89,3,0)*VLOOKUP('Données projet'!$B$10,Paramètres!$A$1:$I$89,5,0)</f>
        <v>152.39016000000001</v>
      </c>
      <c r="AK32" s="13">
        <f t="shared" si="35"/>
        <v>39.121257291266929</v>
      </c>
      <c r="AL32" s="20">
        <f t="shared" si="4"/>
        <v>333.54905178228984</v>
      </c>
      <c r="AM32" s="59">
        <f t="shared" si="5"/>
        <v>570.47694910506561</v>
      </c>
      <c r="AN32" s="59">
        <f ca="1">AVERAGE(OFFSET($AM$3,0,0,'Données projet'!$E$10+1,1))-AVERAGE(OFFSET($H$3,0,0,'Données projet'!$E$10+1,1))</f>
        <v>552.26894123675538</v>
      </c>
      <c r="AO32" s="59">
        <f t="shared" si="36"/>
        <v>409.85604950107006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4.8</v>
      </c>
      <c r="BD32" s="12">
        <f>IF('Données projet'!$A$88&gt;35,BD31+BC32-BL31,IF(A32&lt;'Données projet'!$A$88,$BA$205^A32,IF(A32='Données projet'!$A$88,'Données projet'!$B$88,BD31+BC32-BL31)))</f>
        <v>49.199999999999989</v>
      </c>
      <c r="BE32" s="13">
        <f>BD32*VLOOKUP('Données projet'!$B$11,Paramètres!$A$1:$I$89,3,0)*VLOOKUP('Données projet'!$B$11,Paramètres!$A$1:$I$89,5,0)</f>
        <v>52.958879999999979</v>
      </c>
      <c r="BF32" s="13">
        <f t="shared" si="37"/>
        <v>15.375327718852537</v>
      </c>
      <c r="BG32" s="20">
        <f t="shared" si="7"/>
        <v>119.01541177700146</v>
      </c>
      <c r="BH32" s="59">
        <f t="shared" si="8"/>
        <v>355.94330909977731</v>
      </c>
      <c r="BI32" s="59">
        <f ca="1">AVERAGE(OFFSET($BH$3,0,0,'Données projet'!$E$11+1,1))-AVERAGE(OFFSET($H$3,0,0,'Données projet'!$E$11+1,1))</f>
        <v>361.24725625563468</v>
      </c>
      <c r="BJ32" s="59">
        <f t="shared" si="38"/>
        <v>186.0840067781198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7</v>
      </c>
      <c r="BY32" s="12">
        <f>IF('Données projet'!$A$114&gt;35,BY31+BX32-CG31,IF(A32&lt;'Données projet'!$A$114,$BV$205^A32,IF(A32='Données projet'!$A$114,'Données projet'!$B$114,BY31+BX32-CG31)))</f>
        <v>98</v>
      </c>
      <c r="BZ32" s="13">
        <f>BY32*VLOOKUP('Données projet'!$B$12,Paramètres!$A$1:$I$89,3,0)*VLOOKUP('Données projet'!$B$12,Paramètres!$A$1:$I$89,5,0)</f>
        <v>65.738399999999999</v>
      </c>
      <c r="CA32" s="13">
        <f t="shared" si="39"/>
        <v>18.61131449032748</v>
      </c>
      <c r="CB32" s="20">
        <f t="shared" si="10"/>
        <v>146.90908607065367</v>
      </c>
      <c r="CC32" s="59">
        <f t="shared" si="11"/>
        <v>383.83698339342948</v>
      </c>
      <c r="CD32" s="59">
        <f ca="1">AVERAGE(OFFSET($CC$3,0,0,'Données projet'!$E$12+1,1))-AVERAGE(OFFSET($H$3,0,0,'Données projet'!$E$12+1,1))</f>
        <v>323.91378047319455</v>
      </c>
      <c r="CE32" s="59">
        <f t="shared" si="40"/>
        <v>212.89889176380288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20.86333333333334</v>
      </c>
      <c r="CT32" s="12">
        <f>IF('Données projet'!$A$140&gt;35,CT31+CS32-DB31,IF(A32&lt;'Données projet'!$A$140,$CQ$205^A32,IF(A32='Données projet'!$A$140,'Données projet'!$B$140,CT31+CS32-DB31)))</f>
        <v>239.23666666666674</v>
      </c>
      <c r="CU32" s="17">
        <f>CT32*VLOOKUP('Données projet'!$B$13,Paramètres!$A$1:$I$89,3,0)*VLOOKUP('Données projet'!$B$13,Paramètres!$A$1:$I$89,5,0)</f>
        <v>143.06352666666672</v>
      </c>
      <c r="CV32" s="13">
        <f t="shared" si="41"/>
        <v>36.997929837448268</v>
      </c>
      <c r="CW32" s="20">
        <f t="shared" si="13"/>
        <v>313.60703674466691</v>
      </c>
      <c r="CX32" s="59">
        <f t="shared" si="14"/>
        <v>550.53493406744269</v>
      </c>
      <c r="CY32" s="59">
        <f ca="1">AVERAGE(OFFSET($CX$3,0,0,'Données projet'!$E$13+1,1))-AVERAGE(OFFSET($H$3,0,0,'Données projet'!$E$13+1,1))</f>
        <v>356.07880667298025</v>
      </c>
      <c r="CZ32" s="59">
        <f t="shared" si="42"/>
        <v>396.05161661639659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2.7117176677364965</v>
      </c>
      <c r="DG32" s="21">
        <f>EXP(-LN(2)/25)*DG31+(1-EXP(-LN(2)/25))/(LN(2)/25)*Calculateur!DB32*Calculateur!DD32*VLOOKUP('Données projet'!$B$13,Paramètres!$A$1:$I$89,3,0)*0.475*44/12</f>
        <v>5.6144885771458775</v>
      </c>
      <c r="DH32" s="21">
        <f>EXP(-LN(2)/2)*DH31+(1-EXP(-LN(2)/2))/(LN(2)/2)*DB32*DE32*VLOOKUP('Données projet'!$B$13,Paramètres!$A$1:$I$89,3,0)*0.475*44/12</f>
        <v>0.34287496812771884</v>
      </c>
      <c r="DI32" s="22">
        <f t="shared" si="15"/>
        <v>8.6690812130100934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11</v>
      </c>
      <c r="DO32" s="12">
        <f>IF('Données projet'!$A$166&gt;35,DO31+DN32-DW31,IF(A32&lt;'Données projet'!$A$166,$DL$205^A32,IF(A32='Données projet'!$A$166,'Données projet'!$B$166,DO31+DN32-DW31)))</f>
        <v>199</v>
      </c>
      <c r="DP32" s="17">
        <f>DO32*VLOOKUP('Données projet'!$B$14,Paramètres!$A$1:$I$89,3,0)*VLOOKUP('Données projet'!$B$14,Paramètres!$A$1:$I$89,5,0)</f>
        <v>93.132000000000005</v>
      </c>
      <c r="DQ32" s="13">
        <f t="shared" si="43"/>
        <v>25.319077548810455</v>
      </c>
      <c r="DR32" s="20">
        <f t="shared" si="16"/>
        <v>206.30229339751153</v>
      </c>
      <c r="DS32" s="59">
        <f t="shared" si="17"/>
        <v>443.2301907202874</v>
      </c>
      <c r="DT32" s="59">
        <f ca="1">AVERAGE(OFFSET($DS$3,0,0,'Données projet'!$E$14+1,1))-AVERAGE(OFFSET($H$3,0,0,'Données projet'!$E$14+1,1))</f>
        <v>246.11623544660486</v>
      </c>
      <c r="DU32" s="59">
        <f t="shared" si="44"/>
        <v>273.18950868898253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5.936093880209083</v>
      </c>
      <c r="EC32" s="21">
        <f>EXP(-LN(2)/2)*EC31+(1-EXP(-LN(2)/2))/(LN(2)/2)*DW32*DZ32*VLOOKUP('Données projet'!$B$14,Paramètres!$A$1:$I$89,3,0)*0.475*44/12</f>
        <v>0.4121535829344935</v>
      </c>
      <c r="ED32" s="22">
        <f t="shared" si="18"/>
        <v>6.3482474631435766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5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67">
        <f t="shared" si="1"/>
        <v>183.33333333333334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155</v>
      </c>
      <c r="L33" s="12">
        <f>VLOOKUP(A33,'Données projet'!$A$35:$I$55,9,0)</f>
        <v>9.1999999999999993</v>
      </c>
      <c r="M33" s="12">
        <f t="array" ref="M33">INDEX(L:L,MIN(IF(ISNUMBER(L33:L229),ROW(L33:L229),"")))</f>
        <v>9.1999999999999993</v>
      </c>
      <c r="N33" s="13">
        <f>IF('Données projet'!$A$36&gt;35,N32+M33-V32,IF(A33&lt;'Données projet'!$A$36,$K$205^A33,IF(A33='Données projet'!$A$36,'Données projet'!$B$36,N32+M33-V32)))</f>
        <v>155</v>
      </c>
      <c r="O33" s="13">
        <f>N33*VLOOKUP('Données projet'!$B$9,Paramètres!$A$1:$I$89,3,0)*VLOOKUP('Données projet'!$B$9,Paramètres!$A$1:$I$89,5,0)</f>
        <v>157.17000000000002</v>
      </c>
      <c r="P33" s="13">
        <f t="shared" si="33"/>
        <v>40.203539552443232</v>
      </c>
      <c r="Q33" s="20">
        <f t="shared" si="2"/>
        <v>343.75891472050535</v>
      </c>
      <c r="R33" s="59">
        <f t="shared" si="0"/>
        <v>582.86633965354736</v>
      </c>
      <c r="S33" s="59">
        <f ca="1">AVERAGE(OFFSET($R$3,0,0,'Données projet'!$E$9+1,1))-AVERAGE(OFFSET($H$3,0,0,'Données projet'!$E$9+1,1))</f>
        <v>538.10210778862256</v>
      </c>
      <c r="T33" s="59">
        <f t="shared" si="34"/>
        <v>399.53300632021399</v>
      </c>
      <c r="U33" s="15">
        <f>IF(ISNA(VLOOKUP(A33,'Données projet'!$A$35:$I$55,3,0)),0,VLOOKUP(A33,'Données projet'!$A$35:$I$55,3,0))</f>
        <v>3</v>
      </c>
      <c r="V33" s="15">
        <f>IF(ISNA(VLOOKUP(A33,'Données projet'!$A$35:$I$55,4,0)),0,VLOOKUP(A33,'Données projet'!$A$35:$I$55,4,0))</f>
        <v>62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155</v>
      </c>
      <c r="AG33" s="12">
        <f>VLOOKUP(A33,'Données projet'!$A$61:$I$81,9,0)</f>
        <v>9.1999999999999993</v>
      </c>
      <c r="AH33" s="12">
        <f t="array" ref="AH33">INDEX(AG:AG,MIN(IF(ISNUMBER(AG33:AG229),ROW(AG33:AG229),"")))</f>
        <v>9.1999999999999993</v>
      </c>
      <c r="AI33" s="13">
        <f>IF('Données projet'!$A$62&gt;35,AI32+AH33-AQ32,IF(A33&lt;'Données projet'!$A$62,$AF$205^A33,IF(A33='Données projet'!$A$62,'Données projet'!$B$62,AI32+AH33-AQ32)))</f>
        <v>155</v>
      </c>
      <c r="AJ33" s="13">
        <f>AI33*VLOOKUP('Données projet'!$B$10,Paramètres!$A$1:$I$89,3,0)*VLOOKUP('Données projet'!$B$10,Paramètres!$A$1:$I$89,5,0)</f>
        <v>162.00600000000003</v>
      </c>
      <c r="AK33" s="13">
        <f t="shared" si="35"/>
        <v>41.294645684992197</v>
      </c>
      <c r="AL33" s="20">
        <f t="shared" si="4"/>
        <v>354.08195790136142</v>
      </c>
      <c r="AM33" s="59">
        <f t="shared" si="5"/>
        <v>593.18938283440343</v>
      </c>
      <c r="AN33" s="59">
        <f ca="1">AVERAGE(OFFSET($AM$3,0,0,'Données projet'!$E$10+1,1))-AVERAGE(OFFSET($H$3,0,0,'Données projet'!$E$10+1,1))</f>
        <v>552.26894123675538</v>
      </c>
      <c r="AO33" s="59">
        <f t="shared" si="36"/>
        <v>409.85604950107006</v>
      </c>
      <c r="AP33" s="15">
        <f>IF(ISNA(VLOOKUP(A33,'Données projet'!$A$61:$I$81,3,0)),0,VLOOKUP(A33,'Données projet'!$A$61:$I$81,3,0))</f>
        <v>3</v>
      </c>
      <c r="AQ33" s="15">
        <f>IF(ISNA(VLOOKUP(A33,'Données projet'!$A$61:$I$81,4,0)),0,VLOOKUP(A33,'Données projet'!$A$61:$I$81,4,0))</f>
        <v>62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54</v>
      </c>
      <c r="BB33" s="12">
        <f>VLOOKUP(A33,'Données projet'!$A$87:$I$107,9,0)</f>
        <v>4.8</v>
      </c>
      <c r="BC33" s="12">
        <f t="array" ref="BC33">INDEX(BB:BB,MIN(IF(ISNUMBER(BB33:BB229),ROW(BB33:BB229),"")))</f>
        <v>4.8</v>
      </c>
      <c r="BD33" s="12">
        <f>IF('Données projet'!$A$88&gt;35,BD32+BC33-BL32,IF(A33&lt;'Données projet'!$A$88,$BA$205^A33,IF(A33='Données projet'!$A$88,'Données projet'!$B$88,BD32+BC33-BL32)))</f>
        <v>53.999999999999986</v>
      </c>
      <c r="BE33" s="13">
        <f>BD33*VLOOKUP('Données projet'!$B$11,Paramètres!$A$1:$I$89,3,0)*VLOOKUP('Données projet'!$B$11,Paramètres!$A$1:$I$89,5,0)</f>
        <v>58.125599999999977</v>
      </c>
      <c r="BF33" s="13">
        <f t="shared" si="37"/>
        <v>16.693490054590161</v>
      </c>
      <c r="BG33" s="20">
        <f t="shared" si="7"/>
        <v>130.30991517841116</v>
      </c>
      <c r="BH33" s="59">
        <f t="shared" si="8"/>
        <v>369.41734011145314</v>
      </c>
      <c r="BI33" s="59">
        <f ca="1">AVERAGE(OFFSET($BH$3,0,0,'Données projet'!$E$11+1,1))-AVERAGE(OFFSET($H$3,0,0,'Données projet'!$E$11+1,1))</f>
        <v>361.24725625563468</v>
      </c>
      <c r="BJ33" s="59">
        <f t="shared" si="38"/>
        <v>186.0840067781198</v>
      </c>
      <c r="BK33" s="15">
        <f>IF(ISNA(VLOOKUP(A33,'Données projet'!$A$87:$I$107,3,0)),0,VLOOKUP(A33,'Données projet'!$A$87:$I$107,3,0))</f>
        <v>2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105</v>
      </c>
      <c r="BW33" s="12">
        <f>VLOOKUP(A33,'Données projet'!$A$113:$I$133,9,0)</f>
        <v>7</v>
      </c>
      <c r="BX33" s="12">
        <f t="array" ref="BX33">INDEX(BW:BW,MIN(IF(ISNUMBER(BW33:BW229),ROW(BW33:BW229),"")))</f>
        <v>7</v>
      </c>
      <c r="BY33" s="12">
        <f>IF('Données projet'!$A$114&gt;35,BY32+BX33-CG32,IF(A33&lt;'Données projet'!$A$114,$BV$205^A33,IF(A33='Données projet'!$A$114,'Données projet'!$B$114,BY32+BX33-CG32)))</f>
        <v>105</v>
      </c>
      <c r="BZ33" s="13">
        <f>BY33*VLOOKUP('Données projet'!$B$12,Paramètres!$A$1:$I$89,3,0)*VLOOKUP('Données projet'!$B$12,Paramètres!$A$1:$I$89,5,0)</f>
        <v>70.433999999999997</v>
      </c>
      <c r="CA33" s="13">
        <f t="shared" si="39"/>
        <v>19.78119626646561</v>
      </c>
      <c r="CB33" s="20">
        <f t="shared" si="10"/>
        <v>157.12480016409424</v>
      </c>
      <c r="CC33" s="59">
        <f t="shared" si="11"/>
        <v>396.23222509713622</v>
      </c>
      <c r="CD33" s="59">
        <f ca="1">AVERAGE(OFFSET($CC$3,0,0,'Données projet'!$E$12+1,1))-AVERAGE(OFFSET($H$3,0,0,'Données projet'!$E$12+1,1))</f>
        <v>323.91378047319455</v>
      </c>
      <c r="CE33" s="59">
        <f t="shared" si="40"/>
        <v>212.89889176380288</v>
      </c>
      <c r="CF33" s="15">
        <f>IF(ISNA(VLOOKUP(A33,'Données projet'!$A$113:$I$133,3,0)),0,VLOOKUP(A33,'Données projet'!$A$113:$I$133,3,0))</f>
        <v>3</v>
      </c>
      <c r="CG33" s="15">
        <f>IF(ISNA(VLOOKUP(A33,'Données projet'!$A$113:$I$133,4,0)),0,VLOOKUP(A33,'Données projet'!$A$113:$I$133,4,0))</f>
        <v>29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260.10000000000002</v>
      </c>
      <c r="CR33" s="12">
        <f>VLOOKUP(A33,'Données projet'!$A$139:$I$159,9,0)</f>
        <v>20.86333333333334</v>
      </c>
      <c r="CS33" s="12">
        <f t="array" ref="CS33">INDEX(CR:CR,MIN(IF(ISNUMBER(CR33:CR229),ROW(CR33:CR229),"")))</f>
        <v>20.86333333333334</v>
      </c>
      <c r="CT33" s="12">
        <f>IF('Données projet'!$A$140&gt;35,CT32+CS33-DB32,IF(A33&lt;'Données projet'!$A$140,$CQ$205^A33,IF(A33='Données projet'!$A$140,'Données projet'!$B$140,CT32+CS33-DB32)))</f>
        <v>260.10000000000008</v>
      </c>
      <c r="CU33" s="17">
        <f>CT33*VLOOKUP('Données projet'!$B$13,Paramètres!$A$1:$I$89,3,0)*VLOOKUP('Données projet'!$B$13,Paramètres!$A$1:$I$89,5,0)</f>
        <v>155.53980000000007</v>
      </c>
      <c r="CV33" s="13">
        <f t="shared" si="41"/>
        <v>39.834855511973885</v>
      </c>
      <c r="CW33" s="20">
        <f t="shared" si="13"/>
        <v>340.27752501668795</v>
      </c>
      <c r="CX33" s="59">
        <f t="shared" si="14"/>
        <v>579.38494994972996</v>
      </c>
      <c r="CY33" s="59">
        <f ca="1">AVERAGE(OFFSET($CX$3,0,0,'Données projet'!$E$13+1,1))-AVERAGE(OFFSET($H$3,0,0,'Données projet'!$E$13+1,1))</f>
        <v>356.07880667298025</v>
      </c>
      <c r="CZ33" s="59">
        <f t="shared" si="42"/>
        <v>396.05161661639659</v>
      </c>
      <c r="DA33" s="15">
        <f>IF(ISNA(VLOOKUP(A33,'Données projet'!$A$139:$I$159,3,0)),0,VLOOKUP(A33,'Données projet'!$A$139:$I$159,3,0))</f>
        <v>4</v>
      </c>
      <c r="DB33" s="15">
        <f>IF(ISNA(VLOOKUP(A33,'Données projet'!$A$139:$I$159,4,0)),0,VLOOKUP(A33,'Données projet'!$A$139:$I$159,4,0))</f>
        <v>66.989999999999995</v>
      </c>
      <c r="DC33" s="16">
        <f>IF(ISNA(VLOOKUP(A33,'Données projet'!$A$139:$I$159,5,0)),0%,VLOOKUP(A33,'Données projet'!$A$139:$I$159,5,0)*VLOOKUP('Données projet'!$B$13,Paramètres!$A$1:$I$89,7,0))</f>
        <v>9.0000000000000011E-2</v>
      </c>
      <c r="DD33" s="16">
        <f>IF(ISNA(VLOOKUP(A33,'Données projet'!$A$139:$I$159,6,0)),0%,VLOOKUP(A33,'Données projet'!$A$139:$I$159,6,0)*VLOOKUP('Données projet'!$B$13,Paramètres!$A$1:$I$89,7,0))</f>
        <v>0.20250000000000001</v>
      </c>
      <c r="DE33" s="16">
        <f>IF(ISNA(VLOOKUP(A33,'Données projet'!$A$139:$I$159,7,0)),0%,VLOOKUP(A33,'Données projet'!$A$139:$I$159,7,0))</f>
        <v>0.35</v>
      </c>
      <c r="DF33" s="21">
        <f>EXP(-LN(2)/35)*DF32+(1-EXP(-LN(2)/35))/(LN(2)/35)*DB33*DC33*VLOOKUP('Données projet'!$B$13,Paramètres!$A$1:$I$89,3,0)*0.475*44/12</f>
        <v>7.4413404137143839</v>
      </c>
      <c r="DG33" s="21">
        <f>EXP(-LN(2)/25)*DG32+(1-EXP(-LN(2)/25))/(LN(2)/25)*Calculateur!DB33*Calculateur!DD33*VLOOKUP('Données projet'!$B$13,Paramètres!$A$1:$I$89,3,0)*0.475*44/12</f>
        <v>16.179883991875393</v>
      </c>
      <c r="DH33" s="21">
        <f>EXP(-LN(2)/2)*DH32+(1-EXP(-LN(2)/2))/(LN(2)/2)*DB33*DE33*VLOOKUP('Données projet'!$B$13,Paramètres!$A$1:$I$89,3,0)*0.475*44/12</f>
        <v>16.117486184306888</v>
      </c>
      <c r="DI33" s="22">
        <f t="shared" si="15"/>
        <v>39.738710589896669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210</v>
      </c>
      <c r="DM33" s="12">
        <f>VLOOKUP(A33,'Données projet'!$A$165:$I$185,9,0)</f>
        <v>11</v>
      </c>
      <c r="DN33" s="12">
        <f t="array" ref="DN33">INDEX(DM:DM,MIN(IF(ISNUMBER(DM33:DM229),ROW(DM33:DM229),"")))</f>
        <v>11</v>
      </c>
      <c r="DO33" s="12">
        <f>IF('Données projet'!$A$166&gt;35,DO32+DN33-DW32,IF(A33&lt;'Données projet'!$A$166,$DL$205^A33,IF(A33='Données projet'!$A$166,'Données projet'!$B$166,DO32+DN33-DW32)))</f>
        <v>210</v>
      </c>
      <c r="DP33" s="17">
        <f>DO33*VLOOKUP('Données projet'!$B$14,Paramètres!$A$1:$I$89,3,0)*VLOOKUP('Données projet'!$B$14,Paramètres!$A$1:$I$89,5,0)</f>
        <v>98.28</v>
      </c>
      <c r="DQ33" s="13">
        <f t="shared" si="43"/>
        <v>26.551818424463473</v>
      </c>
      <c r="DR33" s="20">
        <f t="shared" si="16"/>
        <v>217.41541708927389</v>
      </c>
      <c r="DS33" s="59">
        <f t="shared" si="17"/>
        <v>456.5228420223159</v>
      </c>
      <c r="DT33" s="59">
        <f ca="1">AVERAGE(OFFSET($DS$3,0,0,'Données projet'!$E$14+1,1))-AVERAGE(OFFSET($H$3,0,0,'Données projet'!$E$14+1,1))</f>
        <v>246.11623544660486</v>
      </c>
      <c r="DU33" s="59">
        <f t="shared" si="44"/>
        <v>273.18950868898253</v>
      </c>
      <c r="DV33" s="15">
        <f>IF(ISNA(VLOOKUP(A33,'Données projet'!$A$165:$I$185,3,0)),0,VLOOKUP(A33,'Données projet'!$A$165:$I$185,3,0))</f>
        <v>2</v>
      </c>
      <c r="DW33" s="15">
        <f>IF(ISNA(VLOOKUP(A33,'Données projet'!$A$165:$I$185,4,0)),0,VLOOKUP(A33,'Données projet'!$A$165:$I$185,4,0))</f>
        <v>50</v>
      </c>
      <c r="DX33" s="16">
        <f>IF(ISNA(VLOOKUP(A33,'Données projet'!$A$165:$I$185,5,0)),0%,VLOOKUP(A33,'Données projet'!$A$165:$I$185,5,0)*VLOOKUP('Données projet'!$B$14,Paramètres!$A$1:$I$89,7,0))</f>
        <v>0.11000000000000001</v>
      </c>
      <c r="DY33" s="16">
        <f>IF(ISNA(VLOOKUP(A33,'Données projet'!$A$165:$I$185,6,0)),0%,VLOOKUP(A33,'Données projet'!$A$165:$I$185,6,0)*VLOOKUP('Données projet'!$B$14,Paramètres!$A$1:$I$89,7,0))</f>
        <v>0.24750000000000003</v>
      </c>
      <c r="DZ33" s="16">
        <f>IF(ISNA(VLOOKUP(A33,'Données projet'!$A$165:$I$185,7,0)),0%,VLOOKUP(A33,'Données projet'!$A$165:$I$185,7,0))</f>
        <v>0.35</v>
      </c>
      <c r="EA33" s="21">
        <f>EXP(-LN(2)/35)*EA32+(1-EXP(-LN(2)/35))/(LN(2)/35)*DW33*DX33*VLOOKUP('Données projet'!$B$14,Paramètres!$A$1:$I$89,3,0)*0.475*44/12</f>
        <v>3.4145769083013771</v>
      </c>
      <c r="EB33" s="21">
        <f>EXP(-LN(2)/25)*EB32+(1-EXP(-LN(2)/25))/(LN(2)/25)*Calculateur!DW33*Calculateur!DY33*VLOOKUP('Données projet'!$B$14,Paramètres!$A$1:$I$89,3,0)*0.475*44/12</f>
        <v>13.426319021293734</v>
      </c>
      <c r="EC33" s="21">
        <f>EXP(-LN(2)/2)*EC32+(1-EXP(-LN(2)/2))/(LN(2)/2)*DW33*DZ33*VLOOKUP('Données projet'!$B$14,Paramètres!$A$1:$I$89,3,0)*0.475*44/12</f>
        <v>9.5644191101250673</v>
      </c>
      <c r="ED33" s="22">
        <f t="shared" si="18"/>
        <v>26.405315039720179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5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67">
        <f t="shared" si="1"/>
        <v>183.33333333333334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10.8</v>
      </c>
      <c r="N34" s="13">
        <f>IF('Données projet'!$A$36&gt;35,N33+M34-V33,IF(A34&lt;'Données projet'!$A$36,$K$205^A34,IF(A34='Données projet'!$A$36,'Données projet'!$B$36,N33+M34-V33)))</f>
        <v>103.80000000000001</v>
      </c>
      <c r="O34" s="13">
        <f>N34*VLOOKUP('Données projet'!$B$9,Paramètres!$A$1:$I$89,3,0)*VLOOKUP('Données projet'!$B$9,Paramètres!$A$1:$I$89,5,0)</f>
        <v>105.25320000000002</v>
      </c>
      <c r="P34" s="13">
        <f t="shared" si="33"/>
        <v>28.209746498519422</v>
      </c>
      <c r="Q34" s="20">
        <f t="shared" si="2"/>
        <v>232.44796515158802</v>
      </c>
      <c r="R34" s="59">
        <f t="shared" si="0"/>
        <v>472.49608836440558</v>
      </c>
      <c r="S34" s="59">
        <f ca="1">AVERAGE(OFFSET($R$3,0,0,'Données projet'!$E$9+1,1))-AVERAGE(OFFSET($H$3,0,0,'Données projet'!$E$9+1,1))</f>
        <v>538.10210778862256</v>
      </c>
      <c r="T34" s="59">
        <f t="shared" si="34"/>
        <v>399.53300632021399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10.8</v>
      </c>
      <c r="AI34" s="13">
        <f>IF('Données projet'!$A$62&gt;35,AI33+AH34-AQ33,IF(A34&lt;'Données projet'!$A$62,$AF$205^A34,IF(A34='Données projet'!$A$62,'Données projet'!$B$62,AI33+AH34-AQ33)))</f>
        <v>103.80000000000001</v>
      </c>
      <c r="AJ34" s="13">
        <f>AI34*VLOOKUP('Données projet'!$B$10,Paramètres!$A$1:$I$89,3,0)*VLOOKUP('Données projet'!$B$10,Paramètres!$A$1:$I$89,5,0)</f>
        <v>108.49176000000001</v>
      </c>
      <c r="AK34" s="13">
        <f t="shared" si="35"/>
        <v>28.9753464368541</v>
      </c>
      <c r="AL34" s="20">
        <f t="shared" si="4"/>
        <v>239.42187704418757</v>
      </c>
      <c r="AM34" s="59">
        <f t="shared" si="5"/>
        <v>479.47000025700515</v>
      </c>
      <c r="AN34" s="59">
        <f ca="1">AVERAGE(OFFSET($AM$3,0,0,'Données projet'!$E$10+1,1))-AVERAGE(OFFSET($H$3,0,0,'Données projet'!$E$10+1,1))</f>
        <v>552.26894123675538</v>
      </c>
      <c r="AO34" s="59">
        <f t="shared" si="36"/>
        <v>409.85604950107006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5</v>
      </c>
      <c r="BD34" s="12">
        <f>IF('Données projet'!$A$88&gt;35,BD33+BC34-BL33,IF(A34&lt;'Données projet'!$A$88,$BA$205^A34,IF(A34='Données projet'!$A$88,'Données projet'!$B$88,BD33+BC34-BL33)))</f>
        <v>58.999999999999986</v>
      </c>
      <c r="BE34" s="13">
        <f>BD34*VLOOKUP('Données projet'!$B$11,Paramètres!$A$1:$I$89,3,0)*VLOOKUP('Données projet'!$B$11,Paramètres!$A$1:$I$89,5,0)</f>
        <v>63.507599999999982</v>
      </c>
      <c r="BF34" s="13">
        <f t="shared" si="37"/>
        <v>18.052146695841799</v>
      </c>
      <c r="BG34" s="20">
        <f t="shared" si="7"/>
        <v>142.04989216192442</v>
      </c>
      <c r="BH34" s="59">
        <f t="shared" si="8"/>
        <v>382.09801537474198</v>
      </c>
      <c r="BI34" s="59">
        <f ca="1">AVERAGE(OFFSET($BH$3,0,0,'Données projet'!$E$11+1,1))-AVERAGE(OFFSET($H$3,0,0,'Données projet'!$E$11+1,1))</f>
        <v>361.24725625563468</v>
      </c>
      <c r="BJ34" s="59">
        <f t="shared" si="38"/>
        <v>186.0840067781198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8</v>
      </c>
      <c r="BY34" s="12">
        <f>IF('Données projet'!$A$114&gt;35,BY33+BX34-CG33,IF(A34&lt;'Données projet'!$A$114,$BV$205^A34,IF(A34='Données projet'!$A$114,'Données projet'!$B$114,BY33+BX34-CG33)))</f>
        <v>84</v>
      </c>
      <c r="BZ34" s="13">
        <f>BY34*VLOOKUP('Données projet'!$B$12,Paramètres!$A$1:$I$89,3,0)*VLOOKUP('Données projet'!$B$12,Paramètres!$A$1:$I$89,5,0)</f>
        <v>56.347200000000001</v>
      </c>
      <c r="CA34" s="13">
        <f t="shared" si="39"/>
        <v>16.241377637196607</v>
      </c>
      <c r="CB34" s="20">
        <f t="shared" si="10"/>
        <v>126.42510605145075</v>
      </c>
      <c r="CC34" s="59">
        <f t="shared" si="11"/>
        <v>366.4732292642683</v>
      </c>
      <c r="CD34" s="59">
        <f ca="1">AVERAGE(OFFSET($CC$3,0,0,'Données projet'!$E$12+1,1))-AVERAGE(OFFSET($H$3,0,0,'Données projet'!$E$12+1,1))</f>
        <v>323.91378047319455</v>
      </c>
      <c r="CE34" s="59">
        <f t="shared" si="40"/>
        <v>212.89889176380288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18.61999999999999</v>
      </c>
      <c r="CT34" s="12">
        <f>IF('Données projet'!$A$140&gt;35,CT33+CS34-DB33,IF(A34&lt;'Données projet'!$A$140,$CQ$205^A34,IF(A34='Données projet'!$A$140,'Données projet'!$B$140,CT33+CS34-DB33)))</f>
        <v>211.73000000000008</v>
      </c>
      <c r="CU34" s="17">
        <f>CT34*VLOOKUP('Données projet'!$B$13,Paramètres!$A$1:$I$89,3,0)*VLOOKUP('Données projet'!$B$13,Paramètres!$A$1:$I$89,5,0)</f>
        <v>126.61454000000005</v>
      </c>
      <c r="CV34" s="13">
        <f t="shared" si="41"/>
        <v>33.21288161570979</v>
      </c>
      <c r="CW34" s="20">
        <f t="shared" si="13"/>
        <v>278.36609264736131</v>
      </c>
      <c r="CX34" s="59">
        <f t="shared" si="14"/>
        <v>518.41421586017884</v>
      </c>
      <c r="CY34" s="59">
        <f ca="1">AVERAGE(OFFSET($CX$3,0,0,'Données projet'!$E$13+1,1))-AVERAGE(OFFSET($H$3,0,0,'Données projet'!$E$13+1,1))</f>
        <v>356.07880667298025</v>
      </c>
      <c r="CZ34" s="59">
        <f t="shared" si="42"/>
        <v>396.05161661639659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7.2954202669709307</v>
      </c>
      <c r="DG34" s="21">
        <f>EXP(-LN(2)/25)*DG33+(1-EXP(-LN(2)/25))/(LN(2)/25)*Calculateur!DB34*Calculateur!DD34*VLOOKUP('Données projet'!$B$13,Paramètres!$A$1:$I$89,3,0)*0.475*44/12</f>
        <v>15.73744421325444</v>
      </c>
      <c r="DH34" s="21">
        <f>EXP(-LN(2)/2)*DH33+(1-EXP(-LN(2)/2))/(LN(2)/2)*DB34*DE34*VLOOKUP('Données projet'!$B$13,Paramètres!$A$1:$I$89,3,0)*0.475*44/12</f>
        <v>11.396783776603893</v>
      </c>
      <c r="DI34" s="22">
        <f t="shared" si="15"/>
        <v>34.429648256829267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14</v>
      </c>
      <c r="DO34" s="12">
        <f>IF('Données projet'!$A$166&gt;35,DO33+DN34-DW33,IF(A34&lt;'Données projet'!$A$166,$DL$205^A34,IF(A34='Données projet'!$A$166,'Données projet'!$B$166,DO33+DN34-DW33)))</f>
        <v>174</v>
      </c>
      <c r="DP34" s="17">
        <f>DO34*VLOOKUP('Données projet'!$B$14,Paramètres!$A$1:$I$89,3,0)*VLOOKUP('Données projet'!$B$14,Paramètres!$A$1:$I$89,5,0)</f>
        <v>81.432000000000002</v>
      </c>
      <c r="DQ34" s="13">
        <f t="shared" si="43"/>
        <v>22.486953220240881</v>
      </c>
      <c r="DR34" s="20">
        <f t="shared" si="16"/>
        <v>180.99217685858619</v>
      </c>
      <c r="DS34" s="59">
        <f t="shared" si="17"/>
        <v>421.04030007140375</v>
      </c>
      <c r="DT34" s="59">
        <f ca="1">AVERAGE(OFFSET($DS$3,0,0,'Données projet'!$E$14+1,1))-AVERAGE(OFFSET($H$3,0,0,'Données projet'!$E$14+1,1))</f>
        <v>246.11623544660486</v>
      </c>
      <c r="DU34" s="59">
        <f t="shared" si="44"/>
        <v>273.18950868898253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3.3476191378158529</v>
      </c>
      <c r="EB34" s="21">
        <f>EXP(-LN(2)/25)*EB33+(1-EXP(-LN(2)/25))/(LN(2)/25)*Calculateur!DW34*Calculateur!DY34*VLOOKUP('Données projet'!$B$14,Paramètres!$A$1:$I$89,3,0)*0.475*44/12</f>
        <v>13.059175621597026</v>
      </c>
      <c r="EC34" s="21">
        <f>EXP(-LN(2)/2)*EC33+(1-EXP(-LN(2)/2))/(LN(2)/2)*DW34*DZ34*VLOOKUP('Données projet'!$B$14,Paramètres!$A$1:$I$89,3,0)*0.475*44/12</f>
        <v>6.7630656108796403</v>
      </c>
      <c r="ED34" s="22">
        <f t="shared" si="18"/>
        <v>23.169860370292518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5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67">
        <f t="shared" si="1"/>
        <v>183.33333333333334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10.8</v>
      </c>
      <c r="N35" s="13">
        <f>IF('Données projet'!$A$36&gt;35,N34+M35-V34,IF(A35&lt;'Données projet'!$A$36,$K$205^A35,IF(A35='Données projet'!$A$36,'Données projet'!$B$36,N34+M35-V34)))</f>
        <v>114.60000000000001</v>
      </c>
      <c r="O35" s="13">
        <f>N35*VLOOKUP('Données projet'!$B$9,Paramètres!$A$1:$I$89,3,0)*VLOOKUP('Données projet'!$B$9,Paramètres!$A$1:$I$89,5,0)</f>
        <v>116.20440000000002</v>
      </c>
      <c r="P35" s="13">
        <f t="shared" si="33"/>
        <v>30.788088768016376</v>
      </c>
      <c r="Q35" s="20">
        <f t="shared" ref="Q35:Q66" si="53">(O35+P35)*0.475*44/12</f>
        <v>256.01191793762854</v>
      </c>
      <c r="R35" s="59">
        <f t="shared" si="0"/>
        <v>496.98442041815383</v>
      </c>
      <c r="S35" s="59">
        <f ca="1">AVERAGE(OFFSET($R$3,0,0,'Données projet'!$E$9+1,1))-AVERAGE(OFFSET($H$3,0,0,'Données projet'!$E$9+1,1))</f>
        <v>538.10210778862256</v>
      </c>
      <c r="T35" s="59">
        <f t="shared" si="34"/>
        <v>399.53300632021399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10.8</v>
      </c>
      <c r="AI35" s="13">
        <f>IF('Données projet'!$A$62&gt;35,AI34+AH35-AQ34,IF(A35&lt;'Données projet'!$A$62,$AF$205^A35,IF(A35='Données projet'!$A$62,'Données projet'!$B$62,AI34+AH35-AQ34)))</f>
        <v>114.60000000000001</v>
      </c>
      <c r="AJ35" s="13">
        <f>AI35*VLOOKUP('Données projet'!$B$10,Paramètres!$A$1:$I$89,3,0)*VLOOKUP('Données projet'!$B$10,Paramètres!$A$1:$I$89,5,0)</f>
        <v>119.77992000000002</v>
      </c>
      <c r="AK35" s="13">
        <f t="shared" si="35"/>
        <v>31.62366376559649</v>
      </c>
      <c r="AL35" s="20">
        <f t="shared" si="4"/>
        <v>263.69457505841393</v>
      </c>
      <c r="AM35" s="59">
        <f t="shared" si="5"/>
        <v>504.66707753893922</v>
      </c>
      <c r="AN35" s="59">
        <f ca="1">AVERAGE(OFFSET($AM$3,0,0,'Données projet'!$E$10+1,1))-AVERAGE(OFFSET($H$3,0,0,'Données projet'!$E$10+1,1))</f>
        <v>552.26894123675538</v>
      </c>
      <c r="AO35" s="59">
        <f t="shared" si="36"/>
        <v>409.85604950107006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5</v>
      </c>
      <c r="BD35" s="12">
        <f>IF('Données projet'!$A$88&gt;35,BD34+BC35-BL34,IF(A35&lt;'Données projet'!$A$88,$BA$205^A35,IF(A35='Données projet'!$A$88,'Données projet'!$B$88,BD34+BC35-BL34)))</f>
        <v>63.999999999999986</v>
      </c>
      <c r="BE35" s="13">
        <f>BD35*VLOOKUP('Données projet'!$B$11,Paramètres!$A$1:$I$89,3,0)*VLOOKUP('Données projet'!$B$11,Paramètres!$A$1:$I$89,5,0)</f>
        <v>68.889599999999987</v>
      </c>
      <c r="BF35" s="13">
        <f t="shared" si="37"/>
        <v>19.397450021635805</v>
      </c>
      <c r="BG35" s="20">
        <f t="shared" si="7"/>
        <v>153.76661212101567</v>
      </c>
      <c r="BH35" s="59">
        <f t="shared" si="8"/>
        <v>394.73911460154102</v>
      </c>
      <c r="BI35" s="59">
        <f ca="1">AVERAGE(OFFSET($BH$3,0,0,'Données projet'!$E$11+1,1))-AVERAGE(OFFSET($H$3,0,0,'Données projet'!$E$11+1,1))</f>
        <v>361.24725625563468</v>
      </c>
      <c r="BJ35" s="59">
        <f t="shared" si="38"/>
        <v>186.0840067781198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8</v>
      </c>
      <c r="BY35" s="12">
        <f>IF('Données projet'!$A$114&gt;35,BY34+BX35-CG34,IF(A35&lt;'Données projet'!$A$114,$BV$205^A35,IF(A35='Données projet'!$A$114,'Données projet'!$B$114,BY34+BX35-CG34)))</f>
        <v>92</v>
      </c>
      <c r="BZ35" s="13">
        <f>BY35*VLOOKUP('Données projet'!$B$12,Paramètres!$A$1:$I$89,3,0)*VLOOKUP('Données projet'!$B$12,Paramètres!$A$1:$I$89,5,0)</f>
        <v>61.713600000000007</v>
      </c>
      <c r="CA35" s="13">
        <f t="shared" si="39"/>
        <v>17.600808249116106</v>
      </c>
      <c r="CB35" s="20">
        <f t="shared" si="10"/>
        <v>138.13926103387723</v>
      </c>
      <c r="CC35" s="59">
        <f t="shared" si="11"/>
        <v>379.11176351440258</v>
      </c>
      <c r="CD35" s="59">
        <f ca="1">AVERAGE(OFFSET($CC$3,0,0,'Données projet'!$E$12+1,1))-AVERAGE(OFFSET($H$3,0,0,'Données projet'!$E$12+1,1))</f>
        <v>323.91378047319455</v>
      </c>
      <c r="CE35" s="59">
        <f t="shared" si="40"/>
        <v>212.89889176380288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>
        <f>VLOOKUP(A35,'Données projet'!$A$139:$I$159,2,0)</f>
        <v>230.35</v>
      </c>
      <c r="CR35" s="12">
        <f>VLOOKUP(A35,'Données projet'!$A$139:$I$159,9,0)</f>
        <v>18.61999999999999</v>
      </c>
      <c r="CS35" s="12">
        <f t="array" ref="CS35">INDEX(CR:CR,MIN(IF(ISNUMBER(CR35:CR231),ROW(CR35:CR231),"")))</f>
        <v>18.61999999999999</v>
      </c>
      <c r="CT35" s="12">
        <f>IF('Données projet'!$A$140&gt;35,CT34+CS35-DB34,IF(A35&lt;'Données projet'!$A$140,$CQ$205^A35,IF(A35='Données projet'!$A$140,'Données projet'!$B$140,CT34+CS35-DB34)))</f>
        <v>230.35000000000008</v>
      </c>
      <c r="CU35" s="17">
        <f>CT35*VLOOKUP('Données projet'!$B$13,Paramètres!$A$1:$I$89,3,0)*VLOOKUP('Données projet'!$B$13,Paramètres!$A$1:$I$89,5,0)</f>
        <v>137.74930000000006</v>
      </c>
      <c r="CV35" s="13">
        <f t="shared" si="41"/>
        <v>35.780916395737023</v>
      </c>
      <c r="CW35" s="20">
        <f t="shared" si="13"/>
        <v>302.23179355590872</v>
      </c>
      <c r="CX35" s="59">
        <f t="shared" si="14"/>
        <v>543.20429603643402</v>
      </c>
      <c r="CY35" s="59">
        <f ca="1">AVERAGE(OFFSET($CX$3,0,0,'Données projet'!$E$13+1,1))-AVERAGE(OFFSET($H$3,0,0,'Données projet'!$E$13+1,1))</f>
        <v>356.07880667298025</v>
      </c>
      <c r="CZ35" s="59">
        <f t="shared" si="42"/>
        <v>396.05161661639659</v>
      </c>
      <c r="DA35" s="15">
        <f>IF(ISNA(VLOOKUP(A35,'Données projet'!$A$139:$I$159,3,0)),0,VLOOKUP(A35,'Données projet'!$A$139:$I$159,3,0))</f>
        <v>5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7.1523615253026156</v>
      </c>
      <c r="DG35" s="21">
        <f>EXP(-LN(2)/25)*DG34+(1-EXP(-LN(2)/25))/(LN(2)/25)*Calculateur!DB35*Calculateur!DD35*VLOOKUP('Données projet'!$B$13,Paramètres!$A$1:$I$89,3,0)*0.475*44/12</f>
        <v>15.307102973646774</v>
      </c>
      <c r="DH35" s="21">
        <f>EXP(-LN(2)/2)*DH34+(1-EXP(-LN(2)/2))/(LN(2)/2)*DB35*DE35*VLOOKUP('Données projet'!$B$13,Paramètres!$A$1:$I$89,3,0)*0.475*44/12</f>
        <v>8.0587430921534438</v>
      </c>
      <c r="DI35" s="22">
        <f t="shared" si="15"/>
        <v>30.518207591102836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14</v>
      </c>
      <c r="DO35" s="12">
        <f>IF('Données projet'!$A$166&gt;35,DO34+DN35-DW34,IF(A35&lt;'Données projet'!$A$166,$DL$205^A35,IF(A35='Données projet'!$A$166,'Données projet'!$B$166,DO34+DN35-DW34)))</f>
        <v>188</v>
      </c>
      <c r="DP35" s="17">
        <f>DO35*VLOOKUP('Données projet'!$B$14,Paramètres!$A$1:$I$89,3,0)*VLOOKUP('Données projet'!$B$14,Paramètres!$A$1:$I$89,5,0)</f>
        <v>87.983999999999995</v>
      </c>
      <c r="DQ35" s="13">
        <f t="shared" si="43"/>
        <v>24.078375128721785</v>
      </c>
      <c r="DR35" s="20">
        <f t="shared" si="16"/>
        <v>195.17530334919044</v>
      </c>
      <c r="DS35" s="59">
        <f t="shared" si="17"/>
        <v>436.14780582971576</v>
      </c>
      <c r="DT35" s="59">
        <f ca="1">AVERAGE(OFFSET($DS$3,0,0,'Données projet'!$E$14+1,1))-AVERAGE(OFFSET($H$3,0,0,'Données projet'!$E$14+1,1))</f>
        <v>246.11623544660486</v>
      </c>
      <c r="DU35" s="59">
        <f t="shared" si="44"/>
        <v>273.18950868898253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3.2819743683693425</v>
      </c>
      <c r="EB35" s="21">
        <f>EXP(-LN(2)/25)*EB34+(1-EXP(-LN(2)/25))/(LN(2)/25)*Calculateur!DW35*Calculateur!DY35*VLOOKUP('Données projet'!$B$14,Paramètres!$A$1:$I$89,3,0)*0.475*44/12</f>
        <v>12.702071777472257</v>
      </c>
      <c r="EC35" s="21">
        <f>EXP(-LN(2)/2)*EC34+(1-EXP(-LN(2)/2))/(LN(2)/2)*DW35*DZ35*VLOOKUP('Données projet'!$B$14,Paramètres!$A$1:$I$89,3,0)*0.475*44/12</f>
        <v>4.7822095550625345</v>
      </c>
      <c r="ED35" s="22">
        <f t="shared" si="18"/>
        <v>20.766255700904132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5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67">
        <f t="shared" si="1"/>
        <v>183.33333333333334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10.8</v>
      </c>
      <c r="N36" s="13">
        <f>IF('Données projet'!$A$36&gt;35,N35+M36-V35,IF(A36&lt;'Données projet'!$A$36,$K$205^A36,IF(A36='Données projet'!$A$36,'Données projet'!$B$36,N35+M36-V35)))</f>
        <v>125.4</v>
      </c>
      <c r="O36" s="13">
        <f>N36*VLOOKUP('Données projet'!$B$9,Paramètres!$A$1:$I$89,3,0)*VLOOKUP('Données projet'!$B$9,Paramètres!$A$1:$I$89,5,0)</f>
        <v>127.15560000000001</v>
      </c>
      <c r="P36" s="13">
        <f t="shared" si="33"/>
        <v>33.338258149231912</v>
      </c>
      <c r="Q36" s="20">
        <f t="shared" si="53"/>
        <v>279.52680294324563</v>
      </c>
      <c r="R36" s="59">
        <f t="shared" si="0"/>
        <v>521.40764877778633</v>
      </c>
      <c r="S36" s="59">
        <f ca="1">AVERAGE(OFFSET($R$3,0,0,'Données projet'!$E$9+1,1))-AVERAGE(OFFSET($H$3,0,0,'Données projet'!$E$9+1,1))</f>
        <v>538.10210778862256</v>
      </c>
      <c r="T36" s="59">
        <f t="shared" si="34"/>
        <v>399.53300632021399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10.8</v>
      </c>
      <c r="AI36" s="13">
        <f>IF('Données projet'!$A$62&gt;35,AI35+AH36-AQ35,IF(A36&lt;'Données projet'!$A$62,$AF$205^A36,IF(A36='Données projet'!$A$62,'Données projet'!$B$62,AI35+AH36-AQ35)))</f>
        <v>125.4</v>
      </c>
      <c r="AJ36" s="13">
        <f>AI36*VLOOKUP('Données projet'!$B$10,Paramètres!$A$1:$I$89,3,0)*VLOOKUP('Données projet'!$B$10,Paramètres!$A$1:$I$89,5,0)</f>
        <v>131.06808000000004</v>
      </c>
      <c r="AK36" s="13">
        <f t="shared" si="35"/>
        <v>34.243043606434696</v>
      </c>
      <c r="AL36" s="20">
        <f t="shared" si="4"/>
        <v>287.91687361454052</v>
      </c>
      <c r="AM36" s="59">
        <f t="shared" si="5"/>
        <v>529.79771944908123</v>
      </c>
      <c r="AN36" s="59">
        <f ca="1">AVERAGE(OFFSET($AM$3,0,0,'Données projet'!$E$10+1,1))-AVERAGE(OFFSET($H$3,0,0,'Données projet'!$E$10+1,1))</f>
        <v>552.26894123675538</v>
      </c>
      <c r="AO36" s="59">
        <f t="shared" si="36"/>
        <v>409.85604950107006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5</v>
      </c>
      <c r="BD36" s="12">
        <f>IF('Données projet'!$A$88&gt;35,BD35+BC36-BL35,IF(A36&lt;'Données projet'!$A$88,$BA$205^A36,IF(A36='Données projet'!$A$88,'Données projet'!$B$88,BD35+BC36-BL35)))</f>
        <v>68.999999999999986</v>
      </c>
      <c r="BE36" s="13">
        <f>BD36*VLOOKUP('Données projet'!$B$11,Paramètres!$A$1:$I$89,3,0)*VLOOKUP('Données projet'!$B$11,Paramètres!$A$1:$I$89,5,0)</f>
        <v>74.271599999999978</v>
      </c>
      <c r="BF36" s="13">
        <f t="shared" si="37"/>
        <v>20.730561869473863</v>
      </c>
      <c r="BG36" s="20">
        <f t="shared" si="7"/>
        <v>165.46209858933358</v>
      </c>
      <c r="BH36" s="59">
        <f t="shared" si="8"/>
        <v>407.34294442387431</v>
      </c>
      <c r="BI36" s="59">
        <f ca="1">AVERAGE(OFFSET($BH$3,0,0,'Données projet'!$E$11+1,1))-AVERAGE(OFFSET($H$3,0,0,'Données projet'!$E$11+1,1))</f>
        <v>361.24725625563468</v>
      </c>
      <c r="BJ36" s="59">
        <f t="shared" si="38"/>
        <v>186.0840067781198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8</v>
      </c>
      <c r="BY36" s="12">
        <f>IF('Données projet'!$A$114&gt;35,BY35+BX36-CG35,IF(A36&lt;'Données projet'!$A$114,$BV$205^A36,IF(A36='Données projet'!$A$114,'Données projet'!$B$114,BY35+BX36-CG35)))</f>
        <v>100</v>
      </c>
      <c r="BZ36" s="13">
        <f>BY36*VLOOKUP('Données projet'!$B$12,Paramètres!$A$1:$I$89,3,0)*VLOOKUP('Données projet'!$B$12,Paramètres!$A$1:$I$89,5,0)</f>
        <v>67.08</v>
      </c>
      <c r="CA36" s="13">
        <f t="shared" si="39"/>
        <v>18.946530238513894</v>
      </c>
      <c r="CB36" s="20">
        <f t="shared" si="10"/>
        <v>149.82954016541169</v>
      </c>
      <c r="CC36" s="59">
        <f t="shared" si="11"/>
        <v>391.71038599995245</v>
      </c>
      <c r="CD36" s="59">
        <f ca="1">AVERAGE(OFFSET($CC$3,0,0,'Données projet'!$E$12+1,1))-AVERAGE(OFFSET($H$3,0,0,'Données projet'!$E$12+1,1))</f>
        <v>323.91378047319455</v>
      </c>
      <c r="CE36" s="59">
        <f t="shared" si="40"/>
        <v>212.89889176380288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21.354000000000003</v>
      </c>
      <c r="CT36" s="12">
        <f>IF('Données projet'!$A$140&gt;35,CT35+CS36-DB35,IF(A36&lt;'Données projet'!$A$140,$CQ$205^A36,IF(A36='Données projet'!$A$140,'Données projet'!$B$140,CT35+CS36-DB35)))</f>
        <v>251.70400000000009</v>
      </c>
      <c r="CU36" s="17">
        <f>CT36*VLOOKUP('Données projet'!$B$13,Paramètres!$A$1:$I$89,3,0)*VLOOKUP('Données projet'!$B$13,Paramètres!$A$1:$I$89,5,0)</f>
        <v>150.51899200000008</v>
      </c>
      <c r="CV36" s="13">
        <f t="shared" si="41"/>
        <v>38.696504695699332</v>
      </c>
      <c r="CW36" s="20">
        <f t="shared" si="13"/>
        <v>329.55032341167646</v>
      </c>
      <c r="CX36" s="59">
        <f t="shared" si="14"/>
        <v>571.43116924621722</v>
      </c>
      <c r="CY36" s="59">
        <f ca="1">AVERAGE(OFFSET($CX$3,0,0,'Données projet'!$E$13+1,1))-AVERAGE(OFFSET($H$3,0,0,'Données projet'!$E$13+1,1))</f>
        <v>356.07880667298025</v>
      </c>
      <c r="CZ36" s="59">
        <f t="shared" si="42"/>
        <v>396.05161661639659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7.0121080783011998</v>
      </c>
      <c r="DG36" s="21">
        <f>EXP(-LN(2)/25)*DG35+(1-EXP(-LN(2)/25))/(LN(2)/25)*Calculateur!DB36*Calculateur!DD36*VLOOKUP('Données projet'!$B$13,Paramètres!$A$1:$I$89,3,0)*0.475*44/12</f>
        <v>14.888529437866843</v>
      </c>
      <c r="DH36" s="21">
        <f>EXP(-LN(2)/2)*DH35+(1-EXP(-LN(2)/2))/(LN(2)/2)*DB36*DE36*VLOOKUP('Données projet'!$B$13,Paramètres!$A$1:$I$89,3,0)*0.475*44/12</f>
        <v>5.6983918883019467</v>
      </c>
      <c r="DI36" s="22">
        <f t="shared" si="15"/>
        <v>27.599029404469988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14</v>
      </c>
      <c r="DO36" s="12">
        <f>IF('Données projet'!$A$166&gt;35,DO35+DN36-DW35,IF(A36&lt;'Données projet'!$A$166,$DL$205^A36,IF(A36='Données projet'!$A$166,'Données projet'!$B$166,DO35+DN36-DW35)))</f>
        <v>202</v>
      </c>
      <c r="DP36" s="17">
        <f>DO36*VLOOKUP('Données projet'!$B$14,Paramètres!$A$1:$I$89,3,0)*VLOOKUP('Données projet'!$B$14,Paramètres!$A$1:$I$89,5,0)</f>
        <v>94.536000000000001</v>
      </c>
      <c r="DQ36" s="13">
        <f t="shared" si="43"/>
        <v>25.656048664271697</v>
      </c>
      <c r="DR36" s="20">
        <f t="shared" si="16"/>
        <v>209.33448475693987</v>
      </c>
      <c r="DS36" s="59">
        <f t="shared" si="17"/>
        <v>451.21533059148061</v>
      </c>
      <c r="DT36" s="59">
        <f ca="1">AVERAGE(OFFSET($DS$3,0,0,'Données projet'!$E$14+1,1))-AVERAGE(OFFSET($H$3,0,0,'Données projet'!$E$14+1,1))</f>
        <v>246.11623544660486</v>
      </c>
      <c r="DU36" s="59">
        <f t="shared" si="44"/>
        <v>273.18950868898253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3.2176168528123226</v>
      </c>
      <c r="EB36" s="21">
        <f>EXP(-LN(2)/25)*EB35+(1-EXP(-LN(2)/25))/(LN(2)/25)*Calculateur!DW36*Calculateur!DY36*VLOOKUP('Données projet'!$B$14,Paramètres!$A$1:$I$89,3,0)*0.475*44/12</f>
        <v>12.354732956744355</v>
      </c>
      <c r="EC36" s="21">
        <f>EXP(-LN(2)/2)*EC35+(1-EXP(-LN(2)/2))/(LN(2)/2)*DW36*DZ36*VLOOKUP('Données projet'!$B$14,Paramètres!$A$1:$I$89,3,0)*0.475*44/12</f>
        <v>3.3815328054398206</v>
      </c>
      <c r="ED36" s="22">
        <f t="shared" si="18"/>
        <v>18.953882614996498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5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67">
        <f t="shared" si="1"/>
        <v>183.33333333333334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10.8</v>
      </c>
      <c r="N37" s="13">
        <f>IF('Données projet'!$A$36&gt;35,N36+M37-V36,IF(A37&lt;'Données projet'!$A$36,$K$205^A37,IF(A37='Données projet'!$A$36,'Données projet'!$B$36,N36+M37-V36)))</f>
        <v>136.20000000000002</v>
      </c>
      <c r="O37" s="13">
        <f>N37*VLOOKUP('Données projet'!$B$9,Paramètres!$A$1:$I$89,3,0)*VLOOKUP('Données projet'!$B$9,Paramètres!$A$1:$I$89,5,0)</f>
        <v>138.10680000000002</v>
      </c>
      <c r="P37" s="13">
        <f t="shared" si="33"/>
        <v>35.862956890686135</v>
      </c>
      <c r="Q37" s="20">
        <f t="shared" si="53"/>
        <v>302.9973265846117</v>
      </c>
      <c r="R37" s="59">
        <f t="shared" si="0"/>
        <v>545.77075804672722</v>
      </c>
      <c r="S37" s="59">
        <f ca="1">AVERAGE(OFFSET($R$3,0,0,'Données projet'!$E$9+1,1))-AVERAGE(OFFSET($H$3,0,0,'Données projet'!$E$9+1,1))</f>
        <v>538.10210778862256</v>
      </c>
      <c r="T37" s="59">
        <f t="shared" si="34"/>
        <v>399.53300632021399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10.8</v>
      </c>
      <c r="AI37" s="13">
        <f>IF('Données projet'!$A$62&gt;35,AI36+AH37-AQ36,IF(A37&lt;'Données projet'!$A$62,$AF$205^A37,IF(A37='Données projet'!$A$62,'Données projet'!$B$62,AI36+AH37-AQ36)))</f>
        <v>136.20000000000002</v>
      </c>
      <c r="AJ37" s="13">
        <f>AI37*VLOOKUP('Données projet'!$B$10,Paramètres!$A$1:$I$89,3,0)*VLOOKUP('Données projet'!$B$10,Paramètres!$A$1:$I$89,5,0)</f>
        <v>142.35624000000004</v>
      </c>
      <c r="AK37" s="13">
        <f t="shared" si="35"/>
        <v>36.836261545708453</v>
      </c>
      <c r="AL37" s="20">
        <f t="shared" si="4"/>
        <v>312.09360685877562</v>
      </c>
      <c r="AM37" s="59">
        <f t="shared" si="5"/>
        <v>554.8670383208912</v>
      </c>
      <c r="AN37" s="59">
        <f ca="1">AVERAGE(OFFSET($AM$3,0,0,'Données projet'!$E$10+1,1))-AVERAGE(OFFSET($H$3,0,0,'Données projet'!$E$10+1,1))</f>
        <v>552.26894123675538</v>
      </c>
      <c r="AO37" s="59">
        <f t="shared" si="36"/>
        <v>409.85604950107006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5</v>
      </c>
      <c r="BD37" s="12">
        <f>IF('Données projet'!$A$88&gt;35,BD36+BC37-BL36,IF(A37&lt;'Données projet'!$A$88,$BA$205^A37,IF(A37='Données projet'!$A$88,'Données projet'!$B$88,BD36+BC37-BL36)))</f>
        <v>73.999999999999986</v>
      </c>
      <c r="BE37" s="13">
        <f>BD37*VLOOKUP('Données projet'!$B$11,Paramètres!$A$1:$I$89,3,0)*VLOOKUP('Données projet'!$B$11,Paramètres!$A$1:$I$89,5,0)</f>
        <v>79.653599999999983</v>
      </c>
      <c r="BF37" s="13">
        <f t="shared" si="37"/>
        <v>22.052466149308238</v>
      </c>
      <c r="BG37" s="20">
        <f t="shared" si="7"/>
        <v>177.13806521004514</v>
      </c>
      <c r="BH37" s="59">
        <f t="shared" si="8"/>
        <v>419.91149667216075</v>
      </c>
      <c r="BI37" s="59">
        <f ca="1">AVERAGE(OFFSET($BH$3,0,0,'Données projet'!$E$11+1,1))-AVERAGE(OFFSET($H$3,0,0,'Données projet'!$E$11+1,1))</f>
        <v>361.24725625563468</v>
      </c>
      <c r="BJ37" s="59">
        <f t="shared" si="38"/>
        <v>186.0840067781198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8</v>
      </c>
      <c r="BY37" s="12">
        <f>IF('Données projet'!$A$114&gt;35,BY36+BX37-CG36,IF(A37&lt;'Données projet'!$A$114,$BV$205^A37,IF(A37='Données projet'!$A$114,'Données projet'!$B$114,BY36+BX37-CG36)))</f>
        <v>108</v>
      </c>
      <c r="BZ37" s="13">
        <f>BY37*VLOOKUP('Données projet'!$B$12,Paramètres!$A$1:$I$89,3,0)*VLOOKUP('Données projet'!$B$12,Paramètres!$A$1:$I$89,5,0)</f>
        <v>72.446399999999997</v>
      </c>
      <c r="CA37" s="13">
        <f t="shared" si="39"/>
        <v>20.279764978841872</v>
      </c>
      <c r="CB37" s="20">
        <f t="shared" si="10"/>
        <v>161.49807067148291</v>
      </c>
      <c r="CC37" s="59">
        <f t="shared" si="11"/>
        <v>404.27150213359846</v>
      </c>
      <c r="CD37" s="59">
        <f ca="1">AVERAGE(OFFSET($CC$3,0,0,'Données projet'!$E$12+1,1))-AVERAGE(OFFSET($H$3,0,0,'Données projet'!$E$12+1,1))</f>
        <v>323.91378047319455</v>
      </c>
      <c r="CE37" s="59">
        <f t="shared" si="40"/>
        <v>212.89889176380288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21.354000000000003</v>
      </c>
      <c r="CT37" s="12">
        <f>IF('Données projet'!$A$140&gt;35,CT36+CS37-DB36,IF(A37&lt;'Données projet'!$A$140,$CQ$205^A37,IF(A37='Données projet'!$A$140,'Données projet'!$B$140,CT36+CS37-DB36)))</f>
        <v>273.05800000000011</v>
      </c>
      <c r="CU37" s="17">
        <f>CT37*VLOOKUP('Données projet'!$B$13,Paramètres!$A$1:$I$89,3,0)*VLOOKUP('Données projet'!$B$13,Paramètres!$A$1:$I$89,5,0)</f>
        <v>163.28868400000007</v>
      </c>
      <c r="CV37" s="13">
        <f t="shared" si="41"/>
        <v>41.583406626001775</v>
      </c>
      <c r="CW37" s="20">
        <f t="shared" si="13"/>
        <v>356.81889117361993</v>
      </c>
      <c r="CX37" s="59">
        <f t="shared" si="14"/>
        <v>599.59232263573551</v>
      </c>
      <c r="CY37" s="59">
        <f ca="1">AVERAGE(OFFSET($CX$3,0,0,'Données projet'!$E$13+1,1))-AVERAGE(OFFSET($H$3,0,0,'Données projet'!$E$13+1,1))</f>
        <v>356.07880667298025</v>
      </c>
      <c r="CZ37" s="59">
        <f t="shared" si="42"/>
        <v>396.05161661639659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6.8746049158493259</v>
      </c>
      <c r="DG37" s="21">
        <f>EXP(-LN(2)/25)*DG36+(1-EXP(-LN(2)/25))/(LN(2)/25)*Calculateur!DB37*Calculateur!DD37*VLOOKUP('Données projet'!$B$13,Paramètres!$A$1:$I$89,3,0)*0.475*44/12</f>
        <v>14.481401817434639</v>
      </c>
      <c r="DH37" s="21">
        <f>EXP(-LN(2)/2)*DH36+(1-EXP(-LN(2)/2))/(LN(2)/2)*DB37*DE37*VLOOKUP('Données projet'!$B$13,Paramètres!$A$1:$I$89,3,0)*0.475*44/12</f>
        <v>4.0293715460767219</v>
      </c>
      <c r="DI37" s="22">
        <f t="shared" si="15"/>
        <v>25.385378279360687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14</v>
      </c>
      <c r="DO37" s="12">
        <f>IF('Données projet'!$A$166&gt;35,DO36+DN37-DW36,IF(A37&lt;'Données projet'!$A$166,$DL$205^A37,IF(A37='Données projet'!$A$166,'Données projet'!$B$166,DO36+DN37-DW36)))</f>
        <v>216</v>
      </c>
      <c r="DP37" s="17">
        <f>DO37*VLOOKUP('Données projet'!$B$14,Paramètres!$A$1:$I$89,3,0)*VLOOKUP('Données projet'!$B$14,Paramètres!$A$1:$I$89,5,0)</f>
        <v>101.08799999999999</v>
      </c>
      <c r="DQ37" s="13">
        <f t="shared" si="43"/>
        <v>27.221035075711939</v>
      </c>
      <c r="DR37" s="20">
        <f t="shared" si="16"/>
        <v>223.47156942353161</v>
      </c>
      <c r="DS37" s="59">
        <f t="shared" si="17"/>
        <v>466.24500088564719</v>
      </c>
      <c r="DT37" s="59">
        <f ca="1">AVERAGE(OFFSET($DS$3,0,0,'Données projet'!$E$14+1,1))-AVERAGE(OFFSET($H$3,0,0,'Données projet'!$E$14+1,1))</f>
        <v>246.11623544660486</v>
      </c>
      <c r="DU37" s="59">
        <f t="shared" si="44"/>
        <v>273.18950868898253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3.154521348881167</v>
      </c>
      <c r="EB37" s="21">
        <f>EXP(-LN(2)/25)*EB36+(1-EXP(-LN(2)/25))/(LN(2)/25)*Calculateur!DW37*Calculateur!DY37*VLOOKUP('Données projet'!$B$14,Paramètres!$A$1:$I$89,3,0)*0.475*44/12</f>
        <v>12.016892134335011</v>
      </c>
      <c r="EC37" s="21">
        <f>EXP(-LN(2)/2)*EC36+(1-EXP(-LN(2)/2))/(LN(2)/2)*DW37*DZ37*VLOOKUP('Données projet'!$B$14,Paramètres!$A$1:$I$89,3,0)*0.475*44/12</f>
        <v>2.3911047775312677</v>
      </c>
      <c r="ED37" s="22">
        <f t="shared" si="18"/>
        <v>17.562518260747446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5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67">
        <f t="shared" si="1"/>
        <v>183.33333333333334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147</v>
      </c>
      <c r="L38" s="12">
        <f>VLOOKUP(A38,'Données projet'!$A$35:$I$55,9,0)</f>
        <v>10.8</v>
      </c>
      <c r="M38" s="12">
        <f t="array" ref="M38">INDEX(L:L,MIN(IF(ISNUMBER(L38:L234),ROW(L38:L234),"")))</f>
        <v>10.8</v>
      </c>
      <c r="N38" s="13">
        <f>IF('Données projet'!$A$36&gt;35,N37+M38-V37,IF(A38&lt;'Données projet'!$A$36,$K$205^A38,IF(A38='Données projet'!$A$36,'Données projet'!$B$36,N37+M38-V37)))</f>
        <v>147.00000000000003</v>
      </c>
      <c r="O38" s="13">
        <f>N38*VLOOKUP('Données projet'!$B$9,Paramètres!$A$1:$I$89,3,0)*VLOOKUP('Données projet'!$B$9,Paramètres!$A$1:$I$89,5,0)</f>
        <v>149.05800000000005</v>
      </c>
      <c r="P38" s="13">
        <f t="shared" si="33"/>
        <v>38.364434314370335</v>
      </c>
      <c r="Q38" s="20">
        <f t="shared" si="53"/>
        <v>326.42740643086177</v>
      </c>
      <c r="R38" s="59">
        <f t="shared" si="0"/>
        <v>570.0779391554363</v>
      </c>
      <c r="S38" s="59">
        <f ca="1">AVERAGE(OFFSET($R$3,0,0,'Données projet'!$E$9+1,1))-AVERAGE(OFFSET($H$3,0,0,'Données projet'!$E$9+1,1))</f>
        <v>538.10210778862256</v>
      </c>
      <c r="T38" s="59">
        <f t="shared" si="34"/>
        <v>399.53300632021399</v>
      </c>
      <c r="U38" s="15">
        <f>IF(ISNA(VLOOKUP(A38,'Données projet'!$A$35:$I$55,3,0)),0,VLOOKUP(A38,'Données projet'!$A$35:$I$55,3,0))</f>
        <v>4</v>
      </c>
      <c r="V38" s="15">
        <f>IF(ISNA(VLOOKUP(A38,'Données projet'!$A$35:$I$55,4,0)),0,VLOOKUP(A38,'Données projet'!$A$35:$I$55,4,0))</f>
        <v>28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147</v>
      </c>
      <c r="AG38" s="12">
        <f>VLOOKUP(A38,'Données projet'!$A$61:$I$81,9,0)</f>
        <v>10.8</v>
      </c>
      <c r="AH38" s="12">
        <f t="array" ref="AH38">INDEX(AG:AG,MIN(IF(ISNUMBER(AG38:AG234),ROW(AG38:AG234),"")))</f>
        <v>10.8</v>
      </c>
      <c r="AI38" s="13">
        <f>IF('Données projet'!$A$62&gt;35,AI37+AH38-AQ37,IF(A38&lt;'Données projet'!$A$62,$AF$205^A38,IF(A38='Données projet'!$A$62,'Données projet'!$B$62,AI37+AH38-AQ37)))</f>
        <v>147.00000000000003</v>
      </c>
      <c r="AJ38" s="13">
        <f>AI38*VLOOKUP('Données projet'!$B$10,Paramètres!$A$1:$I$89,3,0)*VLOOKUP('Données projet'!$B$10,Paramètres!$A$1:$I$89,5,0)</f>
        <v>153.64440000000005</v>
      </c>
      <c r="AK38" s="13">
        <f t="shared" si="35"/>
        <v>39.405627951004689</v>
      </c>
      <c r="AL38" s="20">
        <f t="shared" si="4"/>
        <v>336.22879868133322</v>
      </c>
      <c r="AM38" s="59">
        <f t="shared" si="5"/>
        <v>579.87933140590769</v>
      </c>
      <c r="AN38" s="59">
        <f ca="1">AVERAGE(OFFSET($AM$3,0,0,'Données projet'!$E$10+1,1))-AVERAGE(OFFSET($H$3,0,0,'Données projet'!$E$10+1,1))</f>
        <v>552.26894123675538</v>
      </c>
      <c r="AO38" s="59">
        <f t="shared" si="36"/>
        <v>409.85604950107006</v>
      </c>
      <c r="AP38" s="15">
        <f>IF(ISNA(VLOOKUP(A38,'Données projet'!$A$61:$I$81,3,0)),0,VLOOKUP(A38,'Données projet'!$A$61:$I$81,3,0))</f>
        <v>4</v>
      </c>
      <c r="AQ38" s="15">
        <f>IF(ISNA(VLOOKUP(A38,'Données projet'!$A$61:$I$81,4,0)),0,VLOOKUP(A38,'Données projet'!$A$61:$I$81,4,0))</f>
        <v>28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79</v>
      </c>
      <c r="BB38" s="12">
        <f>VLOOKUP(A38,'Données projet'!$A$87:$I$107,9,0)</f>
        <v>5</v>
      </c>
      <c r="BC38" s="12">
        <f t="array" ref="BC38">INDEX(BB:BB,MIN(IF(ISNUMBER(BB38:BB234),ROW(BB38:BB234),"")))</f>
        <v>5</v>
      </c>
      <c r="BD38" s="12">
        <f>IF('Données projet'!$A$88&gt;35,BD37+BC38-BL37,IF(A38&lt;'Données projet'!$A$88,$BA$205^A38,IF(A38='Données projet'!$A$88,'Données projet'!$B$88,BD37+BC38-BL37)))</f>
        <v>78.999999999999986</v>
      </c>
      <c r="BE38" s="13">
        <f>BD38*VLOOKUP('Données projet'!$B$11,Paramètres!$A$1:$I$89,3,0)*VLOOKUP('Données projet'!$B$11,Paramètres!$A$1:$I$89,5,0)</f>
        <v>85.035599999999974</v>
      </c>
      <c r="BF38" s="13">
        <f t="shared" si="37"/>
        <v>23.364006286119412</v>
      </c>
      <c r="BG38" s="20">
        <f t="shared" si="7"/>
        <v>188.79598094832463</v>
      </c>
      <c r="BH38" s="59">
        <f t="shared" si="8"/>
        <v>432.44651367289913</v>
      </c>
      <c r="BI38" s="59">
        <f ca="1">AVERAGE(OFFSET($BH$3,0,0,'Données projet'!$E$11+1,1))-AVERAGE(OFFSET($H$3,0,0,'Données projet'!$E$11+1,1))</f>
        <v>361.24725625563468</v>
      </c>
      <c r="BJ38" s="59">
        <f t="shared" si="38"/>
        <v>186.0840067781198</v>
      </c>
      <c r="BK38" s="15">
        <f>IF(ISNA(VLOOKUP(A38,'Données projet'!$A$87:$I$107,3,0)),0,VLOOKUP(A38,'Données projet'!$A$87:$I$107,3,0))</f>
        <v>3</v>
      </c>
      <c r="BL38" s="15">
        <f>IF(ISNA(VLOOKUP(A38,'Données projet'!$A$87:$I$107,4,0)),0,VLOOKUP(A38,'Données projet'!$A$87:$I$107,4,0))</f>
        <v>13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116</v>
      </c>
      <c r="BW38" s="12">
        <f>VLOOKUP(A38,'Données projet'!$A$113:$I$133,9,0)</f>
        <v>8</v>
      </c>
      <c r="BX38" s="12">
        <f t="array" ref="BX38">INDEX(BW:BW,MIN(IF(ISNUMBER(BW38:BW234),ROW(BW38:BW234),"")))</f>
        <v>8</v>
      </c>
      <c r="BY38" s="12">
        <f>IF('Données projet'!$A$114&gt;35,BY37+BX38-CG37,IF(A38&lt;'Données projet'!$A$114,$BV$205^A38,IF(A38='Données projet'!$A$114,'Données projet'!$B$114,BY37+BX38-CG37)))</f>
        <v>116</v>
      </c>
      <c r="BZ38" s="13">
        <f>BY38*VLOOKUP('Données projet'!$B$12,Paramètres!$A$1:$I$89,3,0)*VLOOKUP('Données projet'!$B$12,Paramètres!$A$1:$I$89,5,0)</f>
        <v>77.81280000000001</v>
      </c>
      <c r="CA38" s="13">
        <f t="shared" si="39"/>
        <v>21.601542634761511</v>
      </c>
      <c r="CB38" s="20">
        <f t="shared" si="10"/>
        <v>173.14664675554297</v>
      </c>
      <c r="CC38" s="59">
        <f t="shared" si="11"/>
        <v>416.79717948011751</v>
      </c>
      <c r="CD38" s="59">
        <f ca="1">AVERAGE(OFFSET($CC$3,0,0,'Données projet'!$E$12+1,1))-AVERAGE(OFFSET($H$3,0,0,'Données projet'!$E$12+1,1))</f>
        <v>323.91378047319455</v>
      </c>
      <c r="CE38" s="59">
        <f t="shared" si="40"/>
        <v>212.89889176380288</v>
      </c>
      <c r="CF38" s="15">
        <f>IF(ISNA(VLOOKUP(A38,'Données projet'!$A$113:$I$133,3,0)),0,VLOOKUP(A38,'Données projet'!$A$113:$I$133,3,0))</f>
        <v>4</v>
      </c>
      <c r="CG38" s="15">
        <f>IF(ISNA(VLOOKUP(A38,'Données projet'!$A$113:$I$133,4,0)),0,VLOOKUP(A38,'Données projet'!$A$113:$I$133,4,0))</f>
        <v>21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21.354000000000003</v>
      </c>
      <c r="CT38" s="12">
        <f>IF('Données projet'!$A$140&gt;35,CT37+CS38-DB37,IF(A38&lt;'Données projet'!$A$140,$CQ$205^A38,IF(A38='Données projet'!$A$140,'Données projet'!$B$140,CT37+CS38-DB37)))</f>
        <v>294.41200000000009</v>
      </c>
      <c r="CU38" s="17">
        <f>CT38*VLOOKUP('Données projet'!$B$13,Paramètres!$A$1:$I$89,3,0)*VLOOKUP('Données projet'!$B$13,Paramètres!$A$1:$I$89,5,0)</f>
        <v>176.05837600000007</v>
      </c>
      <c r="CV38" s="13">
        <f t="shared" si="41"/>
        <v>44.444120610316297</v>
      </c>
      <c r="CW38" s="20">
        <f t="shared" si="13"/>
        <v>384.04184826296768</v>
      </c>
      <c r="CX38" s="59">
        <f t="shared" si="14"/>
        <v>627.69238098754215</v>
      </c>
      <c r="CY38" s="59">
        <f ca="1">AVERAGE(OFFSET($CX$3,0,0,'Données projet'!$E$13+1,1))-AVERAGE(OFFSET($H$3,0,0,'Données projet'!$E$13+1,1))</f>
        <v>356.07880667298025</v>
      </c>
      <c r="CZ38" s="59">
        <f t="shared" si="42"/>
        <v>396.05161661639659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6.7397981065444856</v>
      </c>
      <c r="DG38" s="21">
        <f>EXP(-LN(2)/25)*DG37+(1-EXP(-LN(2)/25))/(LN(2)/25)*Calculateur!DB38*Calculateur!DD38*VLOOKUP('Données projet'!$B$13,Paramètres!$A$1:$I$89,3,0)*0.475*44/12</f>
        <v>14.085407123193065</v>
      </c>
      <c r="DH38" s="21">
        <f>EXP(-LN(2)/2)*DH37+(1-EXP(-LN(2)/2))/(LN(2)/2)*DB38*DE38*VLOOKUP('Données projet'!$B$13,Paramètres!$A$1:$I$89,3,0)*0.475*44/12</f>
        <v>2.8491959441509733</v>
      </c>
      <c r="DI38" s="22">
        <f t="shared" si="15"/>
        <v>23.674401173888523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14</v>
      </c>
      <c r="DO38" s="12">
        <f>IF('Données projet'!$A$166&gt;35,DO37+DN38-DW37,IF(A38&lt;'Données projet'!$A$166,$DL$205^A38,IF(A38='Données projet'!$A$166,'Données projet'!$B$166,DO37+DN38-DW37)))</f>
        <v>230</v>
      </c>
      <c r="DP38" s="17">
        <f>DO38*VLOOKUP('Données projet'!$B$14,Paramètres!$A$1:$I$89,3,0)*VLOOKUP('Données projet'!$B$14,Paramètres!$A$1:$I$89,5,0)</f>
        <v>107.64</v>
      </c>
      <c r="DQ38" s="13">
        <f t="shared" si="43"/>
        <v>28.774250263353583</v>
      </c>
      <c r="DR38" s="20">
        <f t="shared" si="16"/>
        <v>237.58815254200749</v>
      </c>
      <c r="DS38" s="59">
        <f t="shared" si="17"/>
        <v>481.23868526658202</v>
      </c>
      <c r="DT38" s="59">
        <f ca="1">AVERAGE(OFFSET($DS$3,0,0,'Données projet'!$E$14+1,1))-AVERAGE(OFFSET($H$3,0,0,'Données projet'!$E$14+1,1))</f>
        <v>246.11623544660486</v>
      </c>
      <c r="DU38" s="59">
        <f t="shared" si="44"/>
        <v>273.18950868898253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3.0926631092976442</v>
      </c>
      <c r="EB38" s="21">
        <f>EXP(-LN(2)/25)*EB37+(1-EXP(-LN(2)/25))/(LN(2)/25)*Calculateur!DW38*Calculateur!DY38*VLOOKUP('Données projet'!$B$14,Paramètres!$A$1:$I$89,3,0)*0.475*44/12</f>
        <v>11.688289586980728</v>
      </c>
      <c r="EC38" s="21">
        <f>EXP(-LN(2)/2)*EC37+(1-EXP(-LN(2)/2))/(LN(2)/2)*DW38*DZ38*VLOOKUP('Données projet'!$B$14,Paramètres!$A$1:$I$89,3,0)*0.475*44/12</f>
        <v>1.6907664027199105</v>
      </c>
      <c r="ED38" s="22">
        <f t="shared" si="18"/>
        <v>16.471719098998282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5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67">
        <f t="shared" si="1"/>
        <v>183.33333333333334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11.2</v>
      </c>
      <c r="N39" s="13">
        <f>IF('Données projet'!$A$36&gt;35,N38+M39-V38,IF(A39&lt;'Données projet'!$A$36,$K$205^A39,IF(A39='Données projet'!$A$36,'Données projet'!$B$36,N38+M39-V38)))</f>
        <v>130.20000000000002</v>
      </c>
      <c r="O39" s="13">
        <f>N39*VLOOKUP('Données projet'!$B$9,Paramètres!$A$1:$I$89,3,0)*VLOOKUP('Données projet'!$B$9,Paramètres!$A$1:$I$89,5,0)</f>
        <v>132.02280000000002</v>
      </c>
      <c r="P39" s="13">
        <f t="shared" si="33"/>
        <v>34.463348169992798</v>
      </c>
      <c r="Q39" s="20">
        <f t="shared" si="53"/>
        <v>289.96337472940417</v>
      </c>
      <c r="R39" s="59">
        <f t="shared" si="0"/>
        <v>534.47579297043853</v>
      </c>
      <c r="S39" s="59">
        <f ca="1">AVERAGE(OFFSET($R$3,0,0,'Données projet'!$E$9+1,1))-AVERAGE(OFFSET($H$3,0,0,'Données projet'!$E$9+1,1))</f>
        <v>538.10210778862256</v>
      </c>
      <c r="T39" s="59">
        <f t="shared" si="34"/>
        <v>399.53300632021399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11.2</v>
      </c>
      <c r="AI39" s="13">
        <f>IF('Données projet'!$A$62&gt;35,AI38+AH39-AQ38,IF(A39&lt;'Données projet'!$A$62,$AF$205^A39,IF(A39='Données projet'!$A$62,'Données projet'!$B$62,AI38+AH39-AQ38)))</f>
        <v>130.20000000000002</v>
      </c>
      <c r="AJ39" s="13">
        <f>AI39*VLOOKUP('Données projet'!$B$10,Paramètres!$A$1:$I$89,3,0)*VLOOKUP('Données projet'!$B$10,Paramètres!$A$1:$I$89,5,0)</f>
        <v>136.08504000000005</v>
      </c>
      <c r="AK39" s="13">
        <f t="shared" si="35"/>
        <v>35.398668068565364</v>
      </c>
      <c r="AL39" s="20">
        <f t="shared" si="4"/>
        <v>298.66745821941805</v>
      </c>
      <c r="AM39" s="59">
        <f t="shared" si="5"/>
        <v>543.17987646045253</v>
      </c>
      <c r="AN39" s="59">
        <f ca="1">AVERAGE(OFFSET($AM$3,0,0,'Données projet'!$E$10+1,1))-AVERAGE(OFFSET($H$3,0,0,'Données projet'!$E$10+1,1))</f>
        <v>552.26894123675538</v>
      </c>
      <c r="AO39" s="59">
        <f t="shared" si="36"/>
        <v>409.85604950107006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5.4</v>
      </c>
      <c r="BD39" s="12">
        <f>IF('Données projet'!$A$88&gt;35,BD38+BC39-BL38,IF(A39&lt;'Données projet'!$A$88,$BA$205^A39,IF(A39='Données projet'!$A$88,'Données projet'!$B$88,BD38+BC39-BL38)))</f>
        <v>71.399999999999991</v>
      </c>
      <c r="BE39" s="13">
        <f>BD39*VLOOKUP('Données projet'!$B$11,Paramètres!$A$1:$I$89,3,0)*VLOOKUP('Données projet'!$B$11,Paramètres!$A$1:$I$89,5,0)</f>
        <v>76.854959999999991</v>
      </c>
      <c r="BF39" s="13">
        <f t="shared" si="37"/>
        <v>21.366419773799993</v>
      </c>
      <c r="BG39" s="20">
        <f t="shared" si="7"/>
        <v>171.06890310603498</v>
      </c>
      <c r="BH39" s="59">
        <f t="shared" si="8"/>
        <v>415.58132134706943</v>
      </c>
      <c r="BI39" s="59">
        <f ca="1">AVERAGE(OFFSET($BH$3,0,0,'Données projet'!$E$11+1,1))-AVERAGE(OFFSET($H$3,0,0,'Données projet'!$E$11+1,1))</f>
        <v>361.24725625563468</v>
      </c>
      <c r="BJ39" s="59">
        <f t="shared" si="38"/>
        <v>186.0840067781198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8.4</v>
      </c>
      <c r="BY39" s="12">
        <f>IF('Données projet'!$A$114&gt;35,BY38+BX39-CG38,IF(A39&lt;'Données projet'!$A$114,$BV$205^A39,IF(A39='Données projet'!$A$114,'Données projet'!$B$114,BY38+BX39-CG38)))</f>
        <v>103.4</v>
      </c>
      <c r="BZ39" s="13">
        <f>BY39*VLOOKUP('Données projet'!$B$12,Paramètres!$A$1:$I$89,3,0)*VLOOKUP('Données projet'!$B$12,Paramètres!$A$1:$I$89,5,0)</f>
        <v>69.360720000000001</v>
      </c>
      <c r="CA39" s="13">
        <f t="shared" si="39"/>
        <v>19.514617146984691</v>
      </c>
      <c r="CB39" s="20">
        <f t="shared" si="10"/>
        <v>154.791212197665</v>
      </c>
      <c r="CC39" s="59">
        <f t="shared" si="11"/>
        <v>399.30363043869943</v>
      </c>
      <c r="CD39" s="59">
        <f ca="1">AVERAGE(OFFSET($CC$3,0,0,'Données projet'!$E$12+1,1))-AVERAGE(OFFSET($H$3,0,0,'Données projet'!$E$12+1,1))</f>
        <v>323.91378047319455</v>
      </c>
      <c r="CE39" s="59">
        <f t="shared" si="40"/>
        <v>212.89889176380288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21.354000000000003</v>
      </c>
      <c r="CT39" s="12">
        <f>IF('Données projet'!$A$140&gt;35,CT38+CS39-DB38,IF(A39&lt;'Données projet'!$A$140,$CQ$205^A39,IF(A39='Données projet'!$A$140,'Données projet'!$B$140,CT38+CS39-DB38)))</f>
        <v>315.76600000000008</v>
      </c>
      <c r="CU39" s="17">
        <f>CT39*VLOOKUP('Données projet'!$B$13,Paramètres!$A$1:$I$89,3,0)*VLOOKUP('Données projet'!$B$13,Paramètres!$A$1:$I$89,5,0)</f>
        <v>188.82806800000006</v>
      </c>
      <c r="CV39" s="13">
        <f t="shared" si="41"/>
        <v>47.280762100017121</v>
      </c>
      <c r="CW39" s="20">
        <f t="shared" si="13"/>
        <v>411.22287909086322</v>
      </c>
      <c r="CX39" s="59">
        <f t="shared" si="14"/>
        <v>655.73529733189764</v>
      </c>
      <c r="CY39" s="59">
        <f ca="1">AVERAGE(OFFSET($CX$3,0,0,'Données projet'!$E$13+1,1))-AVERAGE(OFFSET($H$3,0,0,'Données projet'!$E$13+1,1))</f>
        <v>356.07880667298025</v>
      </c>
      <c r="CZ39" s="59">
        <f t="shared" si="42"/>
        <v>396.05161661639659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6.6076347765460781</v>
      </c>
      <c r="DG39" s="21">
        <f>EXP(-LN(2)/25)*DG38+(1-EXP(-LN(2)/25))/(LN(2)/25)*Calculateur!DB39*Calculateur!DD39*VLOOKUP('Données projet'!$B$13,Paramètres!$A$1:$I$89,3,0)*0.475*44/12</f>
        <v>13.700240924689982</v>
      </c>
      <c r="DH39" s="21">
        <f>EXP(-LN(2)/2)*DH38+(1-EXP(-LN(2)/2))/(LN(2)/2)*DB39*DE39*VLOOKUP('Données projet'!$B$13,Paramètres!$A$1:$I$89,3,0)*0.475*44/12</f>
        <v>2.0146857730383609</v>
      </c>
      <c r="DI39" s="22">
        <f t="shared" si="15"/>
        <v>22.322561474274423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14</v>
      </c>
      <c r="DO39" s="12">
        <f>IF('Données projet'!$A$166&gt;35,DO38+DN39-DW38,IF(A39&lt;'Données projet'!$A$166,$DL$205^A39,IF(A39='Données projet'!$A$166,'Données projet'!$B$166,DO38+DN39-DW38)))</f>
        <v>244</v>
      </c>
      <c r="DP39" s="17">
        <f>DO39*VLOOKUP('Données projet'!$B$14,Paramètres!$A$1:$I$89,3,0)*VLOOKUP('Données projet'!$B$14,Paramètres!$A$1:$I$89,5,0)</f>
        <v>114.19200000000001</v>
      </c>
      <c r="DQ39" s="13">
        <f t="shared" si="43"/>
        <v>30.316492326242802</v>
      </c>
      <c r="DR39" s="20">
        <f t="shared" si="16"/>
        <v>251.68562413487288</v>
      </c>
      <c r="DS39" s="59">
        <f t="shared" si="17"/>
        <v>496.19804237590733</v>
      </c>
      <c r="DT39" s="59">
        <f ca="1">AVERAGE(OFFSET($DS$3,0,0,'Données projet'!$E$14+1,1))-AVERAGE(OFFSET($H$3,0,0,'Données projet'!$E$14+1,1))</f>
        <v>246.11623544660486</v>
      </c>
      <c r="DU39" s="59">
        <f t="shared" si="44"/>
        <v>273.18950868898253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3.0320178720625535</v>
      </c>
      <c r="EB39" s="21">
        <f>EXP(-LN(2)/25)*EB38+(1-EXP(-LN(2)/25))/(LN(2)/25)*Calculateur!DW39*Calculateur!DY39*VLOOKUP('Données projet'!$B$14,Paramètres!$A$1:$I$89,3,0)*0.475*44/12</f>
        <v>11.368672693564305</v>
      </c>
      <c r="EC39" s="21">
        <f>EXP(-LN(2)/2)*EC38+(1-EXP(-LN(2)/2))/(LN(2)/2)*DW39*DZ39*VLOOKUP('Données projet'!$B$14,Paramètres!$A$1:$I$89,3,0)*0.475*44/12</f>
        <v>1.1955523887656339</v>
      </c>
      <c r="ED39" s="22">
        <f t="shared" si="18"/>
        <v>15.596242954392492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5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67">
        <f t="shared" si="1"/>
        <v>183.33333333333334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11.2</v>
      </c>
      <c r="N40" s="13">
        <f>IF('Données projet'!$A$36&gt;35,N39+M40-V39,IF(A40&lt;'Données projet'!$A$36,$K$205^A40,IF(A40='Données projet'!$A$36,'Données projet'!$B$36,N39+M40-V39)))</f>
        <v>141.4</v>
      </c>
      <c r="O40" s="13">
        <f>N40*VLOOKUP('Données projet'!$B$9,Paramètres!$A$1:$I$89,3,0)*VLOOKUP('Données projet'!$B$9,Paramètres!$A$1:$I$89,5,0)</f>
        <v>143.37960000000001</v>
      </c>
      <c r="P40" s="13">
        <f t="shared" si="33"/>
        <v>37.070146308317469</v>
      </c>
      <c r="Q40" s="20">
        <f t="shared" si="53"/>
        <v>314.28330815365297</v>
      </c>
      <c r="R40" s="59">
        <f t="shared" si="0"/>
        <v>559.64266012432404</v>
      </c>
      <c r="S40" s="59">
        <f ca="1">AVERAGE(OFFSET($R$3,0,0,'Données projet'!$E$9+1,1))-AVERAGE(OFFSET($H$3,0,0,'Données projet'!$E$9+1,1))</f>
        <v>538.10210778862256</v>
      </c>
      <c r="T40" s="59">
        <f t="shared" si="34"/>
        <v>399.53300632021399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11.2</v>
      </c>
      <c r="AI40" s="13">
        <f>IF('Données projet'!$A$62&gt;35,AI39+AH40-AQ39,IF(A40&lt;'Données projet'!$A$62,$AF$205^A40,IF(A40='Données projet'!$A$62,'Données projet'!$B$62,AI39+AH40-AQ39)))</f>
        <v>141.4</v>
      </c>
      <c r="AJ40" s="13">
        <f>AI40*VLOOKUP('Données projet'!$B$10,Paramètres!$A$1:$I$89,3,0)*VLOOKUP('Données projet'!$B$10,Paramètres!$A$1:$I$89,5,0)</f>
        <v>147.79128000000003</v>
      </c>
      <c r="AK40" s="13">
        <f t="shared" si="35"/>
        <v>38.076213545724045</v>
      </c>
      <c r="AL40" s="20">
        <f t="shared" si="4"/>
        <v>323.71921792546942</v>
      </c>
      <c r="AM40" s="59">
        <f t="shared" si="5"/>
        <v>569.07856989614049</v>
      </c>
      <c r="AN40" s="59">
        <f ca="1">AVERAGE(OFFSET($AM$3,0,0,'Données projet'!$E$10+1,1))-AVERAGE(OFFSET($H$3,0,0,'Données projet'!$E$10+1,1))</f>
        <v>552.26894123675538</v>
      </c>
      <c r="AO40" s="59">
        <f t="shared" si="36"/>
        <v>409.85604950107006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5.4</v>
      </c>
      <c r="BD40" s="12">
        <f>IF('Données projet'!$A$88&gt;35,BD39+BC40-BL39,IF(A40&lt;'Données projet'!$A$88,$BA$205^A40,IF(A40='Données projet'!$A$88,'Données projet'!$B$88,BD39+BC40-BL39)))</f>
        <v>76.8</v>
      </c>
      <c r="BE40" s="13">
        <f>BD40*VLOOKUP('Données projet'!$B$11,Paramètres!$A$1:$I$89,3,0)*VLOOKUP('Données projet'!$B$11,Paramètres!$A$1:$I$89,5,0)</f>
        <v>82.667519999999996</v>
      </c>
      <c r="BF40" s="13">
        <f t="shared" si="37"/>
        <v>22.788156353818806</v>
      </c>
      <c r="BG40" s="20">
        <f t="shared" si="7"/>
        <v>183.6686363162344</v>
      </c>
      <c r="BH40" s="59">
        <f t="shared" si="8"/>
        <v>429.0279882869055</v>
      </c>
      <c r="BI40" s="59">
        <f ca="1">AVERAGE(OFFSET($BH$3,0,0,'Données projet'!$E$11+1,1))-AVERAGE(OFFSET($H$3,0,0,'Données projet'!$E$11+1,1))</f>
        <v>361.24725625563468</v>
      </c>
      <c r="BJ40" s="59">
        <f t="shared" si="38"/>
        <v>186.0840067781198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8.4</v>
      </c>
      <c r="BY40" s="12">
        <f>IF('Données projet'!$A$114&gt;35,BY39+BX40-CG39,IF(A40&lt;'Données projet'!$A$114,$BV$205^A40,IF(A40='Données projet'!$A$114,'Données projet'!$B$114,BY39+BX40-CG39)))</f>
        <v>111.80000000000001</v>
      </c>
      <c r="BZ40" s="13">
        <f>BY40*VLOOKUP('Données projet'!$B$12,Paramètres!$A$1:$I$89,3,0)*VLOOKUP('Données projet'!$B$12,Paramètres!$A$1:$I$89,5,0)</f>
        <v>74.995440000000016</v>
      </c>
      <c r="CA40" s="13">
        <f t="shared" si="39"/>
        <v>20.908980854017098</v>
      </c>
      <c r="CB40" s="20">
        <f t="shared" si="10"/>
        <v>167.03353298741314</v>
      </c>
      <c r="CC40" s="59">
        <f t="shared" si="11"/>
        <v>412.39288495808421</v>
      </c>
      <c r="CD40" s="59">
        <f ca="1">AVERAGE(OFFSET($CC$3,0,0,'Données projet'!$E$12+1,1))-AVERAGE(OFFSET($H$3,0,0,'Données projet'!$E$12+1,1))</f>
        <v>323.91378047319455</v>
      </c>
      <c r="CE40" s="59">
        <f t="shared" si="40"/>
        <v>212.89889176380288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>
        <f>VLOOKUP(A40,'Données projet'!$A$139:$I$159,2,0)</f>
        <v>337.12</v>
      </c>
      <c r="CR40" s="12">
        <f>VLOOKUP(A40,'Données projet'!$A$139:$I$159,9,0)</f>
        <v>21.354000000000003</v>
      </c>
      <c r="CS40" s="12">
        <f t="array" ref="CS40">INDEX(CR:CR,MIN(IF(ISNUMBER(CR40:CR236),ROW(CR40:CR236),"")))</f>
        <v>21.354000000000003</v>
      </c>
      <c r="CT40" s="12">
        <f>IF('Données projet'!$A$140&gt;35,CT39+CS40-DB39,IF(A40&lt;'Données projet'!$A$140,$CQ$205^A40,IF(A40='Données projet'!$A$140,'Données projet'!$B$140,CT39+CS40-DB39)))</f>
        <v>337.12000000000006</v>
      </c>
      <c r="CU40" s="17">
        <f>CT40*VLOOKUP('Données projet'!$B$13,Paramètres!$A$1:$I$89,3,0)*VLOOKUP('Données projet'!$B$13,Paramètres!$A$1:$I$89,5,0)</f>
        <v>201.59776000000005</v>
      </c>
      <c r="CV40" s="13">
        <f t="shared" si="41"/>
        <v>50.095144235751</v>
      </c>
      <c r="CW40" s="20">
        <f t="shared" si="13"/>
        <v>438.36514154393308</v>
      </c>
      <c r="CX40" s="59">
        <f t="shared" si="14"/>
        <v>683.72449351460421</v>
      </c>
      <c r="CY40" s="59">
        <f ca="1">AVERAGE(OFFSET($CX$3,0,0,'Données projet'!$E$13+1,1))-AVERAGE(OFFSET($H$3,0,0,'Données projet'!$E$13+1,1))</f>
        <v>356.07880667298025</v>
      </c>
      <c r="CZ40" s="59">
        <f t="shared" si="42"/>
        <v>396.05161661639659</v>
      </c>
      <c r="DA40" s="15">
        <f>IF(ISNA(VLOOKUP(A40,'Données projet'!$A$139:$I$159,3,0)),0,VLOOKUP(A40,'Données projet'!$A$139:$I$159,3,0))</f>
        <v>6</v>
      </c>
      <c r="DB40" s="15">
        <f>IF(ISNA(VLOOKUP(A40,'Données projet'!$A$139:$I$159,4,0)),0,VLOOKUP(A40,'Données projet'!$A$139:$I$159,4,0))</f>
        <v>55</v>
      </c>
      <c r="DC40" s="16">
        <f>IF(ISNA(VLOOKUP(A40,'Données projet'!$A$139:$I$159,5,0)),0%,VLOOKUP(A40,'Données projet'!$A$139:$I$159,5,0)*VLOOKUP('Données projet'!$B$13,Paramètres!$A$1:$I$89,7,0))</f>
        <v>0.18000000000000002</v>
      </c>
      <c r="DD40" s="16">
        <f>IF(ISNA(VLOOKUP(A40,'Données projet'!$A$139:$I$159,6,0)),0%,VLOOKUP(A40,'Données projet'!$A$139:$I$159,6,0)*VLOOKUP('Données projet'!$B$13,Paramètres!$A$1:$I$89,7,0))</f>
        <v>0.15300000000000002</v>
      </c>
      <c r="DE40" s="16">
        <f>IF(ISNA(VLOOKUP(A40,'Données projet'!$A$139:$I$159,7,0)),0%,VLOOKUP(A40,'Données projet'!$A$139:$I$159,7,0))</f>
        <v>0.26</v>
      </c>
      <c r="DF40" s="21">
        <f>EXP(-LN(2)/35)*DF39+(1-EXP(-LN(2)/35))/(LN(2)/35)*DB40*DC40*VLOOKUP('Données projet'!$B$13,Paramètres!$A$1:$I$89,3,0)*0.475*44/12</f>
        <v>14.331589977930435</v>
      </c>
      <c r="DG40" s="21">
        <f>EXP(-LN(2)/25)*DG39+(1-EXP(-LN(2)/25))/(LN(2)/25)*Calculateur!DB40*Calculateur!DD40*VLOOKUP('Données projet'!$B$13,Paramètres!$A$1:$I$89,3,0)*0.475*44/12</f>
        <v>19.974820993247068</v>
      </c>
      <c r="DH40" s="21">
        <f>EXP(-LN(2)/2)*DH39+(1-EXP(-LN(2)/2))/(LN(2)/2)*DB40*DE40*VLOOKUP('Données projet'!$B$13,Paramètres!$A$1:$I$89,3,0)*0.475*44/12</f>
        <v>11.106769241143308</v>
      </c>
      <c r="DI40" s="22">
        <f t="shared" si="15"/>
        <v>45.41318021232081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14</v>
      </c>
      <c r="DO40" s="12">
        <f>IF('Données projet'!$A$166&gt;35,DO39+DN40-DW39,IF(A40&lt;'Données projet'!$A$166,$DL$205^A40,IF(A40='Données projet'!$A$166,'Données projet'!$B$166,DO39+DN40-DW39)))</f>
        <v>258</v>
      </c>
      <c r="DP40" s="17">
        <f>DO40*VLOOKUP('Données projet'!$B$14,Paramètres!$A$1:$I$89,3,0)*VLOOKUP('Données projet'!$B$14,Paramètres!$A$1:$I$89,5,0)</f>
        <v>120.744</v>
      </c>
      <c r="DQ40" s="13">
        <f t="shared" si="43"/>
        <v>31.848462605207807</v>
      </c>
      <c r="DR40" s="20">
        <f t="shared" si="16"/>
        <v>265.76520570407024</v>
      </c>
      <c r="DS40" s="59">
        <f t="shared" si="17"/>
        <v>511.12455767474137</v>
      </c>
      <c r="DT40" s="59">
        <f ca="1">AVERAGE(OFFSET($DS$3,0,0,'Données projet'!$E$14+1,1))-AVERAGE(OFFSET($H$3,0,0,'Données projet'!$E$14+1,1))</f>
        <v>246.11623544660486</v>
      </c>
      <c r="DU40" s="59">
        <f t="shared" si="44"/>
        <v>273.18950868898253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2.9725618509397007</v>
      </c>
      <c r="EB40" s="21">
        <f>EXP(-LN(2)/25)*EB39+(1-EXP(-LN(2)/25))/(LN(2)/25)*Calculateur!DW40*Calculateur!DY40*VLOOKUP('Données projet'!$B$14,Paramètres!$A$1:$I$89,3,0)*0.475*44/12</f>
        <v>11.057795740906275</v>
      </c>
      <c r="EC40" s="21">
        <f>EXP(-LN(2)/2)*EC39+(1-EXP(-LN(2)/2))/(LN(2)/2)*DW40*DZ40*VLOOKUP('Données projet'!$B$14,Paramètres!$A$1:$I$89,3,0)*0.475*44/12</f>
        <v>0.84538320135995526</v>
      </c>
      <c r="ED40" s="22">
        <f t="shared" si="18"/>
        <v>14.875740793205932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5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67">
        <f t="shared" si="1"/>
        <v>183.33333333333334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11.2</v>
      </c>
      <c r="N41" s="13">
        <f>IF('Données projet'!$A$36&gt;35,N40+M41-V40,IF(A41&lt;'Données projet'!$A$36,$K$205^A41,IF(A41='Données projet'!$A$36,'Données projet'!$B$36,N40+M41-V40)))</f>
        <v>152.6</v>
      </c>
      <c r="O41" s="13">
        <f>N41*VLOOKUP('Données projet'!$B$9,Paramètres!$A$1:$I$89,3,0)*VLOOKUP('Données projet'!$B$9,Paramètres!$A$1:$I$89,5,0)</f>
        <v>154.7364</v>
      </c>
      <c r="P41" s="13">
        <f t="shared" si="33"/>
        <v>39.652994320183701</v>
      </c>
      <c r="Q41" s="20">
        <f t="shared" si="53"/>
        <v>338.56152844098659</v>
      </c>
      <c r="R41" s="59">
        <f t="shared" si="0"/>
        <v>584.75312173454529</v>
      </c>
      <c r="S41" s="59">
        <f ca="1">AVERAGE(OFFSET($R$3,0,0,'Données projet'!$E$9+1,1))-AVERAGE(OFFSET($H$3,0,0,'Données projet'!$E$9+1,1))</f>
        <v>538.10210778862256</v>
      </c>
      <c r="T41" s="59">
        <f t="shared" si="34"/>
        <v>399.53300632021399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11.2</v>
      </c>
      <c r="AI41" s="13">
        <f>IF('Données projet'!$A$62&gt;35,AI40+AH41-AQ40,IF(A41&lt;'Données projet'!$A$62,$AF$205^A41,IF(A41='Données projet'!$A$62,'Données projet'!$B$62,AI40+AH41-AQ40)))</f>
        <v>152.6</v>
      </c>
      <c r="AJ41" s="13">
        <f>AI41*VLOOKUP('Données projet'!$B$10,Paramètres!$A$1:$I$89,3,0)*VLOOKUP('Données projet'!$B$10,Paramètres!$A$1:$I$89,5,0)</f>
        <v>159.49752000000001</v>
      </c>
      <c r="AK41" s="13">
        <f t="shared" si="35"/>
        <v>40.729158900674037</v>
      </c>
      <c r="AL41" s="20">
        <f t="shared" si="4"/>
        <v>348.72813241867397</v>
      </c>
      <c r="AM41" s="59">
        <f t="shared" si="5"/>
        <v>594.91972571223266</v>
      </c>
      <c r="AN41" s="59">
        <f ca="1">AVERAGE(OFFSET($AM$3,0,0,'Données projet'!$E$10+1,1))-AVERAGE(OFFSET($H$3,0,0,'Données projet'!$E$10+1,1))</f>
        <v>552.26894123675538</v>
      </c>
      <c r="AO41" s="59">
        <f t="shared" si="36"/>
        <v>409.85604950107006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5.4</v>
      </c>
      <c r="BD41" s="12">
        <f>IF('Données projet'!$A$88&gt;35,BD40+BC41-BL40,IF(A41&lt;'Données projet'!$A$88,$BA$205^A41,IF(A41='Données projet'!$A$88,'Données projet'!$B$88,BD40+BC41-BL40)))</f>
        <v>82.2</v>
      </c>
      <c r="BE41" s="13">
        <f>BD41*VLOOKUP('Données projet'!$B$11,Paramètres!$A$1:$I$89,3,0)*VLOOKUP('Données projet'!$B$11,Paramètres!$A$1:$I$89,5,0)</f>
        <v>88.480080000000001</v>
      </c>
      <c r="BF41" s="13">
        <f t="shared" si="37"/>
        <v>24.1982943117189</v>
      </c>
      <c r="BG41" s="20">
        <f t="shared" si="7"/>
        <v>196.24816859291039</v>
      </c>
      <c r="BH41" s="59">
        <f t="shared" si="8"/>
        <v>442.43976188646911</v>
      </c>
      <c r="BI41" s="59">
        <f ca="1">AVERAGE(OFFSET($BH$3,0,0,'Données projet'!$E$11+1,1))-AVERAGE(OFFSET($H$3,0,0,'Données projet'!$E$11+1,1))</f>
        <v>361.24725625563468</v>
      </c>
      <c r="BJ41" s="59">
        <f t="shared" si="38"/>
        <v>186.0840067781198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8.4</v>
      </c>
      <c r="BY41" s="12">
        <f>IF('Données projet'!$A$114&gt;35,BY40+BX41-CG40,IF(A41&lt;'Données projet'!$A$114,$BV$205^A41,IF(A41='Données projet'!$A$114,'Données projet'!$B$114,BY40+BX41-CG40)))</f>
        <v>120.20000000000002</v>
      </c>
      <c r="BZ41" s="13">
        <f>BY41*VLOOKUP('Données projet'!$B$12,Paramètres!$A$1:$I$89,3,0)*VLOOKUP('Données projet'!$B$12,Paramètres!$A$1:$I$89,5,0)</f>
        <v>80.630160000000018</v>
      </c>
      <c r="CA41" s="13">
        <f t="shared" si="39"/>
        <v>22.291191095412266</v>
      </c>
      <c r="CB41" s="20">
        <f t="shared" si="10"/>
        <v>179.25468649117639</v>
      </c>
      <c r="CC41" s="59">
        <f t="shared" si="11"/>
        <v>425.44627978473511</v>
      </c>
      <c r="CD41" s="59">
        <f ca="1">AVERAGE(OFFSET($CC$3,0,0,'Données projet'!$E$12+1,1))-AVERAGE(OFFSET($H$3,0,0,'Données projet'!$E$12+1,1))</f>
        <v>323.91378047319455</v>
      </c>
      <c r="CE41" s="59">
        <f t="shared" si="40"/>
        <v>212.89889176380288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20.269999999999996</v>
      </c>
      <c r="CT41" s="12">
        <f>IF('Données projet'!$A$140&gt;35,CT40+CS41-DB40,IF(A41&lt;'Données projet'!$A$140,$CQ$205^A41,IF(A41='Données projet'!$A$140,'Données projet'!$B$140,CT40+CS41-DB40)))</f>
        <v>302.39000000000004</v>
      </c>
      <c r="CU41" s="17">
        <f>CT41*VLOOKUP('Données projet'!$B$13,Paramètres!$A$1:$I$89,3,0)*VLOOKUP('Données projet'!$B$13,Paramètres!$A$1:$I$89,5,0)</f>
        <v>180.82922000000005</v>
      </c>
      <c r="CV41" s="13">
        <f t="shared" si="41"/>
        <v>45.506622960271066</v>
      </c>
      <c r="CW41" s="20">
        <f t="shared" si="13"/>
        <v>394.20159315580548</v>
      </c>
      <c r="CX41" s="59">
        <f t="shared" si="14"/>
        <v>640.39318644936418</v>
      </c>
      <c r="CY41" s="59">
        <f ca="1">AVERAGE(OFFSET($CX$3,0,0,'Données projet'!$E$13+1,1))-AVERAGE(OFFSET($H$3,0,0,'Données projet'!$E$13+1,1))</f>
        <v>356.07880667298025</v>
      </c>
      <c r="CZ41" s="59">
        <f t="shared" si="42"/>
        <v>396.05161661639659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14.050556239869962</v>
      </c>
      <c r="DG41" s="21">
        <f>EXP(-LN(2)/25)*DG40+(1-EXP(-LN(2)/25))/(LN(2)/25)*Calculateur!DB41*Calculateur!DD41*VLOOKUP('Données projet'!$B$13,Paramètres!$A$1:$I$89,3,0)*0.475*44/12</f>
        <v>19.428608462756543</v>
      </c>
      <c r="DH41" s="21">
        <f>EXP(-LN(2)/2)*DH40+(1-EXP(-LN(2)/2))/(LN(2)/2)*DB41*DE41*VLOOKUP('Données projet'!$B$13,Paramètres!$A$1:$I$89,3,0)*0.475*44/12</f>
        <v>7.8536718474865976</v>
      </c>
      <c r="DI41" s="22">
        <f t="shared" si="15"/>
        <v>41.3328365501131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14</v>
      </c>
      <c r="DO41" s="12">
        <f>IF('Données projet'!$A$166&gt;35,DO40+DN41-DW40,IF(A41&lt;'Données projet'!$A$166,$DL$205^A41,IF(A41='Données projet'!$A$166,'Données projet'!$B$166,DO40+DN41-DW40)))</f>
        <v>272</v>
      </c>
      <c r="DP41" s="17">
        <f>DO41*VLOOKUP('Données projet'!$B$14,Paramètres!$A$1:$I$89,3,0)*VLOOKUP('Données projet'!$B$14,Paramètres!$A$1:$I$89,5,0)</f>
        <v>127.29600000000001</v>
      </c>
      <c r="DQ41" s="13">
        <f t="shared" si="43"/>
        <v>33.370782027774453</v>
      </c>
      <c r="DR41" s="20">
        <f t="shared" si="16"/>
        <v>279.82797869837384</v>
      </c>
      <c r="DS41" s="59">
        <f t="shared" si="17"/>
        <v>526.01957199193259</v>
      </c>
      <c r="DT41" s="59">
        <f ca="1">AVERAGE(OFFSET($DS$3,0,0,'Données projet'!$E$14+1,1))-AVERAGE(OFFSET($H$3,0,0,'Données projet'!$E$14+1,1))</f>
        <v>246.11623544660486</v>
      </c>
      <c r="DU41" s="59">
        <f t="shared" si="44"/>
        <v>273.18950868898253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2.9142717261264752</v>
      </c>
      <c r="EB41" s="21">
        <f>EXP(-LN(2)/25)*EB40+(1-EXP(-LN(2)/25))/(LN(2)/25)*Calculateur!DW41*Calculateur!DY41*VLOOKUP('Données projet'!$B$14,Paramètres!$A$1:$I$89,3,0)*0.475*44/12</f>
        <v>10.755419734866988</v>
      </c>
      <c r="EC41" s="21">
        <f>EXP(-LN(2)/2)*EC40+(1-EXP(-LN(2)/2))/(LN(2)/2)*DW41*DZ41*VLOOKUP('Données projet'!$B$14,Paramètres!$A$1:$I$89,3,0)*0.475*44/12</f>
        <v>0.59777619438281693</v>
      </c>
      <c r="ED41" s="22">
        <f t="shared" si="18"/>
        <v>14.267467655376281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5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67">
        <f t="shared" si="1"/>
        <v>183.33333333333334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11.2</v>
      </c>
      <c r="N42" s="13">
        <f>IF('Données projet'!$A$36&gt;35,N41+M42-V41,IF(A42&lt;'Données projet'!$A$36,$K$205^A42,IF(A42='Données projet'!$A$36,'Données projet'!$B$36,N41+M42-V41)))</f>
        <v>163.79999999999998</v>
      </c>
      <c r="O42" s="13">
        <f>N42*VLOOKUP('Données projet'!$B$9,Paramètres!$A$1:$I$89,3,0)*VLOOKUP('Données projet'!$B$9,Paramètres!$A$1:$I$89,5,0)</f>
        <v>166.0932</v>
      </c>
      <c r="P42" s="13">
        <f t="shared" si="33"/>
        <v>42.213849908165905</v>
      </c>
      <c r="Q42" s="20">
        <f t="shared" si="53"/>
        <v>362.80144525672222</v>
      </c>
      <c r="R42" s="59">
        <f t="shared" si="0"/>
        <v>609.8108423468293</v>
      </c>
      <c r="S42" s="59">
        <f ca="1">AVERAGE(OFFSET($R$3,0,0,'Données projet'!$E$9+1,1))-AVERAGE(OFFSET($H$3,0,0,'Données projet'!$E$9+1,1))</f>
        <v>538.10210778862256</v>
      </c>
      <c r="T42" s="59">
        <f t="shared" si="34"/>
        <v>399.53300632021399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11.2</v>
      </c>
      <c r="AI42" s="13">
        <f>IF('Données projet'!$A$62&gt;35,AI41+AH42-AQ41,IF(A42&lt;'Données projet'!$A$62,$AF$205^A42,IF(A42='Données projet'!$A$62,'Données projet'!$B$62,AI41+AH42-AQ41)))</f>
        <v>163.79999999999998</v>
      </c>
      <c r="AJ42" s="13">
        <f>AI42*VLOOKUP('Données projet'!$B$10,Paramètres!$A$1:$I$89,3,0)*VLOOKUP('Données projet'!$B$10,Paramètres!$A$1:$I$89,5,0)</f>
        <v>171.20375999999999</v>
      </c>
      <c r="AK42" s="13">
        <f t="shared" si="35"/>
        <v>43.359514967164522</v>
      </c>
      <c r="AL42" s="20">
        <f t="shared" si="4"/>
        <v>373.69770390114485</v>
      </c>
      <c r="AM42" s="59">
        <f t="shared" si="5"/>
        <v>620.70710099125199</v>
      </c>
      <c r="AN42" s="59">
        <f ca="1">AVERAGE(OFFSET($AM$3,0,0,'Données projet'!$E$10+1,1))-AVERAGE(OFFSET($H$3,0,0,'Données projet'!$E$10+1,1))</f>
        <v>552.26894123675538</v>
      </c>
      <c r="AO42" s="59">
        <f t="shared" si="36"/>
        <v>409.85604950107006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5.4</v>
      </c>
      <c r="BD42" s="12">
        <f>IF('Données projet'!$A$88&gt;35,BD41+BC42-BL41,IF(A42&lt;'Données projet'!$A$88,$BA$205^A42,IF(A42='Données projet'!$A$88,'Données projet'!$B$88,BD41+BC42-BL41)))</f>
        <v>87.600000000000009</v>
      </c>
      <c r="BE42" s="13">
        <f>BD42*VLOOKUP('Données projet'!$B$11,Paramètres!$A$1:$I$89,3,0)*VLOOKUP('Données projet'!$B$11,Paramètres!$A$1:$I$89,5,0)</f>
        <v>94.292640000000006</v>
      </c>
      <c r="BF42" s="13">
        <f t="shared" si="37"/>
        <v>25.597682308724192</v>
      </c>
      <c r="BG42" s="20">
        <f t="shared" si="7"/>
        <v>208.80897802102797</v>
      </c>
      <c r="BH42" s="59">
        <f t="shared" si="8"/>
        <v>455.81837511113508</v>
      </c>
      <c r="BI42" s="59">
        <f ca="1">AVERAGE(OFFSET($BH$3,0,0,'Données projet'!$E$11+1,1))-AVERAGE(OFFSET($H$3,0,0,'Données projet'!$E$11+1,1))</f>
        <v>361.24725625563468</v>
      </c>
      <c r="BJ42" s="59">
        <f t="shared" si="38"/>
        <v>186.0840067781198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8.4</v>
      </c>
      <c r="BY42" s="12">
        <f>IF('Données projet'!$A$114&gt;35,BY41+BX42-CG41,IF(A42&lt;'Données projet'!$A$114,$BV$205^A42,IF(A42='Données projet'!$A$114,'Données projet'!$B$114,BY41+BX42-CG41)))</f>
        <v>128.60000000000002</v>
      </c>
      <c r="BZ42" s="13">
        <f>BY42*VLOOKUP('Données projet'!$B$12,Paramètres!$A$1:$I$89,3,0)*VLOOKUP('Données projet'!$B$12,Paramètres!$A$1:$I$89,5,0)</f>
        <v>86.264880000000019</v>
      </c>
      <c r="CA42" s="13">
        <f t="shared" si="39"/>
        <v>23.662193807539584</v>
      </c>
      <c r="CB42" s="20">
        <f t="shared" si="10"/>
        <v>191.45632021479813</v>
      </c>
      <c r="CC42" s="59">
        <f t="shared" si="11"/>
        <v>438.46571730490524</v>
      </c>
      <c r="CD42" s="59">
        <f ca="1">AVERAGE(OFFSET($CC$3,0,0,'Données projet'!$E$12+1,1))-AVERAGE(OFFSET($H$3,0,0,'Données projet'!$E$12+1,1))</f>
        <v>323.91378047319455</v>
      </c>
      <c r="CE42" s="59">
        <f t="shared" si="40"/>
        <v>212.89889176380288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20.269999999999996</v>
      </c>
      <c r="CT42" s="12">
        <f>IF('Données projet'!$A$140&gt;35,CT41+CS42-DB41,IF(A42&lt;'Données projet'!$A$140,$CQ$205^A42,IF(A42='Données projet'!$A$140,'Données projet'!$B$140,CT41+CS42-DB41)))</f>
        <v>322.66000000000003</v>
      </c>
      <c r="CU42" s="17">
        <f>CT42*VLOOKUP('Données projet'!$B$13,Paramètres!$A$1:$I$89,3,0)*VLOOKUP('Données projet'!$B$13,Paramètres!$A$1:$I$89,5,0)</f>
        <v>192.95068000000003</v>
      </c>
      <c r="CV42" s="13">
        <f t="shared" si="41"/>
        <v>48.191720061592335</v>
      </c>
      <c r="CW42" s="20">
        <f t="shared" si="13"/>
        <v>419.98968010727327</v>
      </c>
      <c r="CX42" s="59">
        <f t="shared" si="14"/>
        <v>666.99907719738042</v>
      </c>
      <c r="CY42" s="59">
        <f ca="1">AVERAGE(OFFSET($CX$3,0,0,'Données projet'!$E$13+1,1))-AVERAGE(OFFSET($H$3,0,0,'Données projet'!$E$13+1,1))</f>
        <v>356.07880667298025</v>
      </c>
      <c r="CZ42" s="59">
        <f t="shared" si="42"/>
        <v>396.05161661639659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13.775033401999202</v>
      </c>
      <c r="DG42" s="21">
        <f>EXP(-LN(2)/25)*DG41+(1-EXP(-LN(2)/25))/(LN(2)/25)*Calculateur!DB42*Calculateur!DD42*VLOOKUP('Données projet'!$B$13,Paramètres!$A$1:$I$89,3,0)*0.475*44/12</f>
        <v>18.897332142636351</v>
      </c>
      <c r="DH42" s="21">
        <f>EXP(-LN(2)/2)*DH41+(1-EXP(-LN(2)/2))/(LN(2)/2)*DB42*DE42*VLOOKUP('Données projet'!$B$13,Paramètres!$A$1:$I$89,3,0)*0.475*44/12</f>
        <v>5.5533846205716548</v>
      </c>
      <c r="DI42" s="22">
        <f t="shared" si="15"/>
        <v>38.225750165207209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14</v>
      </c>
      <c r="DO42" s="12">
        <f>IF('Données projet'!$A$166&gt;35,DO41+DN42-DW41,IF(A42&lt;'Données projet'!$A$166,$DL$205^A42,IF(A42='Données projet'!$A$166,'Données projet'!$B$166,DO41+DN42-DW41)))</f>
        <v>286</v>
      </c>
      <c r="DP42" s="17">
        <f>DO42*VLOOKUP('Données projet'!$B$14,Paramètres!$A$1:$I$89,3,0)*VLOOKUP('Données projet'!$B$14,Paramètres!$A$1:$I$89,5,0)</f>
        <v>133.84799999999998</v>
      </c>
      <c r="DQ42" s="13">
        <f t="shared" si="43"/>
        <v>34.884003992121656</v>
      </c>
      <c r="DR42" s="20">
        <f t="shared" si="16"/>
        <v>293.8749069529452</v>
      </c>
      <c r="DS42" s="59">
        <f t="shared" si="17"/>
        <v>540.88430404305234</v>
      </c>
      <c r="DT42" s="59">
        <f ca="1">AVERAGE(OFFSET($DS$3,0,0,'Données projet'!$E$14+1,1))-AVERAGE(OFFSET($H$3,0,0,'Données projet'!$E$14+1,1))</f>
        <v>246.11623544660486</v>
      </c>
      <c r="DU42" s="59">
        <f t="shared" si="44"/>
        <v>273.18950868898253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2.8571246351073714</v>
      </c>
      <c r="EB42" s="21">
        <f>EXP(-LN(2)/25)*EB41+(1-EXP(-LN(2)/25))/(LN(2)/25)*Calculateur!DW42*Calculateur!DY42*VLOOKUP('Données projet'!$B$14,Paramètres!$A$1:$I$89,3,0)*0.475*44/12</f>
        <v>10.461312216614109</v>
      </c>
      <c r="EC42" s="21">
        <f>EXP(-LN(2)/2)*EC41+(1-EXP(-LN(2)/2))/(LN(2)/2)*DW42*DZ42*VLOOKUP('Données projet'!$B$14,Paramètres!$A$1:$I$89,3,0)*0.475*44/12</f>
        <v>0.42269160067997763</v>
      </c>
      <c r="ED42" s="22">
        <f t="shared" si="18"/>
        <v>13.741128452401458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5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67">
        <f t="shared" si="1"/>
        <v>183.33333333333334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175</v>
      </c>
      <c r="L43" s="12">
        <f>VLOOKUP(A43,'Données projet'!$A$35:$I$55,9,0)</f>
        <v>11.2</v>
      </c>
      <c r="M43" s="12">
        <f t="array" ref="M43">INDEX(L:L,MIN(IF(ISNUMBER(L43:L239),ROW(L43:L239),"")))</f>
        <v>11.2</v>
      </c>
      <c r="N43" s="13">
        <f>IF('Données projet'!$A$36&gt;35,N42+M43-V42,IF(A43&lt;'Données projet'!$A$36,$K$205^A43,IF(A43='Données projet'!$A$36,'Données projet'!$B$36,N42+M43-V42)))</f>
        <v>174.99999999999997</v>
      </c>
      <c r="O43" s="13">
        <f>N43*VLOOKUP('Données projet'!$B$9,Paramètres!$A$1:$I$89,3,0)*VLOOKUP('Données projet'!$B$9,Paramètres!$A$1:$I$89,5,0)</f>
        <v>177.45</v>
      </c>
      <c r="P43" s="13">
        <f t="shared" si="33"/>
        <v>44.754387900936791</v>
      </c>
      <c r="Q43" s="20">
        <f t="shared" si="53"/>
        <v>387.00597559413154</v>
      </c>
      <c r="R43" s="59">
        <f t="shared" si="0"/>
        <v>634.81898941325232</v>
      </c>
      <c r="S43" s="59">
        <f ca="1">AVERAGE(OFFSET($R$3,0,0,'Données projet'!$E$9+1,1))-AVERAGE(OFFSET($H$3,0,0,'Données projet'!$E$9+1,1))</f>
        <v>538.10210778862256</v>
      </c>
      <c r="T43" s="59">
        <f t="shared" si="34"/>
        <v>399.53300632021399</v>
      </c>
      <c r="U43" s="15">
        <f>IF(ISNA(VLOOKUP(A43,'Données projet'!$A$35:$I$55,3,0)),0,VLOOKUP(A43,'Données projet'!$A$35:$I$55,3,0))</f>
        <v>5</v>
      </c>
      <c r="V43" s="15">
        <f>IF(ISNA(VLOOKUP(A43,'Données projet'!$A$35:$I$55,4,0)),0,VLOOKUP(A43,'Données projet'!$A$35:$I$55,4,0))</f>
        <v>28</v>
      </c>
      <c r="W43" s="16">
        <f>IF(ISNA(VLOOKUP(A43,'Données projet'!$A$35:$I$55,5,0)),0%,VLOOKUP(A43,'Données projet'!$A$35:$I$55,5,0)*VLOOKUP('Données projet'!$B$9,Paramètres!$A$1:$I$89,7,0))</f>
        <v>8.6000000000000007E-2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2.6992402913501592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2.6992402913501592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175</v>
      </c>
      <c r="AG43" s="12">
        <f>VLOOKUP(A43,'Données projet'!$A$61:$I$81,9,0)</f>
        <v>11.2</v>
      </c>
      <c r="AH43" s="12">
        <f t="array" ref="AH43">INDEX(AG:AG,MIN(IF(ISNUMBER(AG43:AG239),ROW(AG43:AG239),"")))</f>
        <v>11.2</v>
      </c>
      <c r="AI43" s="13">
        <f>IF('Données projet'!$A$62&gt;35,AI42+AH43-AQ42,IF(A43&lt;'Données projet'!$A$62,$AF$205^A43,IF(A43='Données projet'!$A$62,'Données projet'!$B$62,AI42+AH43-AQ42)))</f>
        <v>174.99999999999997</v>
      </c>
      <c r="AJ43" s="13">
        <f>AI43*VLOOKUP('Données projet'!$B$10,Paramètres!$A$1:$I$89,3,0)*VLOOKUP('Données projet'!$B$10,Paramètres!$A$1:$I$89,5,0)</f>
        <v>182.91</v>
      </c>
      <c r="AK43" s="13">
        <f t="shared" si="35"/>
        <v>45.969002027971285</v>
      </c>
      <c r="AL43" s="20">
        <f t="shared" si="4"/>
        <v>398.63092853204995</v>
      </c>
      <c r="AM43" s="59">
        <f t="shared" si="5"/>
        <v>646.44394235117079</v>
      </c>
      <c r="AN43" s="59">
        <f ca="1">AVERAGE(OFFSET($AM$3,0,0,'Données projet'!$E$10+1,1))-AVERAGE(OFFSET($H$3,0,0,'Données projet'!$E$10+1,1))</f>
        <v>552.26894123675538</v>
      </c>
      <c r="AO43" s="59">
        <f t="shared" si="36"/>
        <v>409.85604950107006</v>
      </c>
      <c r="AP43" s="15">
        <f>IF(ISNA(VLOOKUP(A43,'Données projet'!$A$61:$I$81,3,0)),0,VLOOKUP(A43,'Données projet'!$A$61:$I$81,3,0))</f>
        <v>5</v>
      </c>
      <c r="AQ43" s="15">
        <f>IF(ISNA(VLOOKUP(A43,'Données projet'!$A$61:$I$81,4,0)),0,VLOOKUP(A43,'Données projet'!$A$61:$I$81,4,0))</f>
        <v>28</v>
      </c>
      <c r="AR43" s="16">
        <f>IF(ISNA(VLOOKUP(A43,'Données projet'!$A$61:$I$81,5,0)),0%,VLOOKUP(A43,'Données projet'!$A$61:$I$81,5,0)*VLOOKUP('Données projet'!$B$10,Paramètres!$A$1:$I$89,7,0))</f>
        <v>8.6000000000000007E-2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2.7822938387763183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2.7822938387763183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93</v>
      </c>
      <c r="BB43" s="12">
        <f>VLOOKUP(A43,'Données projet'!$A$87:$I$107,9,0)</f>
        <v>5.4</v>
      </c>
      <c r="BC43" s="12">
        <f t="array" ref="BC43">INDEX(BB:BB,MIN(IF(ISNUMBER(BB43:BB239),ROW(BB43:BB239),"")))</f>
        <v>5.4</v>
      </c>
      <c r="BD43" s="12">
        <f>IF('Données projet'!$A$88&gt;35,BD42+BC43-BL42,IF(A43&lt;'Données projet'!$A$88,$BA$205^A43,IF(A43='Données projet'!$A$88,'Données projet'!$B$88,BD42+BC43-BL42)))</f>
        <v>93.000000000000014</v>
      </c>
      <c r="BE43" s="13">
        <f>BD43*VLOOKUP('Données projet'!$B$11,Paramètres!$A$1:$I$89,3,0)*VLOOKUP('Données projet'!$B$11,Paramètres!$A$1:$I$89,5,0)</f>
        <v>100.10520000000001</v>
      </c>
      <c r="BF43" s="13">
        <f t="shared" si="37"/>
        <v>26.987058463795307</v>
      </c>
      <c r="BG43" s="20">
        <f t="shared" si="7"/>
        <v>221.35235015777684</v>
      </c>
      <c r="BH43" s="59">
        <f t="shared" si="8"/>
        <v>469.16536397689765</v>
      </c>
      <c r="BI43" s="59">
        <f ca="1">AVERAGE(OFFSET($BH$3,0,0,'Données projet'!$E$11+1,1))-AVERAGE(OFFSET($H$3,0,0,'Données projet'!$E$11+1,1))</f>
        <v>361.24725625563468</v>
      </c>
      <c r="BJ43" s="59">
        <f t="shared" si="38"/>
        <v>186.0840067781198</v>
      </c>
      <c r="BK43" s="15">
        <f>IF(ISNA(VLOOKUP(A43,'Données projet'!$A$87:$I$107,3,0)),0,VLOOKUP(A43,'Données projet'!$A$87:$I$107,3,0))</f>
        <v>4</v>
      </c>
      <c r="BL43" s="15">
        <f>IF(ISNA(VLOOKUP(A43,'Données projet'!$A$87:$I$107,4,0)),0,VLOOKUP(A43,'Données projet'!$A$87:$I$107,4,0))</f>
        <v>14</v>
      </c>
      <c r="BM43" s="16">
        <f>IF(ISNA(VLOOKUP(A43,'Données projet'!$A$87:$I$107,5,0)),0%,VLOOKUP(A43,'Données projet'!$A$87:$I$107,5,0)*VLOOKUP('Données projet'!$B$11,Paramètres!$A$1:$I$89,7,0))</f>
        <v>8.6000000000000007E-2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1.4326736931012383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1.4326736931012383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137</v>
      </c>
      <c r="BW43" s="12">
        <f>VLOOKUP(A43,'Données projet'!$A$113:$I$133,9,0)</f>
        <v>8.4</v>
      </c>
      <c r="BX43" s="12">
        <f t="array" ref="BX43">INDEX(BW:BW,MIN(IF(ISNUMBER(BW43:BW239),ROW(BW43:BW239),"")))</f>
        <v>8.4</v>
      </c>
      <c r="BY43" s="12">
        <f>IF('Données projet'!$A$114&gt;35,BY42+BX43-CG42,IF(A43&lt;'Données projet'!$A$114,$BV$205^A43,IF(A43='Données projet'!$A$114,'Données projet'!$B$114,BY42+BX43-CG42)))</f>
        <v>137.00000000000003</v>
      </c>
      <c r="BZ43" s="13">
        <f>BY43*VLOOKUP('Données projet'!$B$12,Paramètres!$A$1:$I$89,3,0)*VLOOKUP('Données projet'!$B$12,Paramètres!$A$1:$I$89,5,0)</f>
        <v>91.899600000000021</v>
      </c>
      <c r="CA43" s="13">
        <f t="shared" si="39"/>
        <v>25.022804363156492</v>
      </c>
      <c r="CB43" s="20">
        <f t="shared" si="10"/>
        <v>203.63985426583091</v>
      </c>
      <c r="CC43" s="59">
        <f t="shared" si="11"/>
        <v>451.45286808495172</v>
      </c>
      <c r="CD43" s="59">
        <f ca="1">AVERAGE(OFFSET($CC$3,0,0,'Données projet'!$E$12+1,1))-AVERAGE(OFFSET($H$3,0,0,'Données projet'!$E$12+1,1))</f>
        <v>323.91378047319455</v>
      </c>
      <c r="CE43" s="59">
        <f t="shared" si="40"/>
        <v>212.89889176380288</v>
      </c>
      <c r="CF43" s="15">
        <f>IF(ISNA(VLOOKUP(A43,'Données projet'!$A$113:$I$133,3,0)),0,VLOOKUP(A43,'Données projet'!$A$113:$I$133,3,0))</f>
        <v>5</v>
      </c>
      <c r="CG43" s="15">
        <f>IF(ISNA(VLOOKUP(A43,'Données projet'!$A$113:$I$133,4,0)),0,VLOOKUP(A43,'Données projet'!$A$113:$I$133,4,0))</f>
        <v>21</v>
      </c>
      <c r="CH43" s="16">
        <f>IF(ISNA(VLOOKUP(A43,'Données projet'!$A$113:$I$133,5,0)),0%,VLOOKUP(A43,'Données projet'!$A$113:$I$133,5,0)*VLOOKUP('Données projet'!$B$12,Paramètres!$A$1:$I$89,7,0))</f>
        <v>0.10600000000000001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1.6506892550949051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1.6506892550949051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20.269999999999996</v>
      </c>
      <c r="CT43" s="12">
        <f>IF('Données projet'!$A$140&gt;35,CT42+CS43-DB42,IF(A43&lt;'Données projet'!$A$140,$CQ$205^A43,IF(A43='Données projet'!$A$140,'Données projet'!$B$140,CT42+CS43-DB42)))</f>
        <v>342.93</v>
      </c>
      <c r="CU43" s="17">
        <f>CT43*VLOOKUP('Données projet'!$B$13,Paramètres!$A$1:$I$89,3,0)*VLOOKUP('Données projet'!$B$13,Paramètres!$A$1:$I$89,5,0)</f>
        <v>205.07214000000002</v>
      </c>
      <c r="CV43" s="13">
        <f t="shared" si="41"/>
        <v>50.857240608097577</v>
      </c>
      <c r="CW43" s="20">
        <f t="shared" si="13"/>
        <v>445.74367122576996</v>
      </c>
      <c r="CX43" s="59">
        <f t="shared" si="14"/>
        <v>693.55668504489074</v>
      </c>
      <c r="CY43" s="59">
        <f ca="1">AVERAGE(OFFSET($CX$3,0,0,'Données projet'!$E$13+1,1))-AVERAGE(OFFSET($H$3,0,0,'Données projet'!$E$13+1,1))</f>
        <v>356.07880667298025</v>
      </c>
      <c r="CZ43" s="59">
        <f t="shared" si="42"/>
        <v>396.05161661639659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13.504913398926751</v>
      </c>
      <c r="DG43" s="21">
        <f>EXP(-LN(2)/25)*DG42+(1-EXP(-LN(2)/25))/(LN(2)/25)*Calculateur!DB43*Calculateur!DD43*VLOOKUP('Données projet'!$B$13,Paramètres!$A$1:$I$89,3,0)*0.475*44/12</f>
        <v>18.380583601428452</v>
      </c>
      <c r="DH43" s="21">
        <f>EXP(-LN(2)/2)*DH42+(1-EXP(-LN(2)/2))/(LN(2)/2)*DB43*DE43*VLOOKUP('Données projet'!$B$13,Paramètres!$A$1:$I$89,3,0)*0.475*44/12</f>
        <v>3.9268359237432997</v>
      </c>
      <c r="DI43" s="22">
        <f t="shared" si="15"/>
        <v>35.812332924098499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300</v>
      </c>
      <c r="DM43" s="12">
        <f>VLOOKUP(A43,'Données projet'!$A$165:$I$185,9,0)</f>
        <v>14</v>
      </c>
      <c r="DN43" s="12">
        <f t="array" ref="DN43">INDEX(DM:DM,MIN(IF(ISNUMBER(DM43:DM239),ROW(DM43:DM239),"")))</f>
        <v>14</v>
      </c>
      <c r="DO43" s="12">
        <f>IF('Données projet'!$A$166&gt;35,DO42+DN43-DW42,IF(A43&lt;'Données projet'!$A$166,$DL$205^A43,IF(A43='Données projet'!$A$166,'Données projet'!$B$166,DO42+DN43-DW42)))</f>
        <v>300</v>
      </c>
      <c r="DP43" s="17">
        <f>DO43*VLOOKUP('Données projet'!$B$14,Paramètres!$A$1:$I$89,3,0)*VLOOKUP('Données projet'!$B$14,Paramètres!$A$1:$I$89,5,0)</f>
        <v>140.4</v>
      </c>
      <c r="DQ43" s="13">
        <f t="shared" si="43"/>
        <v>36.388624656711201</v>
      </c>
      <c r="DR43" s="20">
        <f t="shared" si="16"/>
        <v>307.90685461043864</v>
      </c>
      <c r="DS43" s="59">
        <f t="shared" si="17"/>
        <v>555.71986842955948</v>
      </c>
      <c r="DT43" s="59">
        <f ca="1">AVERAGE(OFFSET($DS$3,0,0,'Données projet'!$E$14+1,1))-AVERAGE(OFFSET($H$3,0,0,'Données projet'!$E$14+1,1))</f>
        <v>246.11623544660486</v>
      </c>
      <c r="DU43" s="59">
        <f t="shared" si="44"/>
        <v>273.18950868898253</v>
      </c>
      <c r="DV43" s="15">
        <f>IF(ISNA(VLOOKUP(A43,'Données projet'!$A$165:$I$185,3,0)),0,VLOOKUP(A43,'Données projet'!$A$165:$I$185,3,0))</f>
        <v>3</v>
      </c>
      <c r="DW43" s="15">
        <f>IF(ISNA(VLOOKUP(A43,'Données projet'!$A$165:$I$185,4,0)),0,VLOOKUP(A43,'Données projet'!$A$165:$I$185,4,0))</f>
        <v>50</v>
      </c>
      <c r="DX43" s="16">
        <f>IF(ISNA(VLOOKUP(A43,'Données projet'!$A$165:$I$185,5,0)),0%,VLOOKUP(A43,'Données projet'!$A$165:$I$185,5,0)*VLOOKUP('Données projet'!$B$14,Paramètres!$A$1:$I$89,7,0))</f>
        <v>0.22000000000000003</v>
      </c>
      <c r="DY43" s="16">
        <f>IF(ISNA(VLOOKUP(A43,'Données projet'!$A$165:$I$185,6,0)),0%,VLOOKUP(A43,'Données projet'!$A$165:$I$185,6,0)*VLOOKUP('Données projet'!$B$14,Paramètres!$A$1:$I$89,7,0))</f>
        <v>0.18700000000000003</v>
      </c>
      <c r="DZ43" s="16">
        <f>IF(ISNA(VLOOKUP(A43,'Données projet'!$A$165:$I$185,7,0)),0%,VLOOKUP(A43,'Données projet'!$A$165:$I$185,7,0))</f>
        <v>0.26</v>
      </c>
      <c r="EA43" s="21">
        <f>EXP(-LN(2)/35)*EA42+(1-EXP(-LN(2)/35))/(LN(2)/35)*DW43*DX43*VLOOKUP('Données projet'!$B$14,Paramètres!$A$1:$I$89,3,0)*0.475*44/12</f>
        <v>9.6302519802896231</v>
      </c>
      <c r="EB43" s="21">
        <f>EXP(-LN(2)/25)*EB42+(1-EXP(-LN(2)/25))/(LN(2)/25)*Calculateur!DW43*Calculateur!DY43*VLOOKUP('Données projet'!$B$14,Paramètres!$A$1:$I$89,3,0)*0.475*44/12</f>
        <v>15.957172194442201</v>
      </c>
      <c r="EC43" s="21">
        <f>EXP(-LN(2)/2)*EC42+(1-EXP(-LN(2)/2))/(LN(2)/2)*DW43*DZ43*VLOOKUP('Données projet'!$B$14,Paramètres!$A$1:$I$89,3,0)*0.475*44/12</f>
        <v>7.1873893953424259</v>
      </c>
      <c r="ED43" s="22">
        <f t="shared" si="18"/>
        <v>32.774813570074251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5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67">
        <f t="shared" si="1"/>
        <v>183.33333333333334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11.4</v>
      </c>
      <c r="N44" s="13">
        <f>IF('Données projet'!$A$36&gt;35,N43+M44-V43,IF(A44&lt;'Données projet'!$A$36,$K$205^A44,IF(A44='Données projet'!$A$36,'Données projet'!$B$36,N43+M44-V43)))</f>
        <v>158.39999999999998</v>
      </c>
      <c r="O44" s="13">
        <f>N44*VLOOKUP('Données projet'!$B$9,Paramètres!$A$1:$I$89,3,0)*VLOOKUP('Données projet'!$B$9,Paramètres!$A$1:$I$89,5,0)</f>
        <v>160.61759999999998</v>
      </c>
      <c r="P44" s="13">
        <f t="shared" si="33"/>
        <v>40.981785561145074</v>
      </c>
      <c r="Q44" s="20">
        <f t="shared" si="53"/>
        <v>351.11892985232765</v>
      </c>
      <c r="R44" s="59">
        <f t="shared" si="0"/>
        <v>599.7216194468316</v>
      </c>
      <c r="S44" s="59">
        <f ca="1">AVERAGE(OFFSET($R$3,0,0,'Données projet'!$E$9+1,1))-AVERAGE(OFFSET($H$3,0,0,'Données projet'!$E$9+1,1))</f>
        <v>538.10210778862256</v>
      </c>
      <c r="T44" s="59">
        <f t="shared" si="34"/>
        <v>399.53300632021399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2.6463098356107944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2.6463098356107944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11.4</v>
      </c>
      <c r="AI44" s="13">
        <f>IF('Données projet'!$A$62&gt;35,AI43+AH44-AQ43,IF(A44&lt;'Données projet'!$A$62,$AF$205^A44,IF(A44='Données projet'!$A$62,'Données projet'!$B$62,AI43+AH44-AQ43)))</f>
        <v>158.39999999999998</v>
      </c>
      <c r="AJ44" s="13">
        <f>AI44*VLOOKUP('Données projet'!$B$10,Paramètres!$A$1:$I$89,3,0)*VLOOKUP('Données projet'!$B$10,Paramètres!$A$1:$I$89,5,0)</f>
        <v>165.55967999999999</v>
      </c>
      <c r="AK44" s="13">
        <f t="shared" si="35"/>
        <v>42.094012943270059</v>
      </c>
      <c r="AL44" s="20">
        <f t="shared" si="4"/>
        <v>361.66351520952867</v>
      </c>
      <c r="AM44" s="59">
        <f t="shared" si="5"/>
        <v>610.26620480403267</v>
      </c>
      <c r="AN44" s="59">
        <f ca="1">AVERAGE(OFFSET($AM$3,0,0,'Données projet'!$E$10+1,1))-AVERAGE(OFFSET($H$3,0,0,'Données projet'!$E$10+1,1))</f>
        <v>552.26894123675538</v>
      </c>
      <c r="AO44" s="59">
        <f t="shared" si="36"/>
        <v>409.85604950107006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2.7277347536295884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2.7277347536295884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5.6</v>
      </c>
      <c r="BD44" s="12">
        <f>IF('Données projet'!$A$88&gt;35,BD43+BC44-BL43,IF(A44&lt;'Données projet'!$A$88,$BA$205^A44,IF(A44='Données projet'!$A$88,'Données projet'!$B$88,BD43+BC44-BL43)))</f>
        <v>84.600000000000009</v>
      </c>
      <c r="BE44" s="13">
        <f>BD44*VLOOKUP('Données projet'!$B$11,Paramètres!$A$1:$I$89,3,0)*VLOOKUP('Données projet'!$B$11,Paramètres!$A$1:$I$89,5,0)</f>
        <v>91.06344</v>
      </c>
      <c r="BF44" s="13">
        <f t="shared" si="37"/>
        <v>24.821525508693981</v>
      </c>
      <c r="BG44" s="20">
        <f t="shared" si="7"/>
        <v>201.83298159430865</v>
      </c>
      <c r="BH44" s="59">
        <f t="shared" si="8"/>
        <v>450.43567118881265</v>
      </c>
      <c r="BI44" s="59">
        <f ca="1">AVERAGE(OFFSET($BH$3,0,0,'Données projet'!$E$11+1,1))-AVERAGE(OFFSET($H$3,0,0,'Données projet'!$E$11+1,1))</f>
        <v>361.24725625563468</v>
      </c>
      <c r="BJ44" s="59">
        <f t="shared" si="38"/>
        <v>186.0840067781198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1.4045798358241908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1.4045798358241908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8.4</v>
      </c>
      <c r="BY44" s="12">
        <f>IF('Données projet'!$A$114&gt;35,BY43+BX44-CG43,IF(A44&lt;'Données projet'!$A$114,$BV$205^A44,IF(A44='Données projet'!$A$114,'Données projet'!$B$114,BY43+BX44-CG43)))</f>
        <v>124.40000000000003</v>
      </c>
      <c r="BZ44" s="13">
        <f>BY44*VLOOKUP('Données projet'!$B$12,Paramètres!$A$1:$I$89,3,0)*VLOOKUP('Données projet'!$B$12,Paramètres!$A$1:$I$89,5,0)</f>
        <v>83.447520000000026</v>
      </c>
      <c r="CA44" s="13">
        <f t="shared" si="39"/>
        <v>22.978039697763734</v>
      </c>
      <c r="CB44" s="20">
        <f t="shared" si="10"/>
        <v>185.3578498069385</v>
      </c>
      <c r="CC44" s="59">
        <f t="shared" si="11"/>
        <v>433.96053940144247</v>
      </c>
      <c r="CD44" s="59">
        <f ca="1">AVERAGE(OFFSET($CC$3,0,0,'Données projet'!$E$12+1,1))-AVERAGE(OFFSET($H$3,0,0,'Données projet'!$E$12+1,1))</f>
        <v>323.91378047319455</v>
      </c>
      <c r="CE44" s="59">
        <f t="shared" si="40"/>
        <v>212.89889176380288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1.6183202456235242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1.6183202456235242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>
        <f>VLOOKUP(A44,'Données projet'!$A$139:$I$159,2,0)</f>
        <v>363.2</v>
      </c>
      <c r="CR44" s="12">
        <f>VLOOKUP(A44,'Données projet'!$A$139:$I$159,9,0)</f>
        <v>20.269999999999996</v>
      </c>
      <c r="CS44" s="12">
        <f t="array" ref="CS44">INDEX(CR:CR,MIN(IF(ISNUMBER(CR44:CR240),ROW(CR44:CR240),"")))</f>
        <v>20.269999999999996</v>
      </c>
      <c r="CT44" s="12">
        <f>IF('Données projet'!$A$140&gt;35,CT43+CS44-DB43,IF(A44&lt;'Données projet'!$A$140,$CQ$205^A44,IF(A44='Données projet'!$A$140,'Données projet'!$B$140,CT43+CS44-DB43)))</f>
        <v>363.2</v>
      </c>
      <c r="CU44" s="17">
        <f>CT44*VLOOKUP('Données projet'!$B$13,Paramètres!$A$1:$I$89,3,0)*VLOOKUP('Données projet'!$B$13,Paramètres!$A$1:$I$89,5,0)</f>
        <v>217.1936</v>
      </c>
      <c r="CV44" s="13">
        <f t="shared" si="41"/>
        <v>53.504473537536725</v>
      </c>
      <c r="CW44" s="20">
        <f t="shared" si="13"/>
        <v>471.46581141120981</v>
      </c>
      <c r="CX44" s="59">
        <f t="shared" si="14"/>
        <v>720.06850100571376</v>
      </c>
      <c r="CY44" s="59">
        <f ca="1">AVERAGE(OFFSET($CX$3,0,0,'Données projet'!$E$13+1,1))-AVERAGE(OFFSET($H$3,0,0,'Données projet'!$E$13+1,1))</f>
        <v>356.07880667298025</v>
      </c>
      <c r="CZ44" s="59">
        <f t="shared" si="42"/>
        <v>396.05161661639659</v>
      </c>
      <c r="DA44" s="15">
        <f>IF(ISNA(VLOOKUP(A44,'Données projet'!$A$139:$I$159,3,0)),0,VLOOKUP(A44,'Données projet'!$A$139:$I$159,3,0))</f>
        <v>8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13.240090284357617</v>
      </c>
      <c r="DG44" s="21">
        <f>EXP(-LN(2)/25)*DG43+(1-EXP(-LN(2)/25))/(LN(2)/25)*Calculateur!DB44*Calculateur!DD44*VLOOKUP('Données projet'!$B$13,Paramètres!$A$1:$I$89,3,0)*0.475*44/12</f>
        <v>17.877965576254507</v>
      </c>
      <c r="DH44" s="21">
        <f>EXP(-LN(2)/2)*DH43+(1-EXP(-LN(2)/2))/(LN(2)/2)*DB44*DE44*VLOOKUP('Données projet'!$B$13,Paramètres!$A$1:$I$89,3,0)*0.475*44/12</f>
        <v>2.7766923102858279</v>
      </c>
      <c r="DI44" s="22">
        <f t="shared" si="15"/>
        <v>33.894748170897955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14</v>
      </c>
      <c r="DO44" s="12">
        <f>IF('Données projet'!$A$166&gt;35,DO43+DN44-DW43,IF(A44&lt;'Données projet'!$A$166,$DL$205^A44,IF(A44='Données projet'!$A$166,'Données projet'!$B$166,DO43+DN44-DW43)))</f>
        <v>264</v>
      </c>
      <c r="DP44" s="17">
        <f>DO44*VLOOKUP('Données projet'!$B$14,Paramètres!$A$1:$I$89,3,0)*VLOOKUP('Données projet'!$B$14,Paramètres!$A$1:$I$89,5,0)</f>
        <v>123.55199999999999</v>
      </c>
      <c r="DQ44" s="13">
        <f t="shared" si="43"/>
        <v>32.502033262579566</v>
      </c>
      <c r="DR44" s="20">
        <f t="shared" si="16"/>
        <v>271.79410793232609</v>
      </c>
      <c r="DS44" s="59">
        <f t="shared" si="17"/>
        <v>520.39679752683003</v>
      </c>
      <c r="DT44" s="59">
        <f ca="1">AVERAGE(OFFSET($DS$3,0,0,'Données projet'!$E$14+1,1))-AVERAGE(OFFSET($H$3,0,0,'Données projet'!$E$14+1,1))</f>
        <v>246.11623544660486</v>
      </c>
      <c r="DU44" s="59">
        <f t="shared" si="44"/>
        <v>273.18950868898253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9.4414086128298553</v>
      </c>
      <c r="EB44" s="21">
        <f>EXP(-LN(2)/25)*EB43+(1-EXP(-LN(2)/25))/(LN(2)/25)*Calculateur!DW44*Calculateur!DY44*VLOOKUP('Données projet'!$B$14,Paramètres!$A$1:$I$89,3,0)*0.475*44/12</f>
        <v>15.520822481633964</v>
      </c>
      <c r="EC44" s="21">
        <f>EXP(-LN(2)/2)*EC43+(1-EXP(-LN(2)/2))/(LN(2)/2)*DW44*DZ44*VLOOKUP('Données projet'!$B$14,Paramètres!$A$1:$I$89,3,0)*0.475*44/12</f>
        <v>5.082251780474909</v>
      </c>
      <c r="ED44" s="22">
        <f t="shared" si="18"/>
        <v>30.044482874938726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5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67">
        <f t="shared" si="1"/>
        <v>183.33333333333334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11.4</v>
      </c>
      <c r="N45" s="13">
        <f>IF('Données projet'!$A$36&gt;35,N44+M45-V44,IF(A45&lt;'Données projet'!$A$36,$K$205^A45,IF(A45='Données projet'!$A$36,'Données projet'!$B$36,N44+M45-V44)))</f>
        <v>169.79999999999998</v>
      </c>
      <c r="O45" s="13">
        <f>N45*VLOOKUP('Données projet'!$B$9,Paramètres!$A$1:$I$89,3,0)*VLOOKUP('Données projet'!$B$9,Paramètres!$A$1:$I$89,5,0)</f>
        <v>172.1772</v>
      </c>
      <c r="P45" s="13">
        <f t="shared" si="33"/>
        <v>43.577282221917017</v>
      </c>
      <c r="Q45" s="20">
        <f t="shared" si="53"/>
        <v>375.77238986983883</v>
      </c>
      <c r="R45" s="59">
        <f t="shared" si="0"/>
        <v>625.15105613047353</v>
      </c>
      <c r="S45" s="59">
        <f ca="1">AVERAGE(OFFSET($R$3,0,0,'Données projet'!$E$9+1,1))-AVERAGE(OFFSET($H$3,0,0,'Données projet'!$E$9+1,1))</f>
        <v>538.10210778862256</v>
      </c>
      <c r="T45" s="59">
        <f t="shared" si="34"/>
        <v>399.53300632021399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2.5944173138240885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2.5944173138240885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11.4</v>
      </c>
      <c r="AI45" s="13">
        <f>IF('Données projet'!$A$62&gt;35,AI44+AH45-AQ44,IF(A45&lt;'Données projet'!$A$62,$AF$205^A45,IF(A45='Données projet'!$A$62,'Données projet'!$B$62,AI44+AH45-AQ44)))</f>
        <v>169.79999999999998</v>
      </c>
      <c r="AJ45" s="13">
        <f>AI45*VLOOKUP('Données projet'!$B$10,Paramètres!$A$1:$I$89,3,0)*VLOOKUP('Données projet'!$B$10,Paramètres!$A$1:$I$89,5,0)</f>
        <v>177.47495999999998</v>
      </c>
      <c r="AK45" s="13">
        <f t="shared" si="35"/>
        <v>44.759950225815722</v>
      </c>
      <c r="AL45" s="20">
        <f t="shared" si="4"/>
        <v>387.05913530996236</v>
      </c>
      <c r="AM45" s="59">
        <f t="shared" si="5"/>
        <v>636.43780157059712</v>
      </c>
      <c r="AN45" s="59">
        <f ca="1">AVERAGE(OFFSET($AM$3,0,0,'Données projet'!$E$10+1,1))-AVERAGE(OFFSET($H$3,0,0,'Données projet'!$E$10+1,1))</f>
        <v>552.26894123675538</v>
      </c>
      <c r="AO45" s="59">
        <f t="shared" si="36"/>
        <v>409.85604950107006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2.6742455388648296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2.6742455388648296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5.6</v>
      </c>
      <c r="BD45" s="12">
        <f>IF('Données projet'!$A$88&gt;35,BD44+BC45-BL44,IF(A45&lt;'Données projet'!$A$88,$BA$205^A45,IF(A45='Données projet'!$A$88,'Données projet'!$B$88,BD44+BC45-BL44)))</f>
        <v>90.2</v>
      </c>
      <c r="BE45" s="13">
        <f>BD45*VLOOKUP('Données projet'!$B$11,Paramètres!$A$1:$I$89,3,0)*VLOOKUP('Données projet'!$B$11,Paramètres!$A$1:$I$89,5,0)</f>
        <v>97.091279999999998</v>
      </c>
      <c r="BF45" s="13">
        <f t="shared" si="37"/>
        <v>26.267849122787243</v>
      </c>
      <c r="BG45" s="20">
        <f t="shared" si="7"/>
        <v>214.85048322218776</v>
      </c>
      <c r="BH45" s="59">
        <f t="shared" si="8"/>
        <v>464.22914948282249</v>
      </c>
      <c r="BI45" s="59">
        <f ca="1">AVERAGE(OFFSET($BH$3,0,0,'Données projet'!$E$11+1,1))-AVERAGE(OFFSET($H$3,0,0,'Données projet'!$E$11+1,1))</f>
        <v>361.24725625563468</v>
      </c>
      <c r="BJ45" s="59">
        <f t="shared" si="38"/>
        <v>186.0840067781198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1.3770368819527852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1.3770368819527852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8.4</v>
      </c>
      <c r="BY45" s="12">
        <f>IF('Données projet'!$A$114&gt;35,BY44+BX45-CG44,IF(A45&lt;'Données projet'!$A$114,$BV$205^A45,IF(A45='Données projet'!$A$114,'Données projet'!$B$114,BY44+BX45-CG44)))</f>
        <v>132.80000000000004</v>
      </c>
      <c r="BZ45" s="13">
        <f>BY45*VLOOKUP('Données projet'!$B$12,Paramètres!$A$1:$I$89,3,0)*VLOOKUP('Données projet'!$B$12,Paramètres!$A$1:$I$89,5,0)</f>
        <v>89.082240000000027</v>
      </c>
      <c r="CA45" s="13">
        <f t="shared" si="39"/>
        <v>24.343751517442186</v>
      </c>
      <c r="CB45" s="20">
        <f t="shared" si="10"/>
        <v>197.5502685595452</v>
      </c>
      <c r="CC45" s="59">
        <f t="shared" si="11"/>
        <v>446.92893482017996</v>
      </c>
      <c r="CD45" s="59">
        <f ca="1">AVERAGE(OFFSET($CC$3,0,0,'Données projet'!$E$12+1,1))-AVERAGE(OFFSET($H$3,0,0,'Données projet'!$E$12+1,1))</f>
        <v>323.91378047319455</v>
      </c>
      <c r="CE45" s="59">
        <f t="shared" si="40"/>
        <v>212.89889176380288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1.5865859726847309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1.5865859726847309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20.612000000000002</v>
      </c>
      <c r="CT45" s="12">
        <f>IF('Données projet'!$A$140&gt;35,CT44+CS45-DB44,IF(A45&lt;'Données projet'!$A$140,$CQ$205^A45,IF(A45='Données projet'!$A$140,'Données projet'!$B$140,CT44+CS45-DB44)))</f>
        <v>383.81200000000001</v>
      </c>
      <c r="CU45" s="17">
        <f>CT45*VLOOKUP('Données projet'!$B$13,Paramètres!$A$1:$I$89,3,0)*VLOOKUP('Données projet'!$B$13,Paramètres!$A$1:$I$89,5,0)</f>
        <v>229.51957600000003</v>
      </c>
      <c r="CV45" s="13">
        <f t="shared" si="41"/>
        <v>56.178789991832062</v>
      </c>
      <c r="CW45" s="20">
        <f t="shared" si="13"/>
        <v>497.59132076910754</v>
      </c>
      <c r="CX45" s="59">
        <f t="shared" si="14"/>
        <v>746.96998702974224</v>
      </c>
      <c r="CY45" s="59">
        <f ca="1">AVERAGE(OFFSET($CX$3,0,0,'Données projet'!$E$13+1,1))-AVERAGE(OFFSET($H$3,0,0,'Données projet'!$E$13+1,1))</f>
        <v>356.07880667298025</v>
      </c>
      <c r="CZ45" s="59">
        <f t="shared" si="42"/>
        <v>396.05161661639659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12.980460189539032</v>
      </c>
      <c r="DG45" s="21">
        <f>EXP(-LN(2)/25)*DG44+(1-EXP(-LN(2)/25))/(LN(2)/25)*Calculateur!DB45*Calculateur!DD45*VLOOKUP('Données projet'!$B$13,Paramètres!$A$1:$I$89,3,0)*0.475*44/12</f>
        <v>17.389091667410479</v>
      </c>
      <c r="DH45" s="21">
        <f>EXP(-LN(2)/2)*DH44+(1-EXP(-LN(2)/2))/(LN(2)/2)*DB45*DE45*VLOOKUP('Données projet'!$B$13,Paramètres!$A$1:$I$89,3,0)*0.475*44/12</f>
        <v>1.9634179618716501</v>
      </c>
      <c r="DI45" s="22">
        <f t="shared" si="15"/>
        <v>32.332969818821162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14</v>
      </c>
      <c r="DO45" s="12">
        <f>IF('Données projet'!$A$166&gt;35,DO44+DN45-DW44,IF(A45&lt;'Données projet'!$A$166,$DL$205^A45,IF(A45='Données projet'!$A$166,'Données projet'!$B$166,DO44+DN45-DW44)))</f>
        <v>278</v>
      </c>
      <c r="DP45" s="17">
        <f>DO45*VLOOKUP('Données projet'!$B$14,Paramètres!$A$1:$I$89,3,0)*VLOOKUP('Données projet'!$B$14,Paramètres!$A$1:$I$89,5,0)</f>
        <v>130.10400000000001</v>
      </c>
      <c r="DQ45" s="13">
        <f t="shared" si="43"/>
        <v>34.020389560268086</v>
      </c>
      <c r="DR45" s="20">
        <f t="shared" si="16"/>
        <v>285.8499784841336</v>
      </c>
      <c r="DS45" s="59">
        <f t="shared" si="17"/>
        <v>535.2286447447683</v>
      </c>
      <c r="DT45" s="59">
        <f ca="1">AVERAGE(OFFSET($DS$3,0,0,'Données projet'!$E$14+1,1))-AVERAGE(OFFSET($H$3,0,0,'Données projet'!$E$14+1,1))</f>
        <v>246.11623544660486</v>
      </c>
      <c r="DU45" s="59">
        <f t="shared" si="44"/>
        <v>273.18950868898253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9.2562683486228927</v>
      </c>
      <c r="EB45" s="21">
        <f>EXP(-LN(2)/25)*EB44+(1-EXP(-LN(2)/25))/(LN(2)/25)*Calculateur!DW45*Calculateur!DY45*VLOOKUP('Données projet'!$B$14,Paramètres!$A$1:$I$89,3,0)*0.475*44/12</f>
        <v>15.096404774669102</v>
      </c>
      <c r="EC45" s="21">
        <f>EXP(-LN(2)/2)*EC44+(1-EXP(-LN(2)/2))/(LN(2)/2)*DW45*DZ45*VLOOKUP('Données projet'!$B$14,Paramètres!$A$1:$I$89,3,0)*0.475*44/12</f>
        <v>3.5936946976712134</v>
      </c>
      <c r="ED45" s="22">
        <f t="shared" si="18"/>
        <v>27.946367820963207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5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67">
        <f t="shared" si="1"/>
        <v>183.33333333333334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11.4</v>
      </c>
      <c r="N46" s="13">
        <f>IF('Données projet'!$A$36&gt;35,N45+M46-V45,IF(A46&lt;'Données projet'!$A$36,$K$205^A46,IF(A46='Données projet'!$A$36,'Données projet'!$B$36,N45+M46-V45)))</f>
        <v>181.2</v>
      </c>
      <c r="O46" s="13">
        <f>N46*VLOOKUP('Données projet'!$B$9,Paramètres!$A$1:$I$89,3,0)*VLOOKUP('Données projet'!$B$9,Paramètres!$A$1:$I$89,5,0)</f>
        <v>183.73680000000002</v>
      </c>
      <c r="P46" s="13">
        <f t="shared" si="33"/>
        <v>46.152558509293854</v>
      </c>
      <c r="Q46" s="20">
        <f t="shared" si="53"/>
        <v>400.3906327370201</v>
      </c>
      <c r="R46" s="59">
        <f t="shared" si="0"/>
        <v>650.53181420345209</v>
      </c>
      <c r="S46" s="59">
        <f ca="1">AVERAGE(OFFSET($R$3,0,0,'Données projet'!$E$9+1,1))-AVERAGE(OFFSET($H$3,0,0,'Données projet'!$E$9+1,1))</f>
        <v>538.10210778862256</v>
      </c>
      <c r="T46" s="59">
        <f t="shared" si="34"/>
        <v>399.53300632021399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2.5435423727383069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2.5435423727383069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11.4</v>
      </c>
      <c r="AI46" s="13">
        <f>IF('Données projet'!$A$62&gt;35,AI45+AH46-AQ45,IF(A46&lt;'Données projet'!$A$62,$AF$205^A46,IF(A46='Données projet'!$A$62,'Données projet'!$B$62,AI45+AH46-AQ45)))</f>
        <v>181.2</v>
      </c>
      <c r="AJ46" s="13">
        <f>AI46*VLOOKUP('Données projet'!$B$10,Paramètres!$A$1:$I$89,3,0)*VLOOKUP('Données projet'!$B$10,Paramètres!$A$1:$I$89,5,0)</f>
        <v>189.39024000000001</v>
      </c>
      <c r="AK46" s="13">
        <f t="shared" si="35"/>
        <v>47.405118363050697</v>
      </c>
      <c r="AL46" s="20">
        <f t="shared" si="4"/>
        <v>412.41858248231324</v>
      </c>
      <c r="AM46" s="59">
        <f t="shared" si="5"/>
        <v>662.55976394874529</v>
      </c>
      <c r="AN46" s="59">
        <f ca="1">AVERAGE(OFFSET($AM$3,0,0,'Données projet'!$E$10+1,1))-AVERAGE(OFFSET($H$3,0,0,'Données projet'!$E$10+1,1))</f>
        <v>552.26894123675538</v>
      </c>
      <c r="AO46" s="59">
        <f t="shared" si="36"/>
        <v>409.85604950107006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2.6218052149764084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2.6218052149764084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5.6</v>
      </c>
      <c r="BD46" s="12">
        <f>IF('Données projet'!$A$88&gt;35,BD45+BC46-BL45,IF(A46&lt;'Données projet'!$A$88,$BA$205^A46,IF(A46='Données projet'!$A$88,'Données projet'!$B$88,BD45+BC46-BL45)))</f>
        <v>95.8</v>
      </c>
      <c r="BE46" s="13">
        <f>BD46*VLOOKUP('Données projet'!$B$11,Paramètres!$A$1:$I$89,3,0)*VLOOKUP('Données projet'!$B$11,Paramètres!$A$1:$I$89,5,0)</f>
        <v>103.11911999999998</v>
      </c>
      <c r="BF46" s="13">
        <f t="shared" si="37"/>
        <v>27.703751333753903</v>
      </c>
      <c r="BG46" s="20">
        <f t="shared" si="7"/>
        <v>227.84983423962134</v>
      </c>
      <c r="BH46" s="59">
        <f t="shared" si="8"/>
        <v>477.99101570605342</v>
      </c>
      <c r="BI46" s="59">
        <f ca="1">AVERAGE(OFFSET($BH$3,0,0,'Données projet'!$E$11+1,1))-AVERAGE(OFFSET($H$3,0,0,'Données projet'!$E$11+1,1))</f>
        <v>361.24725625563468</v>
      </c>
      <c r="BJ46" s="59">
        <f t="shared" si="38"/>
        <v>186.0840067781198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1.350034028607255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1.350034028607255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8.4</v>
      </c>
      <c r="BY46" s="12">
        <f>IF('Données projet'!$A$114&gt;35,BY45+BX46-CG45,IF(A46&lt;'Données projet'!$A$114,$BV$205^A46,IF(A46='Données projet'!$A$114,'Données projet'!$B$114,BY45+BX46-CG45)))</f>
        <v>141.20000000000005</v>
      </c>
      <c r="BZ46" s="13">
        <f>BY46*VLOOKUP('Données projet'!$B$12,Paramètres!$A$1:$I$89,3,0)*VLOOKUP('Données projet'!$B$12,Paramètres!$A$1:$I$89,5,0)</f>
        <v>94.716960000000029</v>
      </c>
      <c r="CA46" s="13">
        <f t="shared" si="39"/>
        <v>25.69943794908513</v>
      </c>
      <c r="CB46" s="20">
        <f t="shared" si="10"/>
        <v>209.72522642799001</v>
      </c>
      <c r="CC46" s="59">
        <f t="shared" si="11"/>
        <v>459.86640789442208</v>
      </c>
      <c r="CD46" s="59">
        <f ca="1">AVERAGE(OFFSET($CC$3,0,0,'Données projet'!$E$12+1,1))-AVERAGE(OFFSET($H$3,0,0,'Données projet'!$E$12+1,1))</f>
        <v>323.91378047319455</v>
      </c>
      <c r="CE46" s="59">
        <f t="shared" si="40"/>
        <v>212.89889176380288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1.555473989482272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1.555473989482272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20.612000000000002</v>
      </c>
      <c r="CT46" s="12">
        <f>IF('Données projet'!$A$140&gt;35,CT45+CS46-DB45,IF(A46&lt;'Données projet'!$A$140,$CQ$205^A46,IF(A46='Données projet'!$A$140,'Données projet'!$B$140,CT45+CS46-DB45)))</f>
        <v>404.42400000000004</v>
      </c>
      <c r="CU46" s="17">
        <f>CT46*VLOOKUP('Données projet'!$B$13,Paramètres!$A$1:$I$89,3,0)*VLOOKUP('Données projet'!$B$13,Paramètres!$A$1:$I$89,5,0)</f>
        <v>241.84555200000005</v>
      </c>
      <c r="CV46" s="13">
        <f t="shared" si="41"/>
        <v>58.836432780420971</v>
      </c>
      <c r="CW46" s="20">
        <f t="shared" si="13"/>
        <v>523.68779015923326</v>
      </c>
      <c r="CX46" s="59">
        <f t="shared" si="14"/>
        <v>773.8289716256653</v>
      </c>
      <c r="CY46" s="59">
        <f ca="1">AVERAGE(OFFSET($CX$3,0,0,'Données projet'!$E$13+1,1))-AVERAGE(OFFSET($H$3,0,0,'Données projet'!$E$13+1,1))</f>
        <v>356.07880667298025</v>
      </c>
      <c r="CZ46" s="59">
        <f t="shared" si="42"/>
        <v>396.05161661639659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12.725921282521119</v>
      </c>
      <c r="DG46" s="21">
        <f>EXP(-LN(2)/25)*DG45+(1-EXP(-LN(2)/25))/(LN(2)/25)*Calculateur!DB46*Calculateur!DD46*VLOOKUP('Données projet'!$B$13,Paramètres!$A$1:$I$89,3,0)*0.475*44/12</f>
        <v>16.913586041312552</v>
      </c>
      <c r="DH46" s="21">
        <f>EXP(-LN(2)/2)*DH45+(1-EXP(-LN(2)/2))/(LN(2)/2)*DB46*DE46*VLOOKUP('Données projet'!$B$13,Paramètres!$A$1:$I$89,3,0)*0.475*44/12</f>
        <v>1.3883461551429142</v>
      </c>
      <c r="DI46" s="22">
        <f t="shared" si="15"/>
        <v>31.027853478976585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14</v>
      </c>
      <c r="DO46" s="12">
        <f>IF('Données projet'!$A$166&gt;35,DO45+DN46-DW45,IF(A46&lt;'Données projet'!$A$166,$DL$205^A46,IF(A46='Données projet'!$A$166,'Données projet'!$B$166,DO45+DN46-DW45)))</f>
        <v>292</v>
      </c>
      <c r="DP46" s="17">
        <f>DO46*VLOOKUP('Données projet'!$B$14,Paramètres!$A$1:$I$89,3,0)*VLOOKUP('Données projet'!$B$14,Paramètres!$A$1:$I$89,5,0)</f>
        <v>136.65600000000001</v>
      </c>
      <c r="DQ46" s="13">
        <f t="shared" si="43"/>
        <v>35.52986752364091</v>
      </c>
      <c r="DR46" s="20">
        <f t="shared" si="16"/>
        <v>299.89038593700792</v>
      </c>
      <c r="DS46" s="59">
        <f t="shared" si="17"/>
        <v>550.03156740344002</v>
      </c>
      <c r="DT46" s="59">
        <f ca="1">AVERAGE(OFFSET($DS$3,0,0,'Données projet'!$E$14+1,1))-AVERAGE(OFFSET($H$3,0,0,'Données projet'!$E$14+1,1))</f>
        <v>246.11623544660486</v>
      </c>
      <c r="DU46" s="59">
        <f t="shared" si="44"/>
        <v>273.18950868898253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9.0747585720726178</v>
      </c>
      <c r="EB46" s="21">
        <f>EXP(-LN(2)/25)*EB45+(1-EXP(-LN(2)/25))/(LN(2)/25)*Calculateur!DW46*Calculateur!DY46*VLOOKUP('Données projet'!$B$14,Paramètres!$A$1:$I$89,3,0)*0.475*44/12</f>
        <v>14.683592792220352</v>
      </c>
      <c r="EC46" s="21">
        <f>EXP(-LN(2)/2)*EC45+(1-EXP(-LN(2)/2))/(LN(2)/2)*DW46*DZ46*VLOOKUP('Données projet'!$B$14,Paramètres!$A$1:$I$89,3,0)*0.475*44/12</f>
        <v>2.5411258902374549</v>
      </c>
      <c r="ED46" s="22">
        <f t="shared" si="18"/>
        <v>26.299477254530427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5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67">
        <f t="shared" si="1"/>
        <v>183.33333333333334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11.4</v>
      </c>
      <c r="N47" s="13">
        <f>IF('Données projet'!$A$36&gt;35,N46+M47-V46,IF(A47&lt;'Données projet'!$A$36,$K$205^A47,IF(A47='Données projet'!$A$36,'Données projet'!$B$36,N46+M47-V46)))</f>
        <v>192.6</v>
      </c>
      <c r="O47" s="13">
        <f>N47*VLOOKUP('Données projet'!$B$9,Paramètres!$A$1:$I$89,3,0)*VLOOKUP('Données projet'!$B$9,Paramètres!$A$1:$I$89,5,0)</f>
        <v>195.29640000000001</v>
      </c>
      <c r="P47" s="13">
        <f t="shared" si="33"/>
        <v>48.709031383366153</v>
      </c>
      <c r="Q47" s="20">
        <f t="shared" si="53"/>
        <v>424.97612632602937</v>
      </c>
      <c r="R47" s="59">
        <f t="shared" si="0"/>
        <v>675.86659506416686</v>
      </c>
      <c r="S47" s="59">
        <f ca="1">AVERAGE(OFFSET($R$3,0,0,'Données projet'!$E$9+1,1))-AVERAGE(OFFSET($H$3,0,0,'Données projet'!$E$9+1,1))</f>
        <v>538.10210778862256</v>
      </c>
      <c r="T47" s="59">
        <f t="shared" si="34"/>
        <v>399.53300632021399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2.4936650582165671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2.4936650582165671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11.4</v>
      </c>
      <c r="AI47" s="13">
        <f>IF('Données projet'!$A$62&gt;35,AI46+AH47-AQ46,IF(A47&lt;'Données projet'!$A$62,$AF$205^A47,IF(A47='Données projet'!$A$62,'Données projet'!$B$62,AI46+AH47-AQ46)))</f>
        <v>192.6</v>
      </c>
      <c r="AJ47" s="13">
        <f>AI47*VLOOKUP('Données projet'!$B$10,Paramètres!$A$1:$I$89,3,0)*VLOOKUP('Données projet'!$B$10,Paramètres!$A$1:$I$89,5,0)</f>
        <v>201.30552</v>
      </c>
      <c r="AK47" s="13">
        <f t="shared" si="35"/>
        <v>50.030972770730415</v>
      </c>
      <c r="AL47" s="20">
        <f t="shared" si="4"/>
        <v>437.74439157568878</v>
      </c>
      <c r="AM47" s="59">
        <f t="shared" si="5"/>
        <v>688.63486031382627</v>
      </c>
      <c r="AN47" s="59">
        <f ca="1">AVERAGE(OFFSET($AM$3,0,0,'Données projet'!$E$10+1,1))-AVERAGE(OFFSET($H$3,0,0,'Données projet'!$E$10+1,1))</f>
        <v>552.26894123675538</v>
      </c>
      <c r="AO47" s="59">
        <f t="shared" si="36"/>
        <v>409.85604950107006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2.570393213854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2.570393213854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5.6</v>
      </c>
      <c r="BD47" s="12">
        <f>IF('Données projet'!$A$88&gt;35,BD46+BC47-BL46,IF(A47&lt;'Données projet'!$A$88,$BA$205^A47,IF(A47='Données projet'!$A$88,'Données projet'!$B$88,BD46+BC47-BL46)))</f>
        <v>101.39999999999999</v>
      </c>
      <c r="BE47" s="13">
        <f>BD47*VLOOKUP('Données projet'!$B$11,Paramètres!$A$1:$I$89,3,0)*VLOOKUP('Données projet'!$B$11,Paramètres!$A$1:$I$89,5,0)</f>
        <v>109.14695999999999</v>
      </c>
      <c r="BF47" s="13">
        <f t="shared" si="37"/>
        <v>29.129910721485377</v>
      </c>
      <c r="BG47" s="20">
        <f t="shared" si="7"/>
        <v>240.83221650658706</v>
      </c>
      <c r="BH47" s="59">
        <f t="shared" si="8"/>
        <v>491.72268524472452</v>
      </c>
      <c r="BI47" s="59">
        <f ca="1">AVERAGE(OFFSET($BH$3,0,0,'Données projet'!$E$11+1,1))-AVERAGE(OFFSET($H$3,0,0,'Données projet'!$E$11+1,1))</f>
        <v>361.24725625563468</v>
      </c>
      <c r="BJ47" s="59">
        <f t="shared" si="38"/>
        <v>186.0840067781198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1.3235606847457162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1.3235606847457162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8.4</v>
      </c>
      <c r="BY47" s="12">
        <f>IF('Données projet'!$A$114&gt;35,BY46+BX47-CG46,IF(A47&lt;'Données projet'!$A$114,$BV$205^A47,IF(A47='Données projet'!$A$114,'Données projet'!$B$114,BY46+BX47-CG46)))</f>
        <v>149.60000000000005</v>
      </c>
      <c r="BZ47" s="13">
        <f>BY47*VLOOKUP('Données projet'!$B$12,Paramètres!$A$1:$I$89,3,0)*VLOOKUP('Données projet'!$B$12,Paramètres!$A$1:$I$89,5,0)</f>
        <v>100.35168000000003</v>
      </c>
      <c r="CA47" s="13">
        <f t="shared" si="39"/>
        <v>27.045763332704858</v>
      </c>
      <c r="CB47" s="20">
        <f t="shared" si="10"/>
        <v>221.88388047112767</v>
      </c>
      <c r="CC47" s="59">
        <f t="shared" si="11"/>
        <v>472.7743492092651</v>
      </c>
      <c r="CD47" s="59">
        <f ca="1">AVERAGE(OFFSET($CC$3,0,0,'Données projet'!$E$12+1,1))-AVERAGE(OFFSET($H$3,0,0,'Données projet'!$E$12+1,1))</f>
        <v>323.91378047319455</v>
      </c>
      <c r="CE47" s="59">
        <f t="shared" si="40"/>
        <v>212.89889176380288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1.5249720932939774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1.5249720932939774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20.612000000000002</v>
      </c>
      <c r="CT47" s="12">
        <f>IF('Données projet'!$A$140&gt;35,CT46+CS47-DB46,IF(A47&lt;'Données projet'!$A$140,$CQ$205^A47,IF(A47='Données projet'!$A$140,'Données projet'!$B$140,CT46+CS47-DB46)))</f>
        <v>425.03600000000006</v>
      </c>
      <c r="CU47" s="17">
        <f>CT47*VLOOKUP('Données projet'!$B$13,Paramètres!$A$1:$I$89,3,0)*VLOOKUP('Données projet'!$B$13,Paramètres!$A$1:$I$89,5,0)</f>
        <v>254.17152800000005</v>
      </c>
      <c r="CV47" s="13">
        <f t="shared" si="41"/>
        <v>61.47834864609284</v>
      </c>
      <c r="CW47" s="20">
        <f t="shared" si="13"/>
        <v>549.75686849194506</v>
      </c>
      <c r="CX47" s="59">
        <f t="shared" si="14"/>
        <v>800.64733723008248</v>
      </c>
      <c r="CY47" s="59">
        <f ca="1">AVERAGE(OFFSET($CX$3,0,0,'Données projet'!$E$13+1,1))-AVERAGE(OFFSET($H$3,0,0,'Données projet'!$E$13+1,1))</f>
        <v>356.07880667298025</v>
      </c>
      <c r="CZ47" s="59">
        <f t="shared" si="42"/>
        <v>396.05161661639659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12.476373728216425</v>
      </c>
      <c r="DG47" s="21">
        <f>EXP(-LN(2)/25)*DG46+(1-EXP(-LN(2)/25))/(LN(2)/25)*Calculateur!DB47*Calculateur!DD47*VLOOKUP('Données projet'!$B$13,Paramètres!$A$1:$I$89,3,0)*0.475*44/12</f>
        <v>16.451083141566027</v>
      </c>
      <c r="DH47" s="21">
        <f>EXP(-LN(2)/2)*DH46+(1-EXP(-LN(2)/2))/(LN(2)/2)*DB47*DE47*VLOOKUP('Données projet'!$B$13,Paramètres!$A$1:$I$89,3,0)*0.475*44/12</f>
        <v>0.98170898093582526</v>
      </c>
      <c r="DI47" s="22">
        <f t="shared" si="15"/>
        <v>29.909165850718278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14</v>
      </c>
      <c r="DO47" s="12">
        <f>IF('Données projet'!$A$166&gt;35,DO46+DN47-DW46,IF(A47&lt;'Données projet'!$A$166,$DL$205^A47,IF(A47='Données projet'!$A$166,'Données projet'!$B$166,DO46+DN47-DW46)))</f>
        <v>306</v>
      </c>
      <c r="DP47" s="17">
        <f>DO47*VLOOKUP('Données projet'!$B$14,Paramètres!$A$1:$I$89,3,0)*VLOOKUP('Données projet'!$B$14,Paramètres!$A$1:$I$89,5,0)</f>
        <v>143.208</v>
      </c>
      <c r="DQ47" s="13">
        <f t="shared" si="43"/>
        <v>37.030941422835802</v>
      </c>
      <c r="DR47" s="20">
        <f t="shared" si="16"/>
        <v>313.91615631143901</v>
      </c>
      <c r="DS47" s="59">
        <f t="shared" si="17"/>
        <v>564.8066250495765</v>
      </c>
      <c r="DT47" s="59">
        <f ca="1">AVERAGE(OFFSET($DS$3,0,0,'Données projet'!$E$14+1,1))-AVERAGE(OFFSET($H$3,0,0,'Données projet'!$E$14+1,1))</f>
        <v>246.11623544660486</v>
      </c>
      <c r="DU47" s="59">
        <f t="shared" si="44"/>
        <v>273.18950868898253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8.8968080915304615</v>
      </c>
      <c r="EB47" s="21">
        <f>EXP(-LN(2)/25)*EB46+(1-EXP(-LN(2)/25))/(LN(2)/25)*Calculateur!DW47*Calculateur!DY47*VLOOKUP('Données projet'!$B$14,Paramètres!$A$1:$I$89,3,0)*0.475*44/12</f>
        <v>14.282069175140501</v>
      </c>
      <c r="EC47" s="21">
        <f>EXP(-LN(2)/2)*EC46+(1-EXP(-LN(2)/2))/(LN(2)/2)*DW47*DZ47*VLOOKUP('Données projet'!$B$14,Paramètres!$A$1:$I$89,3,0)*0.475*44/12</f>
        <v>1.7968473488356069</v>
      </c>
      <c r="ED47" s="22">
        <f t="shared" si="18"/>
        <v>24.975724615506568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5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67">
        <f t="shared" si="1"/>
        <v>183.33333333333334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204</v>
      </c>
      <c r="L48" s="12">
        <f>VLOOKUP(A48,'Données projet'!$A$35:$I$55,9,0)</f>
        <v>11.4</v>
      </c>
      <c r="M48" s="12">
        <f t="array" ref="M48">INDEX(L:L,MIN(IF(ISNUMBER(L48:L244),ROW(L48:L244),"")))</f>
        <v>11.4</v>
      </c>
      <c r="N48" s="13">
        <f>IF('Données projet'!$A$36&gt;35,N47+M48-V47,IF(A48&lt;'Données projet'!$A$36,$K$205^A48,IF(A48='Données projet'!$A$36,'Données projet'!$B$36,N47+M48-V47)))</f>
        <v>204</v>
      </c>
      <c r="O48" s="13">
        <f>N48*VLOOKUP('Données projet'!$B$9,Paramètres!$A$1:$I$89,3,0)*VLOOKUP('Données projet'!$B$9,Paramètres!$A$1:$I$89,5,0)</f>
        <v>206.85599999999999</v>
      </c>
      <c r="P48" s="13">
        <f t="shared" si="33"/>
        <v>51.247940588293027</v>
      </c>
      <c r="Q48" s="20">
        <f t="shared" si="53"/>
        <v>449.53102985794368</v>
      </c>
      <c r="R48" s="59">
        <f t="shared" si="0"/>
        <v>701.15778740877784</v>
      </c>
      <c r="S48" s="59">
        <f ca="1">AVERAGE(OFFSET($R$3,0,0,'Données projet'!$E$9+1,1))-AVERAGE(OFFSET($H$3,0,0,'Données projet'!$E$9+1,1))</f>
        <v>538.10210778862256</v>
      </c>
      <c r="T48" s="59">
        <f t="shared" si="34"/>
        <v>399.53300632021399</v>
      </c>
      <c r="U48" s="15">
        <f>IF(ISNA(VLOOKUP(A48,'Données projet'!$A$35:$I$55,3,0)),0,VLOOKUP(A48,'Données projet'!$A$35:$I$55,3,0))</f>
        <v>6</v>
      </c>
      <c r="V48" s="15">
        <f>IF(ISNA(VLOOKUP(A48,'Données projet'!$A$35:$I$55,4,0)),0,VLOOKUP(A48,'Données projet'!$A$35:$I$55,4,0))</f>
        <v>28</v>
      </c>
      <c r="W48" s="16">
        <f>IF(ISNA(VLOOKUP(A48,'Données projet'!$A$35:$I$55,5,0)),0%,VLOOKUP(A48,'Données projet'!$A$35:$I$55,5,0)*VLOOKUP('Données projet'!$B$9,Paramètres!$A$1:$I$89,7,0))</f>
        <v>8.6000000000000007E-2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5.1440060987606007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5.1440060987606007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204</v>
      </c>
      <c r="AG48" s="12">
        <f>VLOOKUP(A48,'Données projet'!$A$61:$I$81,9,0)</f>
        <v>11.4</v>
      </c>
      <c r="AH48" s="12">
        <f t="array" ref="AH48">INDEX(AG:AG,MIN(IF(ISNUMBER(AG48:AG244),ROW(AG48:AG244),"")))</f>
        <v>11.4</v>
      </c>
      <c r="AI48" s="13">
        <f>IF('Données projet'!$A$62&gt;35,AI47+AH48-AQ47,IF(A48&lt;'Données projet'!$A$62,$AF$205^A48,IF(A48='Données projet'!$A$62,'Données projet'!$B$62,AI47+AH48-AQ47)))</f>
        <v>204</v>
      </c>
      <c r="AJ48" s="13">
        <f>AI48*VLOOKUP('Données projet'!$B$10,Paramètres!$A$1:$I$89,3,0)*VLOOKUP('Données projet'!$B$10,Paramètres!$A$1:$I$89,5,0)</f>
        <v>213.22080000000003</v>
      </c>
      <c r="AK48" s="13">
        <f t="shared" si="35"/>
        <v>52.638786839117614</v>
      </c>
      <c r="AL48" s="20">
        <f t="shared" si="4"/>
        <v>463.03878041146322</v>
      </c>
      <c r="AM48" s="59">
        <f t="shared" si="5"/>
        <v>714.66553796229732</v>
      </c>
      <c r="AN48" s="59">
        <f ca="1">AVERAGE(OFFSET($AM$3,0,0,'Données projet'!$E$10+1,1))-AVERAGE(OFFSET($H$3,0,0,'Données projet'!$E$10+1,1))</f>
        <v>552.26894123675538</v>
      </c>
      <c r="AO48" s="59">
        <f t="shared" si="36"/>
        <v>409.85604950107006</v>
      </c>
      <c r="AP48" s="15">
        <f>IF(ISNA(VLOOKUP(A48,'Données projet'!$A$61:$I$81,3,0)),0,VLOOKUP(A48,'Données projet'!$A$61:$I$81,3,0))</f>
        <v>6</v>
      </c>
      <c r="AQ48" s="15">
        <f>IF(ISNA(VLOOKUP(A48,'Données projet'!$A$61:$I$81,4,0)),0,VLOOKUP(A48,'Données projet'!$A$61:$I$81,4,0))</f>
        <v>28</v>
      </c>
      <c r="AR48" s="16">
        <f>IF(ISNA(VLOOKUP(A48,'Données projet'!$A$61:$I$81,5,0)),0%,VLOOKUP(A48,'Données projet'!$A$61:$I$81,5,0)*VLOOKUP('Données projet'!$B$10,Paramètres!$A$1:$I$89,7,0))</f>
        <v>8.6000000000000007E-2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5.3022832094916961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5.3022832094916961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107</v>
      </c>
      <c r="BB48" s="12">
        <f>VLOOKUP(A48,'Données projet'!$A$87:$I$107,9,0)</f>
        <v>5.6</v>
      </c>
      <c r="BC48" s="12">
        <f t="array" ref="BC48">INDEX(BB:BB,MIN(IF(ISNUMBER(BB48:BB244),ROW(BB48:BB244),"")))</f>
        <v>5.6</v>
      </c>
      <c r="BD48" s="12">
        <f>IF('Données projet'!$A$88&gt;35,BD47+BC48-BL47,IF(A48&lt;'Données projet'!$A$88,$BA$205^A48,IF(A48='Données projet'!$A$88,'Données projet'!$B$88,BD47+BC48-BL47)))</f>
        <v>106.99999999999999</v>
      </c>
      <c r="BE48" s="13">
        <f>BD48*VLOOKUP('Données projet'!$B$11,Paramètres!$A$1:$I$89,3,0)*VLOOKUP('Données projet'!$B$11,Paramètres!$A$1:$I$89,5,0)</f>
        <v>115.17479999999998</v>
      </c>
      <c r="BF48" s="13">
        <f t="shared" si="37"/>
        <v>30.546926681092497</v>
      </c>
      <c r="BG48" s="20">
        <f t="shared" si="7"/>
        <v>253.79867396956936</v>
      </c>
      <c r="BH48" s="59">
        <f t="shared" si="8"/>
        <v>505.42543152040349</v>
      </c>
      <c r="BI48" s="59">
        <f ca="1">AVERAGE(OFFSET($BH$3,0,0,'Données projet'!$E$11+1,1))-AVERAGE(OFFSET($H$3,0,0,'Données projet'!$E$11+1,1))</f>
        <v>361.24725625563468</v>
      </c>
      <c r="BJ48" s="59">
        <f t="shared" si="38"/>
        <v>186.0840067781198</v>
      </c>
      <c r="BK48" s="15">
        <f>IF(ISNA(VLOOKUP(A48,'Données projet'!$A$87:$I$107,3,0)),0,VLOOKUP(A48,'Données projet'!$A$87:$I$107,3,0))</f>
        <v>5</v>
      </c>
      <c r="BL48" s="15">
        <f>IF(ISNA(VLOOKUP(A48,'Données projet'!$A$87:$I$107,4,0)),0,VLOOKUP(A48,'Données projet'!$A$87:$I$107,4,0))</f>
        <v>14</v>
      </c>
      <c r="BM48" s="16">
        <f>IF(ISNA(VLOOKUP(A48,'Données projet'!$A$87:$I$107,5,0)),0%,VLOOKUP(A48,'Données projet'!$A$87:$I$107,5,0)*VLOOKUP('Données projet'!$B$11,Paramètres!$A$1:$I$89,7,0))</f>
        <v>8.6000000000000007E-2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2.7302801601113948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2.7302801601113948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158</v>
      </c>
      <c r="BW48" s="12">
        <f>VLOOKUP(A48,'Données projet'!$A$113:$I$133,9,0)</f>
        <v>8.4</v>
      </c>
      <c r="BX48" s="12">
        <f t="array" ref="BX48">INDEX(BW:BW,MIN(IF(ISNUMBER(BW48:BW244),ROW(BW48:BW244),"")))</f>
        <v>8.4</v>
      </c>
      <c r="BY48" s="12">
        <f>IF('Données projet'!$A$114&gt;35,BY47+BX48-CG47,IF(A48&lt;'Données projet'!$A$114,$BV$205^A48,IF(A48='Données projet'!$A$114,'Données projet'!$B$114,BY47+BX48-CG47)))</f>
        <v>158.00000000000006</v>
      </c>
      <c r="BZ48" s="13">
        <f>BY48*VLOOKUP('Données projet'!$B$12,Paramètres!$A$1:$I$89,3,0)*VLOOKUP('Données projet'!$B$12,Paramètres!$A$1:$I$89,5,0)</f>
        <v>105.98640000000005</v>
      </c>
      <c r="CA48" s="13">
        <f t="shared" si="39"/>
        <v>28.383313189586875</v>
      </c>
      <c r="CB48" s="20">
        <f t="shared" si="10"/>
        <v>234.02725047186388</v>
      </c>
      <c r="CC48" s="59">
        <f t="shared" si="11"/>
        <v>485.65400802269801</v>
      </c>
      <c r="CD48" s="59">
        <f ca="1">AVERAGE(OFFSET($CC$3,0,0,'Données projet'!$E$12+1,1))-AVERAGE(OFFSET($H$3,0,0,'Données projet'!$E$12+1,1))</f>
        <v>323.91378047319455</v>
      </c>
      <c r="CE48" s="59">
        <f t="shared" si="40"/>
        <v>212.89889176380288</v>
      </c>
      <c r="CF48" s="15">
        <f>IF(ISNA(VLOOKUP(A48,'Données projet'!$A$113:$I$133,3,0)),0,VLOOKUP(A48,'Données projet'!$A$113:$I$133,3,0))</f>
        <v>6</v>
      </c>
      <c r="CG48" s="15">
        <f>IF(ISNA(VLOOKUP(A48,'Données projet'!$A$113:$I$133,4,0)),0,VLOOKUP(A48,'Données projet'!$A$113:$I$133,4,0))</f>
        <v>21</v>
      </c>
      <c r="CH48" s="16">
        <f>IF(ISNA(VLOOKUP(A48,'Données projet'!$A$113:$I$133,5,0)),0%,VLOOKUP(A48,'Données projet'!$A$113:$I$133,5,0)*VLOOKUP('Données projet'!$B$12,Paramètres!$A$1:$I$89,7,0))</f>
        <v>0.10600000000000001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3.1457575757805207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3.1457575757805207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20.612000000000002</v>
      </c>
      <c r="CT48" s="12">
        <f>IF('Données projet'!$A$140&gt;35,CT47+CS48-DB47,IF(A48&lt;'Données projet'!$A$140,$CQ$205^A48,IF(A48='Données projet'!$A$140,'Données projet'!$B$140,CT47+CS48-DB47)))</f>
        <v>445.64800000000008</v>
      </c>
      <c r="CU48" s="17">
        <f>CT48*VLOOKUP('Données projet'!$B$13,Paramètres!$A$1:$I$89,3,0)*VLOOKUP('Données projet'!$B$13,Paramètres!$A$1:$I$89,5,0)</f>
        <v>266.49750400000005</v>
      </c>
      <c r="CV48" s="13">
        <f t="shared" si="41"/>
        <v>64.105387319635156</v>
      </c>
      <c r="CW48" s="20">
        <f t="shared" si="13"/>
        <v>575.80003571503119</v>
      </c>
      <c r="CX48" s="59">
        <f t="shared" si="14"/>
        <v>827.42679326586529</v>
      </c>
      <c r="CY48" s="59">
        <f ca="1">AVERAGE(OFFSET($CX$3,0,0,'Données projet'!$E$13+1,1))-AVERAGE(OFFSET($H$3,0,0,'Données projet'!$E$13+1,1))</f>
        <v>356.07880667298025</v>
      </c>
      <c r="CZ48" s="59">
        <f t="shared" si="42"/>
        <v>396.05161661639659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12.231719649242665</v>
      </c>
      <c r="DG48" s="21">
        <f>EXP(-LN(2)/25)*DG47+(1-EXP(-LN(2)/25))/(LN(2)/25)*Calculateur!DB48*Calculateur!DD48*VLOOKUP('Données projet'!$B$13,Paramètres!$A$1:$I$89,3,0)*0.475*44/12</f>
        <v>16.001227407935041</v>
      </c>
      <c r="DH48" s="21">
        <f>EXP(-LN(2)/2)*DH47+(1-EXP(-LN(2)/2))/(LN(2)/2)*DB48*DE48*VLOOKUP('Données projet'!$B$13,Paramètres!$A$1:$I$89,3,0)*0.475*44/12</f>
        <v>0.69417307757145719</v>
      </c>
      <c r="DI48" s="22">
        <f t="shared" si="15"/>
        <v>28.92712013474916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14</v>
      </c>
      <c r="DO48" s="12">
        <f>IF('Données projet'!$A$166&gt;35,DO47+DN48-DW47,IF(A48&lt;'Données projet'!$A$166,$DL$205^A48,IF(A48='Données projet'!$A$166,'Données projet'!$B$166,DO47+DN48-DW47)))</f>
        <v>320</v>
      </c>
      <c r="DP48" s="17">
        <f>DO48*VLOOKUP('Données projet'!$B$14,Paramètres!$A$1:$I$89,3,0)*VLOOKUP('Données projet'!$B$14,Paramètres!$A$1:$I$89,5,0)</f>
        <v>149.76</v>
      </c>
      <c r="DQ48" s="13">
        <f t="shared" si="43"/>
        <v>38.524039677774802</v>
      </c>
      <c r="DR48" s="20">
        <f t="shared" si="16"/>
        <v>327.92803577212442</v>
      </c>
      <c r="DS48" s="59">
        <f t="shared" si="17"/>
        <v>579.55479332295852</v>
      </c>
      <c r="DT48" s="59">
        <f ca="1">AVERAGE(OFFSET($DS$3,0,0,'Données projet'!$E$14+1,1))-AVERAGE(OFFSET($H$3,0,0,'Données projet'!$E$14+1,1))</f>
        <v>246.11623544660486</v>
      </c>
      <c r="DU48" s="59">
        <f t="shared" si="44"/>
        <v>273.18950868898253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8.7223471113726614</v>
      </c>
      <c r="EB48" s="21">
        <f>EXP(-LN(2)/25)*EB47+(1-EXP(-LN(2)/25))/(LN(2)/25)*Calculateur!DW48*Calculateur!DY48*VLOOKUP('Données projet'!$B$14,Paramètres!$A$1:$I$89,3,0)*0.475*44/12</f>
        <v>13.891525242484908</v>
      </c>
      <c r="EC48" s="21">
        <f>EXP(-LN(2)/2)*EC47+(1-EXP(-LN(2)/2))/(LN(2)/2)*DW48*DZ48*VLOOKUP('Données projet'!$B$14,Paramètres!$A$1:$I$89,3,0)*0.475*44/12</f>
        <v>1.2705629451187277</v>
      </c>
      <c r="ED48" s="22">
        <f t="shared" si="18"/>
        <v>23.884435298976296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5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67">
        <f t="shared" si="1"/>
        <v>183.33333333333334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11</v>
      </c>
      <c r="N49" s="13">
        <f>IF('Données projet'!$A$36&gt;35,N48+M49-V48,IF(A49&lt;'Données projet'!$A$36,$K$205^A49,IF(A49='Données projet'!$A$36,'Données projet'!$B$36,N48+M49-V48)))</f>
        <v>187</v>
      </c>
      <c r="O49" s="13">
        <f>N49*VLOOKUP('Données projet'!$B$9,Paramètres!$A$1:$I$89,3,0)*VLOOKUP('Données projet'!$B$9,Paramètres!$A$1:$I$89,5,0)</f>
        <v>189.61799999999999</v>
      </c>
      <c r="P49" s="13">
        <f t="shared" si="33"/>
        <v>47.4554881852685</v>
      </c>
      <c r="Q49" s="20">
        <f t="shared" si="53"/>
        <v>412.90299192267594</v>
      </c>
      <c r="R49" s="59">
        <f t="shared" si="0"/>
        <v>665.25326532140161</v>
      </c>
      <c r="S49" s="59">
        <f ca="1">AVERAGE(OFFSET($R$3,0,0,'Données projet'!$E$9+1,1))-AVERAGE(OFFSET($H$3,0,0,'Données projet'!$E$9+1,1))</f>
        <v>538.10210778862256</v>
      </c>
      <c r="T49" s="59">
        <f t="shared" si="34"/>
        <v>399.53300632021399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5.0431352766978197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5.0431352766978197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11</v>
      </c>
      <c r="AI49" s="13">
        <f>IF('Données projet'!$A$62&gt;35,AI48+AH49-AQ48,IF(A49&lt;'Données projet'!$A$62,$AF$205^A49,IF(A49='Données projet'!$A$62,'Données projet'!$B$62,AI48+AH49-AQ48)))</f>
        <v>187</v>
      </c>
      <c r="AJ49" s="13">
        <f>AI49*VLOOKUP('Données projet'!$B$10,Paramètres!$A$1:$I$89,3,0)*VLOOKUP('Données projet'!$B$10,Paramètres!$A$1:$I$89,5,0)</f>
        <v>195.45240000000001</v>
      </c>
      <c r="AK49" s="13">
        <f t="shared" si="35"/>
        <v>48.743408969320619</v>
      </c>
      <c r="AL49" s="20">
        <f t="shared" si="4"/>
        <v>425.30770062156677</v>
      </c>
      <c r="AM49" s="59">
        <f t="shared" si="5"/>
        <v>677.65797402029239</v>
      </c>
      <c r="AN49" s="59">
        <f ca="1">AVERAGE(OFFSET($AM$3,0,0,'Données projet'!$E$10+1,1))-AVERAGE(OFFSET($H$3,0,0,'Données projet'!$E$10+1,1))</f>
        <v>552.26894123675538</v>
      </c>
      <c r="AO49" s="59">
        <f t="shared" si="36"/>
        <v>409.85604950107006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5.1983086698269831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5.1983086698269831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5.6</v>
      </c>
      <c r="BD49" s="12">
        <f>IF('Données projet'!$A$88&gt;35,BD48+BC49-BL48,IF(A49&lt;'Données projet'!$A$88,$BA$205^A49,IF(A49='Données projet'!$A$88,'Données projet'!$B$88,BD48+BC49-BL48)))</f>
        <v>98.59999999999998</v>
      </c>
      <c r="BE49" s="13">
        <f>BD49*VLOOKUP('Données projet'!$B$11,Paramètres!$A$1:$I$89,3,0)*VLOOKUP('Données projet'!$B$11,Paramètres!$A$1:$I$89,5,0)</f>
        <v>106.13303999999997</v>
      </c>
      <c r="BF49" s="13">
        <f t="shared" si="37"/>
        <v>28.418009728368016</v>
      </c>
      <c r="BG49" s="20">
        <f t="shared" si="7"/>
        <v>234.34307827690756</v>
      </c>
      <c r="BH49" s="59">
        <f t="shared" si="8"/>
        <v>486.69335167563321</v>
      </c>
      <c r="BI49" s="59">
        <f ca="1">AVERAGE(OFFSET($BH$3,0,0,'Données projet'!$E$11+1,1))-AVERAGE(OFFSET($H$3,0,0,'Données projet'!$E$11+1,1))</f>
        <v>361.24725625563468</v>
      </c>
      <c r="BJ49" s="59">
        <f t="shared" si="38"/>
        <v>186.0840067781198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2.6767410314780729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2.6767410314780729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8.1999999999999993</v>
      </c>
      <c r="BY49" s="12">
        <f>IF('Données projet'!$A$114&gt;35,BY48+BX49-CG48,IF(A49&lt;'Données projet'!$A$114,$BV$205^A49,IF(A49='Données projet'!$A$114,'Données projet'!$B$114,BY48+BX49-CG48)))</f>
        <v>145.20000000000005</v>
      </c>
      <c r="BZ49" s="13">
        <f>BY49*VLOOKUP('Données projet'!$B$12,Paramètres!$A$1:$I$89,3,0)*VLOOKUP('Données projet'!$B$12,Paramètres!$A$1:$I$89,5,0)</f>
        <v>97.400160000000042</v>
      </c>
      <c r="CA49" s="13">
        <f t="shared" si="39"/>
        <v>26.34167514323763</v>
      </c>
      <c r="CB49" s="20">
        <f t="shared" si="10"/>
        <v>215.5170295411389</v>
      </c>
      <c r="CC49" s="59">
        <f t="shared" si="11"/>
        <v>467.86730293986454</v>
      </c>
      <c r="CD49" s="59">
        <f ca="1">AVERAGE(OFFSET($CC$3,0,0,'Données projet'!$E$12+1,1))-AVERAGE(OFFSET($H$3,0,0,'Données projet'!$E$12+1,1))</f>
        <v>323.91378047319455</v>
      </c>
      <c r="CE49" s="59">
        <f t="shared" si="40"/>
        <v>212.89889176380288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3.0840711884421279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3.0840711884421279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>
        <f>VLOOKUP(A49,'Données projet'!$A$139:$I$159,2,0)</f>
        <v>466.26</v>
      </c>
      <c r="CR49" s="12">
        <f>VLOOKUP(A49,'Données projet'!$A$139:$I$159,9,0)</f>
        <v>20.612000000000002</v>
      </c>
      <c r="CS49" s="12">
        <f t="array" ref="CS49">INDEX(CR:CR,MIN(IF(ISNUMBER(CR49:CR245),ROW(CR49:CR245),"")))</f>
        <v>20.612000000000002</v>
      </c>
      <c r="CT49" s="12">
        <f>IF('Données projet'!$A$140&gt;35,CT48+CS49-DB48,IF(A49&lt;'Données projet'!$A$140,$CQ$205^A49,IF(A49='Données projet'!$A$140,'Données projet'!$B$140,CT48+CS49-DB48)))</f>
        <v>466.2600000000001</v>
      </c>
      <c r="CU49" s="17">
        <f>CT49*VLOOKUP('Données projet'!$B$13,Paramètres!$A$1:$I$89,3,0)*VLOOKUP('Données projet'!$B$13,Paramètres!$A$1:$I$89,5,0)</f>
        <v>278.82348000000007</v>
      </c>
      <c r="CV49" s="13">
        <f t="shared" si="41"/>
        <v>66.718315486273781</v>
      </c>
      <c r="CW49" s="20">
        <f t="shared" si="13"/>
        <v>601.81862713859357</v>
      </c>
      <c r="CX49" s="59">
        <f t="shared" si="14"/>
        <v>854.16890053731925</v>
      </c>
      <c r="CY49" s="59">
        <f ca="1">AVERAGE(OFFSET($CX$3,0,0,'Données projet'!$E$13+1,1))-AVERAGE(OFFSET($H$3,0,0,'Données projet'!$E$13+1,1))</f>
        <v>356.07880667298025</v>
      </c>
      <c r="CZ49" s="59">
        <f t="shared" si="42"/>
        <v>396.05161661639659</v>
      </c>
      <c r="DA49" s="15">
        <f>IF(ISNA(VLOOKUP(A49,'Données projet'!$A$139:$I$159,3,0)),0,VLOOKUP(A49,'Données projet'!$A$139:$I$159,3,0))</f>
        <v>9</v>
      </c>
      <c r="DB49" s="15">
        <f>IF(ISNA(VLOOKUP(A49,'Données projet'!$A$139:$I$159,4,0)),0,VLOOKUP(A49,'Données projet'!$A$139:$I$159,4,0))</f>
        <v>93</v>
      </c>
      <c r="DC49" s="16">
        <f>IF(ISNA(VLOOKUP(A49,'Données projet'!$A$139:$I$159,5,0)),0%,VLOOKUP(A49,'Données projet'!$A$139:$I$159,5,0)*VLOOKUP('Données projet'!$B$13,Paramètres!$A$1:$I$89,7,0))</f>
        <v>0.18000000000000002</v>
      </c>
      <c r="DD49" s="16">
        <f>IF(ISNA(VLOOKUP(A49,'Données projet'!$A$139:$I$159,6,0)),0%,VLOOKUP(A49,'Données projet'!$A$139:$I$159,6,0)*VLOOKUP('Données projet'!$B$13,Paramètres!$A$1:$I$89,7,0))</f>
        <v>0.15300000000000002</v>
      </c>
      <c r="DE49" s="16">
        <f>IF(ISNA(VLOOKUP(A49,'Données projet'!$A$139:$I$159,7,0)),0%,VLOOKUP(A49,'Données projet'!$A$139:$I$159,7,0))</f>
        <v>0.26</v>
      </c>
      <c r="DF49" s="21">
        <f>EXP(-LN(2)/35)*DF48+(1-EXP(-LN(2)/35))/(LN(2)/35)*DB49*DC49*VLOOKUP('Données projet'!$B$13,Paramètres!$A$1:$I$89,3,0)*0.475*44/12</f>
        <v>25.271463099999956</v>
      </c>
      <c r="DG49" s="21">
        <f>EXP(-LN(2)/25)*DG48+(1-EXP(-LN(2)/25))/(LN(2)/25)*Calculateur!DB49*Calculateur!DD49*VLOOKUP('Données projet'!$B$13,Paramètres!$A$1:$I$89,3,0)*0.475*44/12</f>
        <v>26.806889195196341</v>
      </c>
      <c r="DH49" s="21">
        <f>EXP(-LN(2)/2)*DH48+(1-EXP(-LN(2)/2))/(LN(2)/2)*DB49*DE49*VLOOKUP('Données projet'!$B$13,Paramètres!$A$1:$I$89,3,0)*0.475*44/12</f>
        <v>16.862525909073504</v>
      </c>
      <c r="DI49" s="22">
        <f t="shared" si="15"/>
        <v>68.940878204269808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14</v>
      </c>
      <c r="DO49" s="12">
        <f>IF('Données projet'!$A$166&gt;35,DO48+DN49-DW48,IF(A49&lt;'Données projet'!$A$166,$DL$205^A49,IF(A49='Données projet'!$A$166,'Données projet'!$B$166,DO48+DN49-DW48)))</f>
        <v>334</v>
      </c>
      <c r="DP49" s="17">
        <f>DO49*VLOOKUP('Données projet'!$B$14,Paramètres!$A$1:$I$89,3,0)*VLOOKUP('Données projet'!$B$14,Paramètres!$A$1:$I$89,5,0)</f>
        <v>156.31200000000001</v>
      </c>
      <c r="DQ49" s="13">
        <f t="shared" si="43"/>
        <v>40.009551101892576</v>
      </c>
      <c r="DR49" s="20">
        <f t="shared" si="16"/>
        <v>341.92670150246295</v>
      </c>
      <c r="DS49" s="59">
        <f t="shared" si="17"/>
        <v>594.27697490118862</v>
      </c>
      <c r="DT49" s="59">
        <f ca="1">AVERAGE(OFFSET($DS$3,0,0,'Données projet'!$E$14+1,1))-AVERAGE(OFFSET($H$3,0,0,'Données projet'!$E$14+1,1))</f>
        <v>246.11623544660486</v>
      </c>
      <c r="DU49" s="59">
        <f t="shared" si="44"/>
        <v>273.18950868898253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8.5513072046250649</v>
      </c>
      <c r="EB49" s="21">
        <f>EXP(-LN(2)/25)*EB48+(1-EXP(-LN(2)/25))/(LN(2)/25)*Calculateur!DW49*Calculateur!DY49*VLOOKUP('Données projet'!$B$14,Paramètres!$A$1:$I$89,3,0)*0.475*44/12</f>
        <v>13.511660754205595</v>
      </c>
      <c r="EC49" s="21">
        <f>EXP(-LN(2)/2)*EC48+(1-EXP(-LN(2)/2))/(LN(2)/2)*DW49*DZ49*VLOOKUP('Données projet'!$B$14,Paramètres!$A$1:$I$89,3,0)*0.475*44/12</f>
        <v>0.89842367441780369</v>
      </c>
      <c r="ED49" s="22">
        <f t="shared" si="18"/>
        <v>22.961391633248464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5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67">
        <f t="shared" si="1"/>
        <v>183.33333333333334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11</v>
      </c>
      <c r="N50" s="13">
        <f>IF('Données projet'!$A$36&gt;35,N49+M50-V49,IF(A50&lt;'Données projet'!$A$36,$K$205^A50,IF(A50='Données projet'!$A$36,'Données projet'!$B$36,N49+M50-V49)))</f>
        <v>198</v>
      </c>
      <c r="O50" s="13">
        <f>N50*VLOOKUP('Données projet'!$B$9,Paramètres!$A$1:$I$89,3,0)*VLOOKUP('Données projet'!$B$9,Paramètres!$A$1:$I$89,5,0)</f>
        <v>200.77200000000002</v>
      </c>
      <c r="P50" s="13">
        <f t="shared" si="33"/>
        <v>49.913791898945412</v>
      </c>
      <c r="Q50" s="20">
        <f t="shared" si="53"/>
        <v>436.61108755732994</v>
      </c>
      <c r="R50" s="59">
        <f t="shared" si="0"/>
        <v>689.67232542152533</v>
      </c>
      <c r="S50" s="59">
        <f ca="1">AVERAGE(OFFSET($R$3,0,0,'Données projet'!$E$9+1,1))-AVERAGE(OFFSET($H$3,0,0,'Données projet'!$E$9+1,1))</f>
        <v>538.10210778862256</v>
      </c>
      <c r="T50" s="59">
        <f t="shared" si="34"/>
        <v>399.53300632021399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4.9442424699305638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4.9442424699305638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11</v>
      </c>
      <c r="AI50" s="13">
        <f>IF('Données projet'!$A$62&gt;35,AI49+AH50-AQ49,IF(A50&lt;'Données projet'!$A$62,$AF$205^A50,IF(A50='Données projet'!$A$62,'Données projet'!$B$62,AI49+AH50-AQ49)))</f>
        <v>198</v>
      </c>
      <c r="AJ50" s="13">
        <f>AI50*VLOOKUP('Données projet'!$B$10,Paramètres!$A$1:$I$89,3,0)*VLOOKUP('Données projet'!$B$10,Paramètres!$A$1:$I$89,5,0)</f>
        <v>206.9496</v>
      </c>
      <c r="AK50" s="13">
        <f t="shared" si="35"/>
        <v>51.268429949375538</v>
      </c>
      <c r="AL50" s="20">
        <f t="shared" si="4"/>
        <v>449.7297354951624</v>
      </c>
      <c r="AM50" s="59">
        <f t="shared" si="5"/>
        <v>702.79097335935785</v>
      </c>
      <c r="AN50" s="59">
        <f ca="1">AVERAGE(OFFSET($AM$3,0,0,'Données projet'!$E$10+1,1))-AVERAGE(OFFSET($H$3,0,0,'Données projet'!$E$10+1,1))</f>
        <v>552.26894123675538</v>
      </c>
      <c r="AO50" s="59">
        <f t="shared" si="36"/>
        <v>409.85604950107006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5.0963730074668883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5.0963730074668883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5.6</v>
      </c>
      <c r="BD50" s="12">
        <f>IF('Données projet'!$A$88&gt;35,BD49+BC50-BL49,IF(A50&lt;'Données projet'!$A$88,$BA$205^A50,IF(A50='Données projet'!$A$88,'Données projet'!$B$88,BD49+BC50-BL49)))</f>
        <v>104.19999999999997</v>
      </c>
      <c r="BE50" s="13">
        <f>BD50*VLOOKUP('Données projet'!$B$11,Paramètres!$A$1:$I$89,3,0)*VLOOKUP('Données projet'!$B$11,Paramètres!$A$1:$I$89,5,0)</f>
        <v>112.16087999999998</v>
      </c>
      <c r="BF50" s="13">
        <f t="shared" si="37"/>
        <v>29.839526888181876</v>
      </c>
      <c r="BG50" s="20">
        <f t="shared" si="7"/>
        <v>247.31737533025003</v>
      </c>
      <c r="BH50" s="59">
        <f t="shared" si="8"/>
        <v>500.37861319444539</v>
      </c>
      <c r="BI50" s="59">
        <f ca="1">AVERAGE(OFFSET($BH$3,0,0,'Données projet'!$E$11+1,1))-AVERAGE(OFFSET($H$3,0,0,'Données projet'!$E$11+1,1))</f>
        <v>361.24725625563468</v>
      </c>
      <c r="BJ50" s="59">
        <f t="shared" si="38"/>
        <v>186.0840067781198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2.6242517725016064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2.6242517725016064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8.1999999999999993</v>
      </c>
      <c r="BY50" s="12">
        <f>IF('Données projet'!$A$114&gt;35,BY49+BX50-CG49,IF(A50&lt;'Données projet'!$A$114,$BV$205^A50,IF(A50='Données projet'!$A$114,'Données projet'!$B$114,BY49+BX50-CG49)))</f>
        <v>153.40000000000003</v>
      </c>
      <c r="BZ50" s="13">
        <f>BY50*VLOOKUP('Données projet'!$B$12,Paramètres!$A$1:$I$89,3,0)*VLOOKUP('Données projet'!$B$12,Paramètres!$A$1:$I$89,5,0)</f>
        <v>102.90072000000004</v>
      </c>
      <c r="CA50" s="13">
        <f t="shared" si="39"/>
        <v>27.65189983724564</v>
      </c>
      <c r="CB50" s="20">
        <f t="shared" si="10"/>
        <v>227.37914621653621</v>
      </c>
      <c r="CC50" s="59">
        <f t="shared" si="11"/>
        <v>480.44038408073163</v>
      </c>
      <c r="CD50" s="59">
        <f ca="1">AVERAGE(OFFSET($CC$3,0,0,'Données projet'!$E$12+1,1))-AVERAGE(OFFSET($H$3,0,0,'Données projet'!$E$12+1,1))</f>
        <v>323.91378047319455</v>
      </c>
      <c r="CE50" s="59">
        <f t="shared" si="40"/>
        <v>212.89889176380288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3.0235944335344596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3.0235944335344596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17.617500000000007</v>
      </c>
      <c r="CT50" s="12">
        <f>IF('Données projet'!$A$140&gt;35,CT49+CS50-DB49,IF(A50&lt;'Données projet'!$A$140,$CQ$205^A50,IF(A50='Données projet'!$A$140,'Données projet'!$B$140,CT49+CS50-DB49)))</f>
        <v>390.87750000000011</v>
      </c>
      <c r="CU50" s="17">
        <f>CT50*VLOOKUP('Données projet'!$B$13,Paramètres!$A$1:$I$89,3,0)*VLOOKUP('Données projet'!$B$13,Paramètres!$A$1:$I$89,5,0)</f>
        <v>233.74474500000008</v>
      </c>
      <c r="CV50" s="13">
        <f t="shared" si="41"/>
        <v>57.091620301844813</v>
      </c>
      <c r="CW50" s="20">
        <f t="shared" si="13"/>
        <v>506.5400029007132</v>
      </c>
      <c r="CX50" s="59">
        <f t="shared" si="14"/>
        <v>759.60124076490865</v>
      </c>
      <c r="CY50" s="59">
        <f ca="1">AVERAGE(OFFSET($CX$3,0,0,'Données projet'!$E$13+1,1))-AVERAGE(OFFSET($H$3,0,0,'Données projet'!$E$13+1,1))</f>
        <v>356.07880667298025</v>
      </c>
      <c r="CZ50" s="59">
        <f t="shared" si="42"/>
        <v>396.05161661639659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24.775905122679436</v>
      </c>
      <c r="DG50" s="21">
        <f>EXP(-LN(2)/25)*DG49+(1-EXP(-LN(2)/25))/(LN(2)/25)*Calculateur!DB50*Calculateur!DD50*VLOOKUP('Données projet'!$B$13,Paramètres!$A$1:$I$89,3,0)*0.475*44/12</f>
        <v>26.073853400440662</v>
      </c>
      <c r="DH50" s="21">
        <f>EXP(-LN(2)/2)*DH49+(1-EXP(-LN(2)/2))/(LN(2)/2)*DB50*DE50*VLOOKUP('Données projet'!$B$13,Paramètres!$A$1:$I$89,3,0)*0.475*44/12</f>
        <v>11.923606418239727</v>
      </c>
      <c r="DI50" s="22">
        <f t="shared" si="15"/>
        <v>62.77336494135983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14</v>
      </c>
      <c r="DO50" s="12">
        <f>IF('Données projet'!$A$166&gt;35,DO49+DN50-DW49,IF(A50&lt;'Données projet'!$A$166,$DL$205^A50,IF(A50='Données projet'!$A$166,'Données projet'!$B$166,DO49+DN50-DW49)))</f>
        <v>348</v>
      </c>
      <c r="DP50" s="17">
        <f>DO50*VLOOKUP('Données projet'!$B$14,Paramètres!$A$1:$I$89,3,0)*VLOOKUP('Données projet'!$B$14,Paramètres!$A$1:$I$89,5,0)</f>
        <v>162.864</v>
      </c>
      <c r="DQ50" s="13">
        <f t="shared" si="43"/>
        <v>41.487830069509123</v>
      </c>
      <c r="DR50" s="20">
        <f t="shared" si="16"/>
        <v>355.91277070439509</v>
      </c>
      <c r="DS50" s="59">
        <f t="shared" si="17"/>
        <v>608.97400856859053</v>
      </c>
      <c r="DT50" s="59">
        <f ca="1">AVERAGE(OFFSET($DS$3,0,0,'Données projet'!$E$14+1,1))-AVERAGE(OFFSET($H$3,0,0,'Données projet'!$E$14+1,1))</f>
        <v>246.11623544660486</v>
      </c>
      <c r="DU50" s="59">
        <f t="shared" si="44"/>
        <v>273.18950868898253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8.3836212861247468</v>
      </c>
      <c r="EB50" s="21">
        <f>EXP(-LN(2)/25)*EB49+(1-EXP(-LN(2)/25))/(LN(2)/25)*Calculateur!DW50*Calculateur!DY50*VLOOKUP('Données projet'!$B$14,Paramètres!$A$1:$I$89,3,0)*0.475*44/12</f>
        <v>13.142183680334485</v>
      </c>
      <c r="EC50" s="21">
        <f>EXP(-LN(2)/2)*EC49+(1-EXP(-LN(2)/2))/(LN(2)/2)*DW50*DZ50*VLOOKUP('Données projet'!$B$14,Paramètres!$A$1:$I$89,3,0)*0.475*44/12</f>
        <v>0.63528147255936396</v>
      </c>
      <c r="ED50" s="22">
        <f t="shared" si="18"/>
        <v>22.161086439018597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5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67">
        <f t="shared" si="1"/>
        <v>183.33333333333334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11</v>
      </c>
      <c r="N51" s="13">
        <f>IF('Données projet'!$A$36&gt;35,N50+M51-V50,IF(A51&lt;'Données projet'!$A$36,$K$205^A51,IF(A51='Données projet'!$A$36,'Données projet'!$B$36,N50+M51-V50)))</f>
        <v>209</v>
      </c>
      <c r="O51" s="13">
        <f>N51*VLOOKUP('Données projet'!$B$9,Paramètres!$A$1:$I$89,3,0)*VLOOKUP('Données projet'!$B$9,Paramètres!$A$1:$I$89,5,0)</f>
        <v>211.92599999999999</v>
      </c>
      <c r="P51" s="13">
        <f t="shared" si="33"/>
        <v>52.356241262970116</v>
      </c>
      <c r="Q51" s="20">
        <f t="shared" si="53"/>
        <v>460.29157019967289</v>
      </c>
      <c r="R51" s="59">
        <f t="shared" si="0"/>
        <v>714.05143888534053</v>
      </c>
      <c r="S51" s="59">
        <f ca="1">AVERAGE(OFFSET($R$3,0,0,'Données projet'!$E$9+1,1))-AVERAGE(OFFSET($H$3,0,0,'Données projet'!$E$9+1,1))</f>
        <v>538.10210778862256</v>
      </c>
      <c r="T51" s="59">
        <f t="shared" si="34"/>
        <v>399.53300632021399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4.8472888907853573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4.8472888907853573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11</v>
      </c>
      <c r="AI51" s="13">
        <f>IF('Données projet'!$A$62&gt;35,AI50+AH51-AQ50,IF(A51&lt;'Données projet'!$A$62,$AF$205^A51,IF(A51='Données projet'!$A$62,'Données projet'!$B$62,AI50+AH51-AQ50)))</f>
        <v>209</v>
      </c>
      <c r="AJ51" s="13">
        <f>AI51*VLOOKUP('Données projet'!$B$10,Paramètres!$A$1:$I$89,3,0)*VLOOKUP('Données projet'!$B$10,Paramètres!$A$1:$I$89,5,0)</f>
        <v>218.4468</v>
      </c>
      <c r="AK51" s="13">
        <f t="shared" si="35"/>
        <v>53.777166299799823</v>
      </c>
      <c r="AL51" s="20">
        <f t="shared" si="4"/>
        <v>474.12340797215137</v>
      </c>
      <c r="AM51" s="59">
        <f t="shared" si="5"/>
        <v>727.88327665781912</v>
      </c>
      <c r="AN51" s="59">
        <f ca="1">AVERAGE(OFFSET($AM$3,0,0,'Données projet'!$E$10+1,1))-AVERAGE(OFFSET($H$3,0,0,'Données projet'!$E$10+1,1))</f>
        <v>552.26894123675538</v>
      </c>
      <c r="AO51" s="59">
        <f t="shared" si="36"/>
        <v>409.85604950107006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4.9964362412710601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4.9964362412710601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5.6</v>
      </c>
      <c r="BD51" s="12">
        <f>IF('Données projet'!$A$88&gt;35,BD50+BC51-BL50,IF(A51&lt;'Données projet'!$A$88,$BA$205^A51,IF(A51='Données projet'!$A$88,'Données projet'!$B$88,BD50+BC51-BL50)))</f>
        <v>109.79999999999997</v>
      </c>
      <c r="BE51" s="13">
        <f>BD51*VLOOKUP('Données projet'!$B$11,Paramètres!$A$1:$I$89,3,0)*VLOOKUP('Données projet'!$B$11,Paramètres!$A$1:$I$89,5,0)</f>
        <v>118.18871999999996</v>
      </c>
      <c r="BF51" s="13">
        <f t="shared" si="37"/>
        <v>31.252174766242543</v>
      </c>
      <c r="BG51" s="20">
        <f t="shared" si="7"/>
        <v>260.2762250512057</v>
      </c>
      <c r="BH51" s="59">
        <f t="shared" si="8"/>
        <v>514.03609373687345</v>
      </c>
      <c r="BI51" s="59">
        <f ca="1">AVERAGE(OFFSET($BH$3,0,0,'Données projet'!$E$11+1,1))-AVERAGE(OFFSET($H$3,0,0,'Données projet'!$E$11+1,1))</f>
        <v>361.24725625563468</v>
      </c>
      <c r="BJ51" s="59">
        <f t="shared" si="38"/>
        <v>186.0840067781198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2.5727917958783815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2.5727917958783815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8.1999999999999993</v>
      </c>
      <c r="BY51" s="12">
        <f>IF('Données projet'!$A$114&gt;35,BY50+BX51-CG50,IF(A51&lt;'Données projet'!$A$114,$BV$205^A51,IF(A51='Données projet'!$A$114,'Données projet'!$B$114,BY50+BX51-CG50)))</f>
        <v>161.60000000000002</v>
      </c>
      <c r="BZ51" s="13">
        <f>BY51*VLOOKUP('Données projet'!$B$12,Paramètres!$A$1:$I$89,3,0)*VLOOKUP('Données projet'!$B$12,Paramètres!$A$1:$I$89,5,0)</f>
        <v>108.40128000000003</v>
      </c>
      <c r="CA51" s="13">
        <f t="shared" si="39"/>
        <v>28.953993320457293</v>
      </c>
      <c r="CB51" s="20">
        <f t="shared" si="10"/>
        <v>239.2271010331298</v>
      </c>
      <c r="CC51" s="59">
        <f t="shared" si="11"/>
        <v>492.98696971879747</v>
      </c>
      <c r="CD51" s="59">
        <f ca="1">AVERAGE(OFFSET($CC$3,0,0,'Données projet'!$E$12+1,1))-AVERAGE(OFFSET($H$3,0,0,'Données projet'!$E$12+1,1))</f>
        <v>323.91378047319455</v>
      </c>
      <c r="CE51" s="59">
        <f t="shared" si="40"/>
        <v>212.89889176380288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2.9643035909033526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2.9643035909033526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17.617500000000007</v>
      </c>
      <c r="CT51" s="12">
        <f>IF('Données projet'!$A$140&gt;35,CT50+CS51-DB50,IF(A51&lt;'Données projet'!$A$140,$CQ$205^A51,IF(A51='Données projet'!$A$140,'Données projet'!$B$140,CT50+CS51-DB50)))</f>
        <v>408.49500000000012</v>
      </c>
      <c r="CU51" s="17">
        <f>CT51*VLOOKUP('Données projet'!$B$13,Paramètres!$A$1:$I$89,3,0)*VLOOKUP('Données projet'!$B$13,Paramètres!$A$1:$I$89,5,0)</f>
        <v>244.28001000000009</v>
      </c>
      <c r="CV51" s="13">
        <f t="shared" si="41"/>
        <v>59.359445998964169</v>
      </c>
      <c r="CW51" s="20">
        <f t="shared" si="13"/>
        <v>528.83871919819615</v>
      </c>
      <c r="CX51" s="59">
        <f t="shared" si="14"/>
        <v>782.59858788386384</v>
      </c>
      <c r="CY51" s="59">
        <f ca="1">AVERAGE(OFFSET($CX$3,0,0,'Données projet'!$E$13+1,1))-AVERAGE(OFFSET($H$3,0,0,'Données projet'!$E$13+1,1))</f>
        <v>356.07880667298025</v>
      </c>
      <c r="CZ51" s="59">
        <f t="shared" si="42"/>
        <v>396.05161661639659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24.290064735033649</v>
      </c>
      <c r="DG51" s="21">
        <f>EXP(-LN(2)/25)*DG50+(1-EXP(-LN(2)/25))/(LN(2)/25)*Calculateur!DB51*Calculateur!DD51*VLOOKUP('Données projet'!$B$13,Paramètres!$A$1:$I$89,3,0)*0.475*44/12</f>
        <v>25.360862508041254</v>
      </c>
      <c r="DH51" s="21">
        <f>EXP(-LN(2)/2)*DH50+(1-EXP(-LN(2)/2))/(LN(2)/2)*DB51*DE51*VLOOKUP('Données projet'!$B$13,Paramètres!$A$1:$I$89,3,0)*0.475*44/12</f>
        <v>8.4312629545367521</v>
      </c>
      <c r="DI51" s="22">
        <f t="shared" si="15"/>
        <v>58.082190197611652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14</v>
      </c>
      <c r="DO51" s="12">
        <f>IF('Données projet'!$A$166&gt;35,DO50+DN51-DW50,IF(A51&lt;'Données projet'!$A$166,$DL$205^A51,IF(A51='Données projet'!$A$166,'Données projet'!$B$166,DO50+DN51-DW50)))</f>
        <v>362</v>
      </c>
      <c r="DP51" s="17">
        <f>DO51*VLOOKUP('Données projet'!$B$14,Paramètres!$A$1:$I$89,3,0)*VLOOKUP('Données projet'!$B$14,Paramètres!$A$1:$I$89,5,0)</f>
        <v>169.416</v>
      </c>
      <c r="DQ51" s="13">
        <f t="shared" si="43"/>
        <v>42.959200828261054</v>
      </c>
      <c r="DR51" s="20">
        <f t="shared" si="16"/>
        <v>369.88680810922136</v>
      </c>
      <c r="DS51" s="59">
        <f t="shared" si="17"/>
        <v>623.64667679488912</v>
      </c>
      <c r="DT51" s="59">
        <f ca="1">AVERAGE(OFFSET($DS$3,0,0,'Données projet'!$E$14+1,1))-AVERAGE(OFFSET($H$3,0,0,'Données projet'!$E$14+1,1))</f>
        <v>246.11623544660486</v>
      </c>
      <c r="DU51" s="59">
        <f t="shared" si="44"/>
        <v>273.18950868898253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8.2192235862079084</v>
      </c>
      <c r="EB51" s="21">
        <f>EXP(-LN(2)/25)*EB50+(1-EXP(-LN(2)/25))/(LN(2)/25)*Calculateur!DW51*Calculateur!DY51*VLOOKUP('Données projet'!$B$14,Paramètres!$A$1:$I$89,3,0)*0.475*44/12</f>
        <v>12.782809976478335</v>
      </c>
      <c r="EC51" s="21">
        <f>EXP(-LN(2)/2)*EC50+(1-EXP(-LN(2)/2))/(LN(2)/2)*DW51*DZ51*VLOOKUP('Données projet'!$B$14,Paramètres!$A$1:$I$89,3,0)*0.475*44/12</f>
        <v>0.4492118372089019</v>
      </c>
      <c r="ED51" s="22">
        <f t="shared" si="18"/>
        <v>21.451245399895146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5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67">
        <f t="shared" si="1"/>
        <v>183.33333333333334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11</v>
      </c>
      <c r="N52" s="13">
        <f>IF('Données projet'!$A$36&gt;35,N51+M52-V51,IF(A52&lt;'Données projet'!$A$36,$K$205^A52,IF(A52='Données projet'!$A$36,'Données projet'!$B$36,N51+M52-V51)))</f>
        <v>220</v>
      </c>
      <c r="O52" s="13">
        <f>N52*VLOOKUP('Données projet'!$B$9,Paramètres!$A$1:$I$89,3,0)*VLOOKUP('Données projet'!$B$9,Paramètres!$A$1:$I$89,5,0)</f>
        <v>223.08</v>
      </c>
      <c r="P52" s="13">
        <f t="shared" si="33"/>
        <v>54.783765878062667</v>
      </c>
      <c r="Q52" s="20">
        <f t="shared" si="53"/>
        <v>483.94605890429244</v>
      </c>
      <c r="R52" s="59">
        <f t="shared" si="0"/>
        <v>738.39243872858447</v>
      </c>
      <c r="S52" s="59">
        <f ca="1">AVERAGE(OFFSET($R$3,0,0,'Données projet'!$E$9+1,1))-AVERAGE(OFFSET($H$3,0,0,'Données projet'!$E$9+1,1))</f>
        <v>538.10210778862256</v>
      </c>
      <c r="T52" s="59">
        <f t="shared" si="34"/>
        <v>399.53300632021399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4.7522365121913444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4.7522365121913444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11</v>
      </c>
      <c r="AI52" s="13">
        <f>IF('Données projet'!$A$62&gt;35,AI51+AH52-AQ51,IF(A52&lt;'Données projet'!$A$62,$AF$205^A52,IF(A52='Données projet'!$A$62,'Données projet'!$B$62,AI51+AH52-AQ51)))</f>
        <v>220</v>
      </c>
      <c r="AJ52" s="13">
        <f>AI52*VLOOKUP('Données projet'!$B$10,Paramètres!$A$1:$I$89,3,0)*VLOOKUP('Données projet'!$B$10,Paramètres!$A$1:$I$89,5,0)</f>
        <v>229.94400000000002</v>
      </c>
      <c r="AK52" s="13">
        <f t="shared" si="35"/>
        <v>56.270572850262418</v>
      </c>
      <c r="AL52" s="20">
        <f t="shared" si="4"/>
        <v>498.49038104754032</v>
      </c>
      <c r="AM52" s="59">
        <f t="shared" si="5"/>
        <v>752.93676087183235</v>
      </c>
      <c r="AN52" s="59">
        <f ca="1">AVERAGE(OFFSET($AM$3,0,0,'Données projet'!$E$10+1,1))-AVERAGE(OFFSET($H$3,0,0,'Données projet'!$E$10+1,1))</f>
        <v>552.26894123675538</v>
      </c>
      <c r="AO52" s="59">
        <f t="shared" si="36"/>
        <v>409.85604950107006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4.8984591741049233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4.8984591741049233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5.6</v>
      </c>
      <c r="BD52" s="12">
        <f>IF('Données projet'!$A$88&gt;35,BD51+BC52-BL51,IF(A52&lt;'Données projet'!$A$88,$BA$205^A52,IF(A52='Données projet'!$A$88,'Données projet'!$B$88,BD51+BC52-BL51)))</f>
        <v>115.39999999999996</v>
      </c>
      <c r="BE52" s="13">
        <f>BD52*VLOOKUP('Données projet'!$B$11,Paramètres!$A$1:$I$89,3,0)*VLOOKUP('Données projet'!$B$11,Paramètres!$A$1:$I$89,5,0)</f>
        <v>124.21655999999994</v>
      </c>
      <c r="BF52" s="13">
        <f t="shared" si="37"/>
        <v>32.656457317237347</v>
      </c>
      <c r="BG52" s="20">
        <f t="shared" si="7"/>
        <v>273.220505160855</v>
      </c>
      <c r="BH52" s="59">
        <f t="shared" si="8"/>
        <v>527.66688498514691</v>
      </c>
      <c r="BI52" s="59">
        <f ca="1">AVERAGE(OFFSET($BH$3,0,0,'Données projet'!$E$11+1,1))-AVERAGE(OFFSET($H$3,0,0,'Données projet'!$E$11+1,1))</f>
        <v>361.24725625563468</v>
      </c>
      <c r="BJ52" s="59">
        <f t="shared" si="38"/>
        <v>186.0840067781198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2.5223409180092515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2.5223409180092515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8.1999999999999993</v>
      </c>
      <c r="BY52" s="12">
        <f>IF('Données projet'!$A$114&gt;35,BY51+BX52-CG51,IF(A52&lt;'Données projet'!$A$114,$BV$205^A52,IF(A52='Données projet'!$A$114,'Données projet'!$B$114,BY51+BX52-CG51)))</f>
        <v>169.8</v>
      </c>
      <c r="BZ52" s="13">
        <f>BY52*VLOOKUP('Données projet'!$B$12,Paramètres!$A$1:$I$89,3,0)*VLOOKUP('Données projet'!$B$12,Paramètres!$A$1:$I$89,5,0)</f>
        <v>113.90184000000002</v>
      </c>
      <c r="CA52" s="13">
        <f t="shared" si="39"/>
        <v>30.248415264444404</v>
      </c>
      <c r="CB52" s="20">
        <f t="shared" si="10"/>
        <v>251.06169458557397</v>
      </c>
      <c r="CC52" s="59">
        <f t="shared" si="11"/>
        <v>505.50807440986591</v>
      </c>
      <c r="CD52" s="59">
        <f ca="1">AVERAGE(OFFSET($CC$3,0,0,'Données projet'!$E$12+1,1))-AVERAGE(OFFSET($H$3,0,0,'Données projet'!$E$12+1,1))</f>
        <v>323.91378047319455</v>
      </c>
      <c r="CE52" s="59">
        <f t="shared" si="40"/>
        <v>212.89889176380288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2.9061754055323985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2.9061754055323985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17.617500000000007</v>
      </c>
      <c r="CT52" s="12">
        <f>IF('Données projet'!$A$140&gt;35,CT51+CS52-DB51,IF(A52&lt;'Données projet'!$A$140,$CQ$205^A52,IF(A52='Données projet'!$A$140,'Données projet'!$B$140,CT51+CS52-DB51)))</f>
        <v>426.11250000000013</v>
      </c>
      <c r="CU52" s="17">
        <f>CT52*VLOOKUP('Données projet'!$B$13,Paramètres!$A$1:$I$89,3,0)*VLOOKUP('Données projet'!$B$13,Paramètres!$A$1:$I$89,5,0)</f>
        <v>254.8152750000001</v>
      </c>
      <c r="CV52" s="13">
        <f t="shared" si="41"/>
        <v>61.61591184221087</v>
      </c>
      <c r="CW52" s="20">
        <f t="shared" si="13"/>
        <v>551.11765041685078</v>
      </c>
      <c r="CX52" s="59">
        <f t="shared" si="14"/>
        <v>805.56403024114275</v>
      </c>
      <c r="CY52" s="59">
        <f ca="1">AVERAGE(OFFSET($CX$3,0,0,'Données projet'!$E$13+1,1))-AVERAGE(OFFSET($H$3,0,0,'Données projet'!$E$13+1,1))</f>
        <v>356.07880667298025</v>
      </c>
      <c r="CZ52" s="59">
        <f t="shared" si="42"/>
        <v>396.05161661639659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23.813751381056221</v>
      </c>
      <c r="DG52" s="21">
        <f>EXP(-LN(2)/25)*DG51+(1-EXP(-LN(2)/25))/(LN(2)/25)*Calculateur!DB52*Calculateur!DD52*VLOOKUP('Données projet'!$B$13,Paramètres!$A$1:$I$89,3,0)*0.475*44/12</f>
        <v>24.66736838908907</v>
      </c>
      <c r="DH52" s="21">
        <f>EXP(-LN(2)/2)*DH51+(1-EXP(-LN(2)/2))/(LN(2)/2)*DB52*DE52*VLOOKUP('Données projet'!$B$13,Paramètres!$A$1:$I$89,3,0)*0.475*44/12</f>
        <v>5.9618032091198634</v>
      </c>
      <c r="DI52" s="22">
        <f t="shared" si="15"/>
        <v>54.442922979265155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14</v>
      </c>
      <c r="DO52" s="12">
        <f>IF('Données projet'!$A$166&gt;35,DO51+DN52-DW51,IF(A52&lt;'Données projet'!$A$166,$DL$205^A52,IF(A52='Données projet'!$A$166,'Données projet'!$B$166,DO51+DN52-DW51)))</f>
        <v>376</v>
      </c>
      <c r="DP52" s="17">
        <f>DO52*VLOOKUP('Données projet'!$B$14,Paramètres!$A$1:$I$89,3,0)*VLOOKUP('Données projet'!$B$14,Paramètres!$A$1:$I$89,5,0)</f>
        <v>175.96799999999999</v>
      </c>
      <c r="DQ52" s="13">
        <f t="shared" si="43"/>
        <v>44.423961125650585</v>
      </c>
      <c r="DR52" s="20">
        <f t="shared" si="16"/>
        <v>383.84933229384137</v>
      </c>
      <c r="DS52" s="59">
        <f t="shared" si="17"/>
        <v>638.29571211813334</v>
      </c>
      <c r="DT52" s="59">
        <f ca="1">AVERAGE(OFFSET($DS$3,0,0,'Données projet'!$E$14+1,1))-AVERAGE(OFFSET($H$3,0,0,'Données projet'!$E$14+1,1))</f>
        <v>246.11623544660486</v>
      </c>
      <c r="DU52" s="59">
        <f t="shared" si="44"/>
        <v>273.18950868898253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8.0580496249137425</v>
      </c>
      <c r="EB52" s="21">
        <f>EXP(-LN(2)/25)*EB51+(1-EXP(-LN(2)/25))/(LN(2)/25)*Calculateur!DW52*Calculateur!DY52*VLOOKUP('Données projet'!$B$14,Paramètres!$A$1:$I$89,3,0)*0.475*44/12</f>
        <v>12.433263365452774</v>
      </c>
      <c r="EC52" s="21">
        <f>EXP(-LN(2)/2)*EC51+(1-EXP(-LN(2)/2))/(LN(2)/2)*DW52*DZ52*VLOOKUP('Données projet'!$B$14,Paramètres!$A$1:$I$89,3,0)*0.475*44/12</f>
        <v>0.31764073627968203</v>
      </c>
      <c r="ED52" s="22">
        <f t="shared" si="18"/>
        <v>20.808953726646198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5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67">
        <f t="shared" si="1"/>
        <v>183.33333333333334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231</v>
      </c>
      <c r="L53" s="12">
        <f>VLOOKUP(A53,'Données projet'!$A$35:$I$55,9,0)</f>
        <v>11</v>
      </c>
      <c r="M53" s="12">
        <f t="array" ref="M53">INDEX(L:L,MIN(IF(ISNUMBER(L53:L249),ROW(L53:L249),"")))</f>
        <v>11</v>
      </c>
      <c r="N53" s="13">
        <f>IF('Données projet'!$A$36&gt;35,N52+M53-V52,IF(A53&lt;'Données projet'!$A$36,$K$205^A53,IF(A53='Données projet'!$A$36,'Données projet'!$B$36,N52+M53-V52)))</f>
        <v>231</v>
      </c>
      <c r="O53" s="13">
        <f>N53*VLOOKUP('Données projet'!$B$9,Paramètres!$A$1:$I$89,3,0)*VLOOKUP('Données projet'!$B$9,Paramètres!$A$1:$I$89,5,0)</f>
        <v>234.23400000000001</v>
      </c>
      <c r="P53" s="13">
        <f t="shared" si="33"/>
        <v>57.197197133603488</v>
      </c>
      <c r="Q53" s="20">
        <f t="shared" si="53"/>
        <v>507.57600167435936</v>
      </c>
      <c r="R53" s="59">
        <f t="shared" si="0"/>
        <v>762.6969832038294</v>
      </c>
      <c r="S53" s="59">
        <f ca="1">AVERAGE(OFFSET($R$3,0,0,'Données projet'!$E$9+1,1))-AVERAGE(OFFSET($H$3,0,0,'Données projet'!$E$9+1,1))</f>
        <v>538.10210778862256</v>
      </c>
      <c r="T53" s="59">
        <f t="shared" si="34"/>
        <v>399.53300632021399</v>
      </c>
      <c r="U53" s="15">
        <f>IF(ISNA(VLOOKUP(A53,'Données projet'!$A$35:$I$55,3,0)),0,VLOOKUP(A53,'Données projet'!$A$35:$I$55,3,0))</f>
        <v>7</v>
      </c>
      <c r="V53" s="15">
        <f>IF(ISNA(VLOOKUP(A53,'Données projet'!$A$35:$I$55,4,0)),0,VLOOKUP(A53,'Données projet'!$A$35:$I$55,4,0))</f>
        <v>28</v>
      </c>
      <c r="W53" s="16">
        <f>IF(ISNA(VLOOKUP(A53,'Données projet'!$A$35:$I$55,5,0)),0%,VLOOKUP(A53,'Données projet'!$A$35:$I$55,5,0)*VLOOKUP('Données projet'!$B$9,Paramètres!$A$1:$I$89,7,0))</f>
        <v>0.129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8.7079084897905723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8.7079084897905723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231</v>
      </c>
      <c r="AG53" s="12">
        <f>VLOOKUP(A53,'Données projet'!$A$61:$I$81,9,0)</f>
        <v>11</v>
      </c>
      <c r="AH53" s="12">
        <f t="array" ref="AH53">INDEX(AG:AG,MIN(IF(ISNUMBER(AG53:AG249),ROW(AG53:AG249),"")))</f>
        <v>11</v>
      </c>
      <c r="AI53" s="13">
        <f>IF('Données projet'!$A$62&gt;35,AI52+AH53-AQ52,IF(A53&lt;'Données projet'!$A$62,$AF$205^A53,IF(A53='Données projet'!$A$62,'Données projet'!$B$62,AI52+AH53-AQ52)))</f>
        <v>231</v>
      </c>
      <c r="AJ53" s="13">
        <f>AI53*VLOOKUP('Données projet'!$B$10,Paramètres!$A$1:$I$89,3,0)*VLOOKUP('Données projet'!$B$10,Paramètres!$A$1:$I$89,5,0)</f>
        <v>241.44120000000004</v>
      </c>
      <c r="AK53" s="13">
        <f t="shared" si="35"/>
        <v>58.749503553680732</v>
      </c>
      <c r="AL53" s="20">
        <f t="shared" si="4"/>
        <v>522.83214202266061</v>
      </c>
      <c r="AM53" s="59">
        <f t="shared" si="5"/>
        <v>777.95312355213071</v>
      </c>
      <c r="AN53" s="59">
        <f ca="1">AVERAGE(OFFSET($AM$3,0,0,'Données projet'!$E$10+1,1))-AVERAGE(OFFSET($H$3,0,0,'Données projet'!$E$10+1,1))</f>
        <v>552.26894123675538</v>
      </c>
      <c r="AO53" s="59">
        <f t="shared" si="36"/>
        <v>409.85604950107006</v>
      </c>
      <c r="AP53" s="15">
        <f>IF(ISNA(VLOOKUP(A53,'Données projet'!$A$61:$I$81,3,0)),0,VLOOKUP(A53,'Données projet'!$A$61:$I$81,3,0))</f>
        <v>7</v>
      </c>
      <c r="AQ53" s="15">
        <f>IF(ISNA(VLOOKUP(A53,'Données projet'!$A$61:$I$81,4,0)),0,VLOOKUP(A53,'Données projet'!$A$61:$I$81,4,0))</f>
        <v>28</v>
      </c>
      <c r="AR53" s="16">
        <f>IF(ISNA(VLOOKUP(A53,'Données projet'!$A$61:$I$81,5,0)),0%,VLOOKUP(A53,'Données projet'!$A$61:$I$81,5,0)*VLOOKUP('Données projet'!$B$10,Paramètres!$A$1:$I$89,7,0))</f>
        <v>0.129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8.9758441356302807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8.9758441356302807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121</v>
      </c>
      <c r="BB53" s="12">
        <f>VLOOKUP(A53,'Données projet'!$A$87:$I$107,9,0)</f>
        <v>5.6</v>
      </c>
      <c r="BC53" s="12">
        <f t="array" ref="BC53">INDEX(BB:BB,MIN(IF(ISNUMBER(BB53:BB249),ROW(BB53:BB249),"")))</f>
        <v>5.6</v>
      </c>
      <c r="BD53" s="12">
        <f>IF('Données projet'!$A$88&gt;35,BD52+BC53-BL52,IF(A53&lt;'Données projet'!$A$88,$BA$205^A53,IF(A53='Données projet'!$A$88,'Données projet'!$B$88,BD52+BC53-BL52)))</f>
        <v>120.99999999999996</v>
      </c>
      <c r="BE53" s="13">
        <f>BD53*VLOOKUP('Données projet'!$B$11,Paramètres!$A$1:$I$89,3,0)*VLOOKUP('Données projet'!$B$11,Paramètres!$A$1:$I$89,5,0)</f>
        <v>130.24439999999996</v>
      </c>
      <c r="BF53" s="13">
        <f t="shared" si="37"/>
        <v>34.052826821785409</v>
      </c>
      <c r="BG53" s="20">
        <f t="shared" si="7"/>
        <v>286.1510033812761</v>
      </c>
      <c r="BH53" s="59">
        <f t="shared" si="8"/>
        <v>541.27198491074614</v>
      </c>
      <c r="BI53" s="59">
        <f ca="1">AVERAGE(OFFSET($BH$3,0,0,'Données projet'!$E$11+1,1))-AVERAGE(OFFSET($H$3,0,0,'Données projet'!$E$11+1,1))</f>
        <v>361.24725625563468</v>
      </c>
      <c r="BJ53" s="59">
        <f t="shared" si="38"/>
        <v>186.0840067781198</v>
      </c>
      <c r="BK53" s="15">
        <f>IF(ISNA(VLOOKUP(A53,'Données projet'!$A$87:$I$107,3,0)),0,VLOOKUP(A53,'Données projet'!$A$87:$I$107,3,0))</f>
        <v>6</v>
      </c>
      <c r="BL53" s="15">
        <f>IF(ISNA(VLOOKUP(A53,'Données projet'!$A$87:$I$107,4,0)),0,VLOOKUP(A53,'Données projet'!$A$87:$I$107,4,0))</f>
        <v>14</v>
      </c>
      <c r="BM53" s="16">
        <f>IF(ISNA(VLOOKUP(A53,'Données projet'!$A$87:$I$107,5,0)),0%,VLOOKUP(A53,'Données projet'!$A$87:$I$107,5,0)*VLOOKUP('Données projet'!$B$11,Paramètres!$A$1:$I$89,7,0))</f>
        <v>8.6000000000000007E-2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3.9055530441843764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3.9055530441843764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178</v>
      </c>
      <c r="BW53" s="12">
        <f>VLOOKUP(A53,'Données projet'!$A$113:$I$133,9,0)</f>
        <v>8.1999999999999993</v>
      </c>
      <c r="BX53" s="12">
        <f t="array" ref="BX53">INDEX(BW:BW,MIN(IF(ISNUMBER(BW53:BW249),ROW(BW53:BW249),"")))</f>
        <v>8.1999999999999993</v>
      </c>
      <c r="BY53" s="12">
        <f>IF('Données projet'!$A$114&gt;35,BY52+BX53-CG52,IF(A53&lt;'Données projet'!$A$114,$BV$205^A53,IF(A53='Données projet'!$A$114,'Données projet'!$B$114,BY52+BX53-CG52)))</f>
        <v>178</v>
      </c>
      <c r="BZ53" s="13">
        <f>BY53*VLOOKUP('Données projet'!$B$12,Paramètres!$A$1:$I$89,3,0)*VLOOKUP('Données projet'!$B$12,Paramètres!$A$1:$I$89,5,0)</f>
        <v>119.40239999999999</v>
      </c>
      <c r="CA53" s="13">
        <f t="shared" si="39"/>
        <v>31.535578435312072</v>
      </c>
      <c r="CB53" s="20">
        <f t="shared" si="10"/>
        <v>262.8836457748352</v>
      </c>
      <c r="CC53" s="59">
        <f t="shared" si="11"/>
        <v>518.00462730430536</v>
      </c>
      <c r="CD53" s="59">
        <f ca="1">AVERAGE(OFFSET($CC$3,0,0,'Données projet'!$E$12+1,1))-AVERAGE(OFFSET($H$3,0,0,'Données projet'!$E$12+1,1))</f>
        <v>323.91378047319455</v>
      </c>
      <c r="CE53" s="59">
        <f t="shared" si="40"/>
        <v>212.89889176380288</v>
      </c>
      <c r="CF53" s="15">
        <f>IF(ISNA(VLOOKUP(A53,'Données projet'!$A$113:$I$133,3,0)),0,VLOOKUP(A53,'Données projet'!$A$113:$I$133,3,0))</f>
        <v>7</v>
      </c>
      <c r="CG53" s="15">
        <f>IF(ISNA(VLOOKUP(A53,'Données projet'!$A$113:$I$133,4,0)),0,VLOOKUP(A53,'Données projet'!$A$113:$I$133,4,0))</f>
        <v>21</v>
      </c>
      <c r="CH53" s="16">
        <f>IF(ISNA(VLOOKUP(A53,'Données projet'!$A$113:$I$133,5,0)),0%,VLOOKUP(A53,'Données projet'!$A$113:$I$133,5,0)*VLOOKUP('Données projet'!$B$12,Paramètres!$A$1:$I$89,7,0))</f>
        <v>0.159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5.3252209610642343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5.3252209610642343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443.73</v>
      </c>
      <c r="CR53" s="12">
        <f>VLOOKUP(A53,'Données projet'!$A$139:$I$159,9,0)</f>
        <v>17.617500000000007</v>
      </c>
      <c r="CS53" s="12">
        <f t="array" ref="CS53">INDEX(CR:CR,MIN(IF(ISNUMBER(CR53:CR249),ROW(CR53:CR249),"")))</f>
        <v>17.617500000000007</v>
      </c>
      <c r="CT53" s="12">
        <f>IF('Données projet'!$A$140&gt;35,CT52+CS53-DB52,IF(A53&lt;'Données projet'!$A$140,$CQ$205^A53,IF(A53='Données projet'!$A$140,'Données projet'!$B$140,CT52+CS53-DB52)))</f>
        <v>443.73000000000013</v>
      </c>
      <c r="CU53" s="17">
        <f>CT53*VLOOKUP('Données projet'!$B$13,Paramètres!$A$1:$I$89,3,0)*VLOOKUP('Données projet'!$B$13,Paramètres!$A$1:$I$89,5,0)</f>
        <v>265.35054000000008</v>
      </c>
      <c r="CV53" s="13">
        <f t="shared" si="41"/>
        <v>63.861541215481004</v>
      </c>
      <c r="CW53" s="20">
        <f t="shared" si="13"/>
        <v>573.37770811696282</v>
      </c>
      <c r="CX53" s="59">
        <f t="shared" si="14"/>
        <v>828.49868964643292</v>
      </c>
      <c r="CY53" s="59">
        <f ca="1">AVERAGE(OFFSET($CX$3,0,0,'Données projet'!$E$13+1,1))-AVERAGE(OFFSET($H$3,0,0,'Données projet'!$E$13+1,1))</f>
        <v>356.07880667298025</v>
      </c>
      <c r="CZ53" s="59">
        <f t="shared" si="42"/>
        <v>396.05161661639659</v>
      </c>
      <c r="DA53" s="15">
        <f>IF(ISNA(VLOOKUP(A53,'Données projet'!$A$139:$I$159,3,0)),0,VLOOKUP(A53,'Données projet'!$A$139:$I$159,3,0))</f>
        <v>10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23.346778241427831</v>
      </c>
      <c r="DG53" s="21">
        <f>EXP(-LN(2)/25)*DG52+(1-EXP(-LN(2)/25))/(LN(2)/25)*Calculateur!DB53*Calculateur!DD53*VLOOKUP('Données projet'!$B$13,Paramètres!$A$1:$I$89,3,0)*0.475*44/12</f>
        <v>23.992837903288905</v>
      </c>
      <c r="DH53" s="21">
        <f>EXP(-LN(2)/2)*DH52+(1-EXP(-LN(2)/2))/(LN(2)/2)*DB53*DE53*VLOOKUP('Données projet'!$B$13,Paramètres!$A$1:$I$89,3,0)*0.475*44/12</f>
        <v>4.2156314772683761</v>
      </c>
      <c r="DI53" s="22">
        <f t="shared" si="15"/>
        <v>51.55524762198511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390</v>
      </c>
      <c r="DM53" s="12">
        <f>VLOOKUP(A53,'Données projet'!$A$165:$I$185,9,0)</f>
        <v>14</v>
      </c>
      <c r="DN53" s="12">
        <f t="array" ref="DN53">INDEX(DM:DM,MIN(IF(ISNUMBER(DM53:DM249),ROW(DM53:DM249),"")))</f>
        <v>14</v>
      </c>
      <c r="DO53" s="12">
        <f>IF('Données projet'!$A$166&gt;35,DO52+DN53-DW52,IF(A53&lt;'Données projet'!$A$166,$DL$205^A53,IF(A53='Données projet'!$A$166,'Données projet'!$B$166,DO52+DN53-DW52)))</f>
        <v>390</v>
      </c>
      <c r="DP53" s="17">
        <f>DO53*VLOOKUP('Données projet'!$B$14,Paramètres!$A$1:$I$89,3,0)*VLOOKUP('Données projet'!$B$14,Paramètres!$A$1:$I$89,5,0)</f>
        <v>182.52</v>
      </c>
      <c r="DQ53" s="13">
        <f t="shared" si="43"/>
        <v>45.882385280285632</v>
      </c>
      <c r="DR53" s="20">
        <f t="shared" si="16"/>
        <v>397.80082102983079</v>
      </c>
      <c r="DS53" s="59">
        <f t="shared" si="17"/>
        <v>652.92180255930089</v>
      </c>
      <c r="DT53" s="59">
        <f ca="1">AVERAGE(OFFSET($DS$3,0,0,'Données projet'!$E$14+1,1))-AVERAGE(OFFSET($H$3,0,0,'Données projet'!$E$14+1,1))</f>
        <v>246.11623544660486</v>
      </c>
      <c r="DU53" s="59">
        <f t="shared" si="44"/>
        <v>273.18950868898253</v>
      </c>
      <c r="DV53" s="15">
        <f>IF(ISNA(VLOOKUP(A53,'Données projet'!$A$165:$I$185,3,0)),0,VLOOKUP(A53,'Données projet'!$A$165:$I$185,3,0))</f>
        <v>4</v>
      </c>
      <c r="DW53" s="15">
        <f>IF(ISNA(VLOOKUP(A53,'Données projet'!$A$165:$I$185,4,0)),0,VLOOKUP(A53,'Données projet'!$A$165:$I$185,4,0))</f>
        <v>50</v>
      </c>
      <c r="DX53" s="16">
        <f>IF(ISNA(VLOOKUP(A53,'Données projet'!$A$165:$I$185,5,0)),0%,VLOOKUP(A53,'Données projet'!$A$165:$I$185,5,0)*VLOOKUP('Données projet'!$B$14,Paramètres!$A$1:$I$89,7,0))</f>
        <v>0.27500000000000002</v>
      </c>
      <c r="DY53" s="16">
        <f>IF(ISNA(VLOOKUP(A53,'Données projet'!$A$165:$I$185,6,0)),0%,VLOOKUP(A53,'Données projet'!$A$165:$I$185,6,0)*VLOOKUP('Données projet'!$B$14,Paramètres!$A$1:$I$89,7,0))</f>
        <v>0.15400000000000003</v>
      </c>
      <c r="DZ53" s="16">
        <f>IF(ISNA(VLOOKUP(A53,'Données projet'!$A$165:$I$185,7,0)),0%,VLOOKUP(A53,'Données projet'!$A$165:$I$185,7,0))</f>
        <v>0.22</v>
      </c>
      <c r="EA53" s="21">
        <f>EXP(-LN(2)/35)*EA52+(1-EXP(-LN(2)/35))/(LN(2)/35)*DW53*DX53*VLOOKUP('Données projet'!$B$14,Paramètres!$A$1:$I$89,3,0)*0.475*44/12</f>
        <v>16.436478457447588</v>
      </c>
      <c r="EB53" s="21">
        <f>EXP(-LN(2)/25)*EB52+(1-EXP(-LN(2)/25))/(LN(2)/25)*Calculateur!DW53*Calculateur!DY53*VLOOKUP('Données projet'!$B$14,Paramètres!$A$1:$I$89,3,0)*0.475*44/12</f>
        <v>16.854860510028189</v>
      </c>
      <c r="EC53" s="21">
        <f>EXP(-LN(2)/2)*EC52+(1-EXP(-LN(2)/2))/(LN(2)/2)*DW53*DZ53*VLOOKUP('Données projet'!$B$14,Paramètres!$A$1:$I$89,3,0)*0.475*44/12</f>
        <v>6.0533377862706965</v>
      </c>
      <c r="ED53" s="22">
        <f t="shared" si="18"/>
        <v>39.344676753746477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5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67">
        <f t="shared" si="1"/>
        <v>183.33333333333334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10.199999999999999</v>
      </c>
      <c r="N54" s="13">
        <f>IF('Données projet'!$A$36&gt;35,N53+M54-V53,IF(A54&lt;'Données projet'!$A$36,$K$205^A54,IF(A54='Données projet'!$A$36,'Données projet'!$B$36,N53+M54-V53)))</f>
        <v>213.2</v>
      </c>
      <c r="O54" s="13">
        <f>N54*VLOOKUP('Données projet'!$B$9,Paramètres!$A$1:$I$89,3,0)*VLOOKUP('Données projet'!$B$9,Paramètres!$A$1:$I$89,5,0)</f>
        <v>216.1848</v>
      </c>
      <c r="P54" s="13">
        <f t="shared" si="33"/>
        <v>53.284828478170375</v>
      </c>
      <c r="Q54" s="20">
        <f t="shared" si="53"/>
        <v>469.32626959947999</v>
      </c>
      <c r="R54" s="59">
        <f t="shared" si="0"/>
        <v>725.11015000272687</v>
      </c>
      <c r="S54" s="59">
        <f ca="1">AVERAGE(OFFSET($R$3,0,0,'Données projet'!$E$9+1,1))-AVERAGE(OFFSET($H$3,0,0,'Données projet'!$E$9+1,1))</f>
        <v>538.10210778862256</v>
      </c>
      <c r="T54" s="59">
        <f t="shared" si="34"/>
        <v>399.53300632021399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8.5371517156055106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8.5371517156055106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10.199999999999999</v>
      </c>
      <c r="AI54" s="13">
        <f>IF('Données projet'!$A$62&gt;35,AI53+AH54-AQ53,IF(A54&lt;'Données projet'!$A$62,$AF$205^A54,IF(A54='Données projet'!$A$62,'Données projet'!$B$62,AI53+AH54-AQ53)))</f>
        <v>213.2</v>
      </c>
      <c r="AJ54" s="13">
        <f>AI54*VLOOKUP('Données projet'!$B$10,Paramètres!$A$1:$I$89,3,0)*VLOOKUP('Données projet'!$B$10,Paramètres!$A$1:$I$89,5,0)</f>
        <v>222.83663999999999</v>
      </c>
      <c r="AK54" s="13">
        <f t="shared" si="35"/>
        <v>54.730954957867816</v>
      </c>
      <c r="AL54" s="20">
        <f t="shared" si="4"/>
        <v>483.43022788495313</v>
      </c>
      <c r="AM54" s="59">
        <f t="shared" si="5"/>
        <v>739.2141082881999</v>
      </c>
      <c r="AN54" s="59">
        <f ca="1">AVERAGE(OFFSET($AM$3,0,0,'Données projet'!$E$10+1,1))-AVERAGE(OFFSET($H$3,0,0,'Données projet'!$E$10+1,1))</f>
        <v>552.26894123675538</v>
      </c>
      <c r="AO54" s="59">
        <f t="shared" si="36"/>
        <v>409.85604950107006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8.7998333068549091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8.7998333068549091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5.6</v>
      </c>
      <c r="BD54" s="12">
        <f>IF('Données projet'!$A$88&gt;35,BD53+BC54-BL53,IF(A54&lt;'Données projet'!$A$88,$BA$205^A54,IF(A54='Données projet'!$A$88,'Données projet'!$B$88,BD53+BC54-BL53)))</f>
        <v>112.59999999999995</v>
      </c>
      <c r="BE54" s="13">
        <f>BD54*VLOOKUP('Données projet'!$B$11,Paramètres!$A$1:$I$89,3,0)*VLOOKUP('Données projet'!$B$11,Paramètres!$A$1:$I$89,5,0)</f>
        <v>121.20263999999995</v>
      </c>
      <c r="BF54" s="13">
        <f t="shared" si="37"/>
        <v>31.955332323658638</v>
      </c>
      <c r="BG54" s="20">
        <f t="shared" si="7"/>
        <v>266.75013513037203</v>
      </c>
      <c r="BH54" s="59">
        <f t="shared" si="8"/>
        <v>522.53401553361891</v>
      </c>
      <c r="BI54" s="59">
        <f ca="1">AVERAGE(OFFSET($BH$3,0,0,'Données projet'!$E$11+1,1))-AVERAGE(OFFSET($H$3,0,0,'Données projet'!$E$11+1,1))</f>
        <v>361.24725625563468</v>
      </c>
      <c r="BJ54" s="59">
        <f t="shared" si="38"/>
        <v>186.0840067781198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3.8289675311400599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3.8289675311400599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8</v>
      </c>
      <c r="BY54" s="12">
        <f>IF('Données projet'!$A$114&gt;35,BY53+BX54-CG53,IF(A54&lt;'Données projet'!$A$114,$BV$205^A54,IF(A54='Données projet'!$A$114,'Données projet'!$B$114,BY53+BX54-CG53)))</f>
        <v>165</v>
      </c>
      <c r="BZ54" s="13">
        <f>BY54*VLOOKUP('Données projet'!$B$12,Paramètres!$A$1:$I$89,3,0)*VLOOKUP('Données projet'!$B$12,Paramètres!$A$1:$I$89,5,0)</f>
        <v>110.682</v>
      </c>
      <c r="CA54" s="13">
        <f t="shared" si="39"/>
        <v>29.49161124389969</v>
      </c>
      <c r="CB54" s="20">
        <f t="shared" si="10"/>
        <v>244.13570624979195</v>
      </c>
      <c r="CC54" s="59">
        <f t="shared" si="11"/>
        <v>499.91958665303878</v>
      </c>
      <c r="CD54" s="59">
        <f ca="1">AVERAGE(OFFSET($CC$3,0,0,'Données projet'!$E$12+1,1))-AVERAGE(OFFSET($H$3,0,0,'Données projet'!$E$12+1,1))</f>
        <v>323.91378047319455</v>
      </c>
      <c r="CE54" s="59">
        <f t="shared" si="40"/>
        <v>212.89889176380288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5.2207966260818308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5.2207966260818308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17.995000000000005</v>
      </c>
      <c r="CT54" s="12">
        <f>IF('Données projet'!$A$140&gt;35,CT53+CS54-DB53,IF(A54&lt;'Données projet'!$A$140,$CQ$205^A54,IF(A54='Données projet'!$A$140,'Données projet'!$B$140,CT53+CS54-DB53)))</f>
        <v>461.72500000000014</v>
      </c>
      <c r="CU54" s="17">
        <f>CT54*VLOOKUP('Données projet'!$B$13,Paramètres!$A$1:$I$89,3,0)*VLOOKUP('Données projet'!$B$13,Paramètres!$A$1:$I$89,5,0)</f>
        <v>276.11155000000008</v>
      </c>
      <c r="CV54" s="13">
        <f t="shared" si="41"/>
        <v>66.144599992702055</v>
      </c>
      <c r="CW54" s="20">
        <f t="shared" si="13"/>
        <v>596.09612790395624</v>
      </c>
      <c r="CX54" s="59">
        <f t="shared" si="14"/>
        <v>851.88000830720307</v>
      </c>
      <c r="CY54" s="59">
        <f ca="1">AVERAGE(OFFSET($CX$3,0,0,'Données projet'!$E$13+1,1))-AVERAGE(OFFSET($H$3,0,0,'Données projet'!$E$13+1,1))</f>
        <v>356.07880667298025</v>
      </c>
      <c r="CZ54" s="59">
        <f t="shared" si="42"/>
        <v>396.05161661639659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22.888962160242063</v>
      </c>
      <c r="DG54" s="21">
        <f>EXP(-LN(2)/25)*DG53+(1-EXP(-LN(2)/25))/(LN(2)/25)*Calculateur!DB54*Calculateur!DD54*VLOOKUP('Données projet'!$B$13,Paramètres!$A$1:$I$89,3,0)*0.475*44/12</f>
        <v>23.336752489094962</v>
      </c>
      <c r="DH54" s="21">
        <f>EXP(-LN(2)/2)*DH53+(1-EXP(-LN(2)/2))/(LN(2)/2)*DB54*DE54*VLOOKUP('Données projet'!$B$13,Paramètres!$A$1:$I$89,3,0)*0.475*44/12</f>
        <v>2.9809016045599317</v>
      </c>
      <c r="DI54" s="22">
        <f t="shared" si="15"/>
        <v>49.206616253896954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13</v>
      </c>
      <c r="DO54" s="12">
        <f>IF('Données projet'!$A$166&gt;35,DO53+DN54-DW53,IF(A54&lt;'Données projet'!$A$166,$DL$205^A54,IF(A54='Données projet'!$A$166,'Données projet'!$B$166,DO53+DN54-DW53)))</f>
        <v>353</v>
      </c>
      <c r="DP54" s="17">
        <f>DO54*VLOOKUP('Données projet'!$B$14,Paramètres!$A$1:$I$89,3,0)*VLOOKUP('Données projet'!$B$14,Paramètres!$A$1:$I$89,5,0)</f>
        <v>165.20400000000001</v>
      </c>
      <c r="DQ54" s="13">
        <f t="shared" si="43"/>
        <v>42.01409666579589</v>
      </c>
      <c r="DR54" s="20">
        <f t="shared" si="16"/>
        <v>360.90485169292782</v>
      </c>
      <c r="DS54" s="59">
        <f t="shared" si="17"/>
        <v>616.68873209617459</v>
      </c>
      <c r="DT54" s="59">
        <f ca="1">AVERAGE(OFFSET($DS$3,0,0,'Données projet'!$E$14+1,1))-AVERAGE(OFFSET($H$3,0,0,'Données projet'!$E$14+1,1))</f>
        <v>246.11623544660486</v>
      </c>
      <c r="DU54" s="59">
        <f t="shared" si="44"/>
        <v>273.18950868898253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16.114169140158989</v>
      </c>
      <c r="EB54" s="21">
        <f>EXP(-LN(2)/25)*EB53+(1-EXP(-LN(2)/25))/(LN(2)/25)*Calculateur!DW54*Calculateur!DY54*VLOOKUP('Données projet'!$B$14,Paramètres!$A$1:$I$89,3,0)*0.475*44/12</f>
        <v>16.393963463022875</v>
      </c>
      <c r="EC54" s="21">
        <f>EXP(-LN(2)/2)*EC53+(1-EXP(-LN(2)/2))/(LN(2)/2)*DW54*DZ54*VLOOKUP('Données projet'!$B$14,Paramètres!$A$1:$I$89,3,0)*0.475*44/12</f>
        <v>4.2803561974847737</v>
      </c>
      <c r="ED54" s="22">
        <f t="shared" si="18"/>
        <v>36.788488800666634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5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67">
        <f t="shared" si="1"/>
        <v>183.33333333333334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10.199999999999999</v>
      </c>
      <c r="N55" s="13">
        <f>IF('Données projet'!$A$36&gt;35,N54+M55-V54,IF(A55&lt;'Données projet'!$A$36,$K$205^A55,IF(A55='Données projet'!$A$36,'Données projet'!$B$36,N54+M55-V54)))</f>
        <v>223.39999999999998</v>
      </c>
      <c r="O55" s="13">
        <f>N55*VLOOKUP('Données projet'!$B$9,Paramètres!$A$1:$I$89,3,0)*VLOOKUP('Données projet'!$B$9,Paramètres!$A$1:$I$89,5,0)</f>
        <v>226.52759999999998</v>
      </c>
      <c r="P55" s="13">
        <f t="shared" si="33"/>
        <v>55.531204013656371</v>
      </c>
      <c r="Q55" s="20">
        <f t="shared" si="53"/>
        <v>491.25241699045142</v>
      </c>
      <c r="R55" s="59">
        <f t="shared" si="0"/>
        <v>747.68769645403472</v>
      </c>
      <c r="S55" s="59">
        <f ca="1">AVERAGE(OFFSET($R$3,0,0,'Données projet'!$E$9+1,1))-AVERAGE(OFFSET($H$3,0,0,'Données projet'!$E$9+1,1))</f>
        <v>538.10210778862256</v>
      </c>
      <c r="T55" s="59">
        <f t="shared" si="34"/>
        <v>399.53300632021399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8.3697433776108703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8.3697433776108703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10.199999999999999</v>
      </c>
      <c r="AI55" s="13">
        <f>IF('Données projet'!$A$62&gt;35,AI54+AH55-AQ54,IF(A55&lt;'Données projet'!$A$62,$AF$205^A55,IF(A55='Données projet'!$A$62,'Données projet'!$B$62,AI54+AH55-AQ54)))</f>
        <v>223.39999999999998</v>
      </c>
      <c r="AJ55" s="13">
        <f>AI55*VLOOKUP('Données projet'!$B$10,Paramètres!$A$1:$I$89,3,0)*VLOOKUP('Données projet'!$B$10,Paramètres!$A$1:$I$89,5,0)</f>
        <v>233.49768</v>
      </c>
      <c r="AK55" s="13">
        <f t="shared" si="35"/>
        <v>57.038296123496387</v>
      </c>
      <c r="AL55" s="20">
        <f t="shared" si="4"/>
        <v>506.01682508175617</v>
      </c>
      <c r="AM55" s="59">
        <f t="shared" si="5"/>
        <v>762.45210454533958</v>
      </c>
      <c r="AN55" s="59">
        <f ca="1">AVERAGE(OFFSET($AM$3,0,0,'Données projet'!$E$10+1,1))-AVERAGE(OFFSET($H$3,0,0,'Données projet'!$E$10+1,1))</f>
        <v>552.26894123675538</v>
      </c>
      <c r="AO55" s="59">
        <f t="shared" si="36"/>
        <v>409.85604950107006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8.6272739430758172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8.6272739430758172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5.6</v>
      </c>
      <c r="BD55" s="12">
        <f>IF('Données projet'!$A$88&gt;35,BD54+BC55-BL54,IF(A55&lt;'Données projet'!$A$88,$BA$205^A55,IF(A55='Données projet'!$A$88,'Données projet'!$B$88,BD54+BC55-BL54)))</f>
        <v>118.19999999999995</v>
      </c>
      <c r="BE55" s="13">
        <f>BD55*VLOOKUP('Données projet'!$B$11,Paramètres!$A$1:$I$89,3,0)*VLOOKUP('Données projet'!$B$11,Paramètres!$A$1:$I$89,5,0)</f>
        <v>127.23047999999993</v>
      </c>
      <c r="BF55" s="13">
        <f t="shared" si="37"/>
        <v>33.355604737684331</v>
      </c>
      <c r="BG55" s="20">
        <f t="shared" si="7"/>
        <v>279.68743091813337</v>
      </c>
      <c r="BH55" s="59">
        <f t="shared" si="8"/>
        <v>536.12271038171673</v>
      </c>
      <c r="BI55" s="59">
        <f ca="1">AVERAGE(OFFSET($BH$3,0,0,'Données projet'!$E$11+1,1))-AVERAGE(OFFSET($H$3,0,0,'Données projet'!$E$11+1,1))</f>
        <v>361.24725625563468</v>
      </c>
      <c r="BJ55" s="59">
        <f t="shared" si="38"/>
        <v>186.0840067781198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3.7538838132939918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3.7538838132939918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8</v>
      </c>
      <c r="BY55" s="12">
        <f>IF('Données projet'!$A$114&gt;35,BY54+BX55-CG54,IF(A55&lt;'Données projet'!$A$114,$BV$205^A55,IF(A55='Données projet'!$A$114,'Données projet'!$B$114,BY54+BX55-CG54)))</f>
        <v>173</v>
      </c>
      <c r="BZ55" s="13">
        <f>BY55*VLOOKUP('Données projet'!$B$12,Paramètres!$A$1:$I$89,3,0)*VLOOKUP('Données projet'!$B$12,Paramètres!$A$1:$I$89,5,0)</f>
        <v>116.0484</v>
      </c>
      <c r="CA55" s="13">
        <f t="shared" si="39"/>
        <v>30.751565097980826</v>
      </c>
      <c r="CB55" s="20">
        <f t="shared" si="10"/>
        <v>255.67660587898322</v>
      </c>
      <c r="CC55" s="59">
        <f t="shared" si="11"/>
        <v>512.11188534256655</v>
      </c>
      <c r="CD55" s="59">
        <f ca="1">AVERAGE(OFFSET($CC$3,0,0,'Données projet'!$E$12+1,1))-AVERAGE(OFFSET($H$3,0,0,'Données projet'!$E$12+1,1))</f>
        <v>323.91378047319455</v>
      </c>
      <c r="CE55" s="59">
        <f t="shared" si="40"/>
        <v>212.89889176380288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5.1184199886158774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5.1184199886158774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17.995000000000005</v>
      </c>
      <c r="CT55" s="12">
        <f>IF('Données projet'!$A$140&gt;35,CT54+CS55-DB54,IF(A55&lt;'Données projet'!$A$140,$CQ$205^A55,IF(A55='Données projet'!$A$140,'Données projet'!$B$140,CT54+CS55-DB54)))</f>
        <v>479.72000000000014</v>
      </c>
      <c r="CU55" s="17">
        <f>CT55*VLOOKUP('Données projet'!$B$13,Paramètres!$A$1:$I$89,3,0)*VLOOKUP('Données projet'!$B$13,Paramètres!$A$1:$I$89,5,0)</f>
        <v>286.87256000000014</v>
      </c>
      <c r="CV55" s="13">
        <f t="shared" si="41"/>
        <v>68.41732235454451</v>
      </c>
      <c r="CW55" s="20">
        <f t="shared" si="13"/>
        <v>618.79654510083196</v>
      </c>
      <c r="CX55" s="59">
        <f t="shared" si="14"/>
        <v>875.23182456441532</v>
      </c>
      <c r="CY55" s="59">
        <f ca="1">AVERAGE(OFFSET($CX$3,0,0,'Données projet'!$E$13+1,1))-AVERAGE(OFFSET($H$3,0,0,'Données projet'!$E$13+1,1))</f>
        <v>356.07880667298025</v>
      </c>
      <c r="CZ55" s="59">
        <f t="shared" si="42"/>
        <v>396.05161661639659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22.440123573168112</v>
      </c>
      <c r="DG55" s="21">
        <f>EXP(-LN(2)/25)*DG54+(1-EXP(-LN(2)/25))/(LN(2)/25)*Calculateur!DB55*Calculateur!DD55*VLOOKUP('Données projet'!$B$13,Paramètres!$A$1:$I$89,3,0)*0.475*44/12</f>
        <v>22.698607765054184</v>
      </c>
      <c r="DH55" s="21">
        <f>EXP(-LN(2)/2)*DH54+(1-EXP(-LN(2)/2))/(LN(2)/2)*DB55*DE55*VLOOKUP('Données projet'!$B$13,Paramètres!$A$1:$I$89,3,0)*0.475*44/12</f>
        <v>2.107815738634188</v>
      </c>
      <c r="DI55" s="22">
        <f t="shared" si="15"/>
        <v>47.246547076856487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13</v>
      </c>
      <c r="DO55" s="12">
        <f>IF('Données projet'!$A$166&gt;35,DO54+DN55-DW54,IF(A55&lt;'Données projet'!$A$166,$DL$205^A55,IF(A55='Données projet'!$A$166,'Données projet'!$B$166,DO54+DN55-DW54)))</f>
        <v>366</v>
      </c>
      <c r="DP55" s="17">
        <f>DO55*VLOOKUP('Données projet'!$B$14,Paramètres!$A$1:$I$89,3,0)*VLOOKUP('Données projet'!$B$14,Paramètres!$A$1:$I$89,5,0)</f>
        <v>171.28799999999998</v>
      </c>
      <c r="DQ55" s="13">
        <f t="shared" si="43"/>
        <v>43.37836589572138</v>
      </c>
      <c r="DR55" s="20">
        <f t="shared" si="16"/>
        <v>373.87725393504803</v>
      </c>
      <c r="DS55" s="59">
        <f t="shared" si="17"/>
        <v>630.31253339863133</v>
      </c>
      <c r="DT55" s="59">
        <f ca="1">AVERAGE(OFFSET($DS$3,0,0,'Données projet'!$E$14+1,1))-AVERAGE(OFFSET($H$3,0,0,'Données projet'!$E$14+1,1))</f>
        <v>246.11623544660486</v>
      </c>
      <c r="DU55" s="59">
        <f t="shared" si="44"/>
        <v>273.18950868898253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15.798180111993146</v>
      </c>
      <c r="EB55" s="21">
        <f>EXP(-LN(2)/25)*EB54+(1-EXP(-LN(2)/25))/(LN(2)/25)*Calculateur!DW55*Calculateur!DY55*VLOOKUP('Données projet'!$B$14,Paramètres!$A$1:$I$89,3,0)*0.475*44/12</f>
        <v>15.945669670005444</v>
      </c>
      <c r="EC55" s="21">
        <f>EXP(-LN(2)/2)*EC54+(1-EXP(-LN(2)/2))/(LN(2)/2)*DW55*DZ55*VLOOKUP('Données projet'!$B$14,Paramètres!$A$1:$I$89,3,0)*0.475*44/12</f>
        <v>3.0266688931353487</v>
      </c>
      <c r="ED55" s="22">
        <f t="shared" si="18"/>
        <v>34.770518675133943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5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67">
        <f t="shared" si="1"/>
        <v>183.33333333333334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10.199999999999999</v>
      </c>
      <c r="N56" s="13">
        <f>IF('Données projet'!$A$36&gt;35,N55+M56-V55,IF(A56&lt;'Données projet'!$A$36,$K$205^A56,IF(A56='Données projet'!$A$36,'Données projet'!$B$36,N55+M56-V55)))</f>
        <v>233.59999999999997</v>
      </c>
      <c r="O56" s="13">
        <f>N56*VLOOKUP('Données projet'!$B$9,Paramètres!$A$1:$I$89,3,0)*VLOOKUP('Données projet'!$B$9,Paramètres!$A$1:$I$89,5,0)</f>
        <v>236.87039999999996</v>
      </c>
      <c r="P56" s="13">
        <f t="shared" si="33"/>
        <v>57.765668276484661</v>
      </c>
      <c r="Q56" s="20">
        <f t="shared" si="53"/>
        <v>513.15781891487734</v>
      </c>
      <c r="R56" s="59">
        <f t="shared" si="0"/>
        <v>770.23319712141051</v>
      </c>
      <c r="S56" s="59">
        <f ca="1">AVERAGE(OFFSET($R$3,0,0,'Données projet'!$E$9+1,1))-AVERAGE(OFFSET($H$3,0,0,'Données projet'!$E$9+1,1))</f>
        <v>538.10210778862256</v>
      </c>
      <c r="T56" s="59">
        <f t="shared" si="34"/>
        <v>399.53300632021399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8.2056178150152999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8.2056178150152999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10.199999999999999</v>
      </c>
      <c r="AI56" s="13">
        <f>IF('Données projet'!$A$62&gt;35,AI55+AH56-AQ55,IF(A56&lt;'Données projet'!$A$62,$AF$205^A56,IF(A56='Données projet'!$A$62,'Données projet'!$B$62,AI55+AH56-AQ55)))</f>
        <v>233.59999999999997</v>
      </c>
      <c r="AJ56" s="13">
        <f>AI56*VLOOKUP('Données projet'!$B$10,Paramètres!$A$1:$I$89,3,0)*VLOOKUP('Données projet'!$B$10,Paramètres!$A$1:$I$89,5,0)</f>
        <v>244.15872000000002</v>
      </c>
      <c r="AK56" s="13">
        <f t="shared" si="35"/>
        <v>59.333402749839792</v>
      </c>
      <c r="AL56" s="20">
        <f t="shared" si="4"/>
        <v>528.58211378930434</v>
      </c>
      <c r="AM56" s="59">
        <f t="shared" si="5"/>
        <v>785.65749199583752</v>
      </c>
      <c r="AN56" s="59">
        <f ca="1">AVERAGE(OFFSET($AM$3,0,0,'Données projet'!$E$10+1,1))-AVERAGE(OFFSET($H$3,0,0,'Données projet'!$E$10+1,1))</f>
        <v>552.26894123675538</v>
      </c>
      <c r="AO56" s="59">
        <f t="shared" si="36"/>
        <v>409.85604950107006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8.4580983631696149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8.4580983631696149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5.6</v>
      </c>
      <c r="BD56" s="12">
        <f>IF('Données projet'!$A$88&gt;35,BD55+BC56-BL55,IF(A56&lt;'Données projet'!$A$88,$BA$205^A56,IF(A56='Données projet'!$A$88,'Données projet'!$B$88,BD55+BC56-BL55)))</f>
        <v>123.79999999999994</v>
      </c>
      <c r="BE56" s="13">
        <f>BD56*VLOOKUP('Données projet'!$B$11,Paramètres!$A$1:$I$89,3,0)*VLOOKUP('Données projet'!$B$11,Paramètres!$A$1:$I$89,5,0)</f>
        <v>133.25831999999994</v>
      </c>
      <c r="BF56" s="13">
        <f t="shared" si="37"/>
        <v>34.748173250809565</v>
      </c>
      <c r="BG56" s="20">
        <f t="shared" si="7"/>
        <v>292.61130907849321</v>
      </c>
      <c r="BH56" s="59">
        <f t="shared" si="8"/>
        <v>549.68668728502644</v>
      </c>
      <c r="BI56" s="59">
        <f ca="1">AVERAGE(OFFSET($BH$3,0,0,'Données projet'!$E$11+1,1))-AVERAGE(OFFSET($H$3,0,0,'Données projet'!$E$11+1,1))</f>
        <v>361.24725625563468</v>
      </c>
      <c r="BJ56" s="59">
        <f t="shared" si="38"/>
        <v>186.0840067781198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3.6802724413583392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3.6802724413583392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8</v>
      </c>
      <c r="BY56" s="12">
        <f>IF('Données projet'!$A$114&gt;35,BY55+BX56-CG55,IF(A56&lt;'Données projet'!$A$114,$BV$205^A56,IF(A56='Données projet'!$A$114,'Données projet'!$B$114,BY55+BX56-CG55)))</f>
        <v>181</v>
      </c>
      <c r="BZ56" s="13">
        <f>BY56*VLOOKUP('Données projet'!$B$12,Paramètres!$A$1:$I$89,3,0)*VLOOKUP('Données projet'!$B$12,Paramètres!$A$1:$I$89,5,0)</f>
        <v>121.4148</v>
      </c>
      <c r="CA56" s="13">
        <f t="shared" si="39"/>
        <v>32.004752723504502</v>
      </c>
      <c r="CB56" s="20">
        <f t="shared" si="10"/>
        <v>267.20572099343701</v>
      </c>
      <c r="CC56" s="59">
        <f t="shared" si="11"/>
        <v>524.28109919997019</v>
      </c>
      <c r="CD56" s="59">
        <f ca="1">AVERAGE(OFFSET($CC$3,0,0,'Données projet'!$E$12+1,1))-AVERAGE(OFFSET($H$3,0,0,'Données projet'!$E$12+1,1))</f>
        <v>323.91378047319455</v>
      </c>
      <c r="CE56" s="59">
        <f t="shared" si="40"/>
        <v>212.89889176380288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5.0180508945670486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5.0180508945670486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17.995000000000005</v>
      </c>
      <c r="CT56" s="12">
        <f>IF('Données projet'!$A$140&gt;35,CT55+CS56-DB55,IF(A56&lt;'Données projet'!$A$140,$CQ$205^A56,IF(A56='Données projet'!$A$140,'Données projet'!$B$140,CT55+CS56-DB55)))</f>
        <v>497.71500000000015</v>
      </c>
      <c r="CU56" s="17">
        <f>CT56*VLOOKUP('Données projet'!$B$13,Paramètres!$A$1:$I$89,3,0)*VLOOKUP('Données projet'!$B$13,Paramètres!$A$1:$I$89,5,0)</f>
        <v>297.63357000000008</v>
      </c>
      <c r="CV56" s="13">
        <f t="shared" si="41"/>
        <v>70.680140429959067</v>
      </c>
      <c r="CW56" s="20">
        <f t="shared" si="13"/>
        <v>641.47971233217879</v>
      </c>
      <c r="CX56" s="59">
        <f t="shared" si="14"/>
        <v>898.55509053871197</v>
      </c>
      <c r="CY56" s="59">
        <f ca="1">AVERAGE(OFFSET($CX$3,0,0,'Données projet'!$E$13+1,1))-AVERAGE(OFFSET($H$3,0,0,'Données projet'!$E$13+1,1))</f>
        <v>356.07880667298025</v>
      </c>
      <c r="CZ56" s="59">
        <f t="shared" si="42"/>
        <v>396.05161661639659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22.000086437022173</v>
      </c>
      <c r="DG56" s="21">
        <f>EXP(-LN(2)/25)*DG55+(1-EXP(-LN(2)/25))/(LN(2)/25)*Calculateur!DB56*Calculateur!DD56*VLOOKUP('Données projet'!$B$13,Paramètres!$A$1:$I$89,3,0)*0.475*44/12</f>
        <v>22.077913142050875</v>
      </c>
      <c r="DH56" s="21">
        <f>EXP(-LN(2)/2)*DH55+(1-EXP(-LN(2)/2))/(LN(2)/2)*DB56*DE56*VLOOKUP('Données projet'!$B$13,Paramètres!$A$1:$I$89,3,0)*0.475*44/12</f>
        <v>1.4904508022799658</v>
      </c>
      <c r="DI56" s="22">
        <f t="shared" si="15"/>
        <v>45.568450381353017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13</v>
      </c>
      <c r="DO56" s="12">
        <f>IF('Données projet'!$A$166&gt;35,DO55+DN56-DW55,IF(A56&lt;'Données projet'!$A$166,$DL$205^A56,IF(A56='Données projet'!$A$166,'Données projet'!$B$166,DO55+DN56-DW55)))</f>
        <v>379</v>
      </c>
      <c r="DP56" s="17">
        <f>DO56*VLOOKUP('Données projet'!$B$14,Paramètres!$A$1:$I$89,3,0)*VLOOKUP('Données projet'!$B$14,Paramètres!$A$1:$I$89,5,0)</f>
        <v>177.37200000000001</v>
      </c>
      <c r="DQ56" s="13">
        <f t="shared" si="43"/>
        <v>44.737005048641883</v>
      </c>
      <c r="DR56" s="20">
        <f t="shared" si="16"/>
        <v>386.83985045971798</v>
      </c>
      <c r="DS56" s="59">
        <f t="shared" si="17"/>
        <v>643.91522866625121</v>
      </c>
      <c r="DT56" s="59">
        <f ca="1">AVERAGE(OFFSET($DS$3,0,0,'Données projet'!$E$14+1,1))-AVERAGE(OFFSET($H$3,0,0,'Données projet'!$E$14+1,1))</f>
        <v>246.11623544660486</v>
      </c>
      <c r="DU56" s="59">
        <f t="shared" si="44"/>
        <v>273.18950868898253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15.488387435935358</v>
      </c>
      <c r="EB56" s="21">
        <f>EXP(-LN(2)/25)*EB55+(1-EXP(-LN(2)/25))/(LN(2)/25)*Calculateur!DW56*Calculateur!DY56*VLOOKUP('Données projet'!$B$14,Paramètres!$A$1:$I$89,3,0)*0.475*44/12</f>
        <v>15.509634494332822</v>
      </c>
      <c r="EC56" s="21">
        <f>EXP(-LN(2)/2)*EC55+(1-EXP(-LN(2)/2))/(LN(2)/2)*DW56*DZ56*VLOOKUP('Données projet'!$B$14,Paramètres!$A$1:$I$89,3,0)*0.475*44/12</f>
        <v>2.1401780987423873</v>
      </c>
      <c r="ED56" s="22">
        <f t="shared" si="18"/>
        <v>33.138200029010569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5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67">
        <f t="shared" si="1"/>
        <v>183.33333333333334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10.199999999999999</v>
      </c>
      <c r="N57" s="13">
        <f>IF('Données projet'!$A$36&gt;35,N56+M57-V56,IF(A57&lt;'Données projet'!$A$36,$K$205^A57,IF(A57='Données projet'!$A$36,'Données projet'!$B$36,N56+M57-V56)))</f>
        <v>243.79999999999995</v>
      </c>
      <c r="O57" s="13">
        <f>N57*VLOOKUP('Données projet'!$B$9,Paramètres!$A$1:$I$89,3,0)*VLOOKUP('Données projet'!$B$9,Paramètres!$A$1:$I$89,5,0)</f>
        <v>247.21319999999997</v>
      </c>
      <c r="P57" s="13">
        <f t="shared" si="33"/>
        <v>59.988800807398761</v>
      </c>
      <c r="Q57" s="20">
        <f t="shared" si="53"/>
        <v>535.04348473955281</v>
      </c>
      <c r="R57" s="59">
        <f t="shared" si="0"/>
        <v>792.74785740689208</v>
      </c>
      <c r="S57" s="59">
        <f ca="1">AVERAGE(OFFSET($R$3,0,0,'Données projet'!$E$9+1,1))-AVERAGE(OFFSET($H$3,0,0,'Données projet'!$E$9+1,1))</f>
        <v>538.10210778862256</v>
      </c>
      <c r="T57" s="59">
        <f t="shared" si="34"/>
        <v>399.53300632021399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8.0447106545955211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8.0447106545955211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10.199999999999999</v>
      </c>
      <c r="AI57" s="13">
        <f>IF('Données projet'!$A$62&gt;35,AI56+AH57-AQ56,IF(A57&lt;'Données projet'!$A$62,$AF$205^A57,IF(A57='Données projet'!$A$62,'Données projet'!$B$62,AI56+AH57-AQ56)))</f>
        <v>243.79999999999995</v>
      </c>
      <c r="AJ57" s="13">
        <f>AI57*VLOOKUP('Données projet'!$B$10,Paramètres!$A$1:$I$89,3,0)*VLOOKUP('Données projet'!$B$10,Paramètres!$A$1:$I$89,5,0)</f>
        <v>254.81975999999997</v>
      </c>
      <c r="AK57" s="13">
        <f t="shared" si="35"/>
        <v>61.616870106118846</v>
      </c>
      <c r="AL57" s="20">
        <f t="shared" si="4"/>
        <v>551.12713076815692</v>
      </c>
      <c r="AM57" s="59">
        <f t="shared" si="5"/>
        <v>808.83150343549619</v>
      </c>
      <c r="AN57" s="59">
        <f ca="1">AVERAGE(OFFSET($AM$3,0,0,'Données projet'!$E$10+1,1))-AVERAGE(OFFSET($H$3,0,0,'Données projet'!$E$10+1,1))</f>
        <v>552.26894123675538</v>
      </c>
      <c r="AO57" s="59">
        <f t="shared" si="36"/>
        <v>409.85604950107006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8.2922402131984576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8.2922402131984576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5.6</v>
      </c>
      <c r="BD57" s="12">
        <f>IF('Données projet'!$A$88&gt;35,BD56+BC57-BL56,IF(A57&lt;'Données projet'!$A$88,$BA$205^A57,IF(A57='Données projet'!$A$88,'Données projet'!$B$88,BD56+BC57-BL56)))</f>
        <v>129.39999999999995</v>
      </c>
      <c r="BE57" s="13">
        <f>BD57*VLOOKUP('Données projet'!$B$11,Paramètres!$A$1:$I$89,3,0)*VLOOKUP('Données projet'!$B$11,Paramètres!$A$1:$I$89,5,0)</f>
        <v>139.28615999999994</v>
      </c>
      <c r="BF57" s="13">
        <f t="shared" si="37"/>
        <v>36.133426154438062</v>
      </c>
      <c r="BG57" s="20">
        <f t="shared" si="7"/>
        <v>305.52244588564616</v>
      </c>
      <c r="BH57" s="59">
        <f t="shared" si="8"/>
        <v>563.22681855298549</v>
      </c>
      <c r="BI57" s="59">
        <f ca="1">AVERAGE(OFFSET($BH$3,0,0,'Données projet'!$E$11+1,1))-AVERAGE(OFFSET($H$3,0,0,'Données projet'!$E$11+1,1))</f>
        <v>361.24725625563468</v>
      </c>
      <c r="BJ57" s="59">
        <f t="shared" si="38"/>
        <v>186.0840067781198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3.6081045435278414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3.6081045435278414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8</v>
      </c>
      <c r="BY57" s="12">
        <f>IF('Données projet'!$A$114&gt;35,BY56+BX57-CG56,IF(A57&lt;'Données projet'!$A$114,$BV$205^A57,IF(A57='Données projet'!$A$114,'Données projet'!$B$114,BY56+BX57-CG56)))</f>
        <v>189</v>
      </c>
      <c r="BZ57" s="13">
        <f>BY57*VLOOKUP('Données projet'!$B$12,Paramètres!$A$1:$I$89,3,0)*VLOOKUP('Données projet'!$B$12,Paramètres!$A$1:$I$89,5,0)</f>
        <v>126.7812</v>
      </c>
      <c r="CA57" s="13">
        <f t="shared" si="39"/>
        <v>33.251507355059708</v>
      </c>
      <c r="CB57" s="20">
        <f t="shared" si="10"/>
        <v>278.723631976729</v>
      </c>
      <c r="CC57" s="59">
        <f t="shared" si="11"/>
        <v>536.42800464406832</v>
      </c>
      <c r="CD57" s="59">
        <f ca="1">AVERAGE(OFFSET($CC$3,0,0,'Données projet'!$E$12+1,1))-AVERAGE(OFFSET($H$3,0,0,'Données projet'!$E$12+1,1))</f>
        <v>323.91378047319455</v>
      </c>
      <c r="CE57" s="59">
        <f t="shared" si="40"/>
        <v>212.89889176380288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4.9196499772334148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4.9196499772334148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17.995000000000005</v>
      </c>
      <c r="CT57" s="12">
        <f>IF('Données projet'!$A$140&gt;35,CT56+CS57-DB56,IF(A57&lt;'Données projet'!$A$140,$CQ$205^A57,IF(A57='Données projet'!$A$140,'Données projet'!$B$140,CT56+CS57-DB56)))</f>
        <v>515.71000000000015</v>
      </c>
      <c r="CU57" s="17">
        <f>CT57*VLOOKUP('Données projet'!$B$13,Paramètres!$A$1:$I$89,3,0)*VLOOKUP('Données projet'!$B$13,Paramètres!$A$1:$I$89,5,0)</f>
        <v>308.39458000000013</v>
      </c>
      <c r="CV57" s="13">
        <f t="shared" si="41"/>
        <v>72.933453329394183</v>
      </c>
      <c r="CW57" s="20">
        <f t="shared" si="13"/>
        <v>664.14632471536174</v>
      </c>
      <c r="CX57" s="59">
        <f t="shared" si="14"/>
        <v>921.85069738270113</v>
      </c>
      <c r="CY57" s="59">
        <f ca="1">AVERAGE(OFFSET($CX$3,0,0,'Données projet'!$E$13+1,1))-AVERAGE(OFFSET($H$3,0,0,'Données projet'!$E$13+1,1))</f>
        <v>356.07880667298025</v>
      </c>
      <c r="CZ57" s="59">
        <f t="shared" si="42"/>
        <v>396.05161661639659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21.568678160719905</v>
      </c>
      <c r="DG57" s="21">
        <f>EXP(-LN(2)/25)*DG56+(1-EXP(-LN(2)/25))/(LN(2)/25)*Calculateur!DB57*Calculateur!DD57*VLOOKUP('Données projet'!$B$13,Paramètres!$A$1:$I$89,3,0)*0.475*44/12</f>
        <v>21.474191446154503</v>
      </c>
      <c r="DH57" s="21">
        <f>EXP(-LN(2)/2)*DH56+(1-EXP(-LN(2)/2))/(LN(2)/2)*DB57*DE57*VLOOKUP('Données projet'!$B$13,Paramètres!$A$1:$I$89,3,0)*0.475*44/12</f>
        <v>1.053907869317094</v>
      </c>
      <c r="DI57" s="22">
        <f t="shared" si="15"/>
        <v>44.096777476191498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13</v>
      </c>
      <c r="DO57" s="12">
        <f>IF('Données projet'!$A$166&gt;35,DO56+DN57-DW56,IF(A57&lt;'Données projet'!$A$166,$DL$205^A57,IF(A57='Données projet'!$A$166,'Données projet'!$B$166,DO56+DN57-DW56)))</f>
        <v>392</v>
      </c>
      <c r="DP57" s="17">
        <f>DO57*VLOOKUP('Données projet'!$B$14,Paramètres!$A$1:$I$89,3,0)*VLOOKUP('Données projet'!$B$14,Paramètres!$A$1:$I$89,5,0)</f>
        <v>183.45600000000002</v>
      </c>
      <c r="DQ57" s="13">
        <f t="shared" si="43"/>
        <v>46.090229375321144</v>
      </c>
      <c r="DR57" s="20">
        <f t="shared" si="16"/>
        <v>399.79301616201769</v>
      </c>
      <c r="DS57" s="59">
        <f t="shared" si="17"/>
        <v>657.49738882935708</v>
      </c>
      <c r="DT57" s="59">
        <f ca="1">AVERAGE(OFFSET($DS$3,0,0,'Données projet'!$E$14+1,1))-AVERAGE(OFFSET($H$3,0,0,'Données projet'!$E$14+1,1))</f>
        <v>246.11623544660486</v>
      </c>
      <c r="DU57" s="59">
        <f t="shared" si="44"/>
        <v>273.18950868898253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15.18466960530019</v>
      </c>
      <c r="EB57" s="21">
        <f>EXP(-LN(2)/25)*EB56+(1-EXP(-LN(2)/25))/(LN(2)/25)*Calculateur!DW57*Calculateur!DY57*VLOOKUP('Données projet'!$B$14,Paramètres!$A$1:$I$89,3,0)*0.475*44/12</f>
        <v>15.08552272346906</v>
      </c>
      <c r="EC57" s="21">
        <f>EXP(-LN(2)/2)*EC56+(1-EXP(-LN(2)/2))/(LN(2)/2)*DW57*DZ57*VLOOKUP('Données projet'!$B$14,Paramètres!$A$1:$I$89,3,0)*0.475*44/12</f>
        <v>1.5133344465676746</v>
      </c>
      <c r="ED57" s="22">
        <f t="shared" si="18"/>
        <v>31.783526775336924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5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67">
        <f t="shared" si="1"/>
        <v>183.33333333333334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254</v>
      </c>
      <c r="L58" s="12">
        <f>VLOOKUP(A58,'Données projet'!$A$35:$I$55,9,0)</f>
        <v>10.199999999999999</v>
      </c>
      <c r="M58" s="12">
        <f t="array" ref="M58">INDEX(L:L,MIN(IF(ISNUMBER(L58:L254),ROW(L58:L254),"")))</f>
        <v>10.199999999999999</v>
      </c>
      <c r="N58" s="13">
        <f>IF('Données projet'!$A$36&gt;35,N57+M58-V57,IF(A58&lt;'Données projet'!$A$36,$K$205^A58,IF(A58='Données projet'!$A$36,'Données projet'!$B$36,N57+M58-V57)))</f>
        <v>253.99999999999994</v>
      </c>
      <c r="O58" s="13">
        <f>N58*VLOOKUP('Données projet'!$B$9,Paramètres!$A$1:$I$89,3,0)*VLOOKUP('Données projet'!$B$9,Paramètres!$A$1:$I$89,5,0)</f>
        <v>257.55599999999998</v>
      </c>
      <c r="P58" s="13">
        <f t="shared" si="33"/>
        <v>62.201129910568184</v>
      </c>
      <c r="Q58" s="20">
        <f t="shared" si="53"/>
        <v>556.91033459423954</v>
      </c>
      <c r="R58" s="59">
        <f t="shared" si="0"/>
        <v>815.23279007471092</v>
      </c>
      <c r="S58" s="59">
        <f ca="1">AVERAGE(OFFSET($R$3,0,0,'Données projet'!$E$9+1,1))-AVERAGE(OFFSET($H$3,0,0,'Données projet'!$E$9+1,1))</f>
        <v>538.10210778862256</v>
      </c>
      <c r="T58" s="59">
        <f t="shared" si="34"/>
        <v>399.53300632021399</v>
      </c>
      <c r="U58" s="15">
        <f>IF(ISNA(VLOOKUP(A58,'Données projet'!$A$35:$I$55,3,0)),0,VLOOKUP(A58,'Données projet'!$A$35:$I$55,3,0))</f>
        <v>8</v>
      </c>
      <c r="V58" s="15">
        <f>IF(ISNA(VLOOKUP(A58,'Données projet'!$A$35:$I$55,4,0)),0,VLOOKUP(A58,'Données projet'!$A$35:$I$55,4,0))</f>
        <v>28</v>
      </c>
      <c r="W58" s="16">
        <f>IF(ISNA(VLOOKUP(A58,'Données projet'!$A$35:$I$55,5,0)),0%,VLOOKUP(A58,'Données projet'!$A$35:$I$55,5,0)*VLOOKUP('Données projet'!$B$9,Paramètres!$A$1:$I$89,7,0))</f>
        <v>0.129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11.935819222473135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11.935819222473135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254</v>
      </c>
      <c r="AG58" s="12">
        <f>VLOOKUP(A58,'Données projet'!$A$61:$I$81,9,0)</f>
        <v>10.199999999999999</v>
      </c>
      <c r="AH58" s="12">
        <f t="array" ref="AH58">INDEX(AG:AG,MIN(IF(ISNUMBER(AG58:AG254),ROW(AG58:AG254),"")))</f>
        <v>10.199999999999999</v>
      </c>
      <c r="AI58" s="13">
        <f>IF('Données projet'!$A$62&gt;35,AI57+AH58-AQ57,IF(A58&lt;'Données projet'!$A$62,$AF$205^A58,IF(A58='Données projet'!$A$62,'Données projet'!$B$62,AI57+AH58-AQ57)))</f>
        <v>253.99999999999994</v>
      </c>
      <c r="AJ58" s="13">
        <f>AI58*VLOOKUP('Données projet'!$B$10,Paramètres!$A$1:$I$89,3,0)*VLOOKUP('Données projet'!$B$10,Paramètres!$A$1:$I$89,5,0)</f>
        <v>265.48079999999999</v>
      </c>
      <c r="AK58" s="13">
        <f t="shared" si="35"/>
        <v>63.889240834442589</v>
      </c>
      <c r="AL58" s="20">
        <f t="shared" si="4"/>
        <v>573.65282111998749</v>
      </c>
      <c r="AM58" s="59">
        <f t="shared" si="5"/>
        <v>831.97527660045887</v>
      </c>
      <c r="AN58" s="59">
        <f ca="1">AVERAGE(OFFSET($AM$3,0,0,'Données projet'!$E$10+1,1))-AVERAGE(OFFSET($H$3,0,0,'Données projet'!$E$10+1,1))</f>
        <v>552.26894123675538</v>
      </c>
      <c r="AO58" s="59">
        <f t="shared" si="36"/>
        <v>409.85604950107006</v>
      </c>
      <c r="AP58" s="15">
        <f>IF(ISNA(VLOOKUP(A58,'Données projet'!$A$61:$I$81,3,0)),0,VLOOKUP(A58,'Données projet'!$A$61:$I$81,3,0))</f>
        <v>8</v>
      </c>
      <c r="AQ58" s="15">
        <f>IF(ISNA(VLOOKUP(A58,'Données projet'!$A$61:$I$81,4,0)),0,VLOOKUP(A58,'Données projet'!$A$61:$I$81,4,0))</f>
        <v>28</v>
      </c>
      <c r="AR58" s="16">
        <f>IF(ISNA(VLOOKUP(A58,'Données projet'!$A$61:$I$81,5,0)),0%,VLOOKUP(A58,'Données projet'!$A$61:$I$81,5,0)*VLOOKUP('Données projet'!$B$10,Paramètres!$A$1:$I$89,7,0))</f>
        <v>0.129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12.303075198549228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12.303075198549228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135</v>
      </c>
      <c r="BB58" s="12">
        <f>VLOOKUP(A58,'Données projet'!$A$87:$I$107,9,0)</f>
        <v>5.6</v>
      </c>
      <c r="BC58" s="12">
        <f t="array" ref="BC58">INDEX(BB:BB,MIN(IF(ISNUMBER(BB58:BB254),ROW(BB58:BB254),"")))</f>
        <v>5.6</v>
      </c>
      <c r="BD58" s="12">
        <f>IF('Données projet'!$A$88&gt;35,BD57+BC58-BL57,IF(A58&lt;'Données projet'!$A$88,$BA$205^A58,IF(A58='Données projet'!$A$88,'Données projet'!$B$88,BD57+BC58-BL57)))</f>
        <v>134.99999999999994</v>
      </c>
      <c r="BE58" s="13">
        <f>BD58*VLOOKUP('Données projet'!$B$11,Paramètres!$A$1:$I$89,3,0)*VLOOKUP('Données projet'!$B$11,Paramètres!$A$1:$I$89,5,0)</f>
        <v>145.31399999999994</v>
      </c>
      <c r="BF58" s="13">
        <f t="shared" si="37"/>
        <v>37.511716231443025</v>
      </c>
      <c r="BG58" s="20">
        <f t="shared" si="7"/>
        <v>318.42145576976316</v>
      </c>
      <c r="BH58" s="59">
        <f t="shared" si="8"/>
        <v>576.74391125023453</v>
      </c>
      <c r="BI58" s="59">
        <f ca="1">AVERAGE(OFFSET($BH$3,0,0,'Données projet'!$E$11+1,1))-AVERAGE(OFFSET($H$3,0,0,'Données projet'!$E$11+1,1))</f>
        <v>361.24725625563468</v>
      </c>
      <c r="BJ58" s="59">
        <f t="shared" si="38"/>
        <v>186.0840067781198</v>
      </c>
      <c r="BK58" s="15">
        <f>IF(ISNA(VLOOKUP(A58,'Données projet'!$A$87:$I$107,3,0)),0,VLOOKUP(A58,'Données projet'!$A$87:$I$107,3,0))</f>
        <v>7</v>
      </c>
      <c r="BL58" s="15">
        <f>IF(ISNA(VLOOKUP(A58,'Données projet'!$A$87:$I$107,4,0)),0,VLOOKUP(A58,'Données projet'!$A$87:$I$107,4,0))</f>
        <v>14</v>
      </c>
      <c r="BM58" s="16">
        <f>IF(ISNA(VLOOKUP(A58,'Données projet'!$A$87:$I$107,5,0)),0%,VLOOKUP(A58,'Données projet'!$A$87:$I$107,5,0)*VLOOKUP('Données projet'!$B$11,Paramètres!$A$1:$I$89,7,0))</f>
        <v>0.129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5.6863623538075849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5.6863623538075849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197</v>
      </c>
      <c r="BW58" s="12">
        <f>VLOOKUP(A58,'Données projet'!$A$113:$I$133,9,0)</f>
        <v>8</v>
      </c>
      <c r="BX58" s="12">
        <f t="array" ref="BX58">INDEX(BW:BW,MIN(IF(ISNUMBER(BW58:BW254),ROW(BW58:BW254),"")))</f>
        <v>8</v>
      </c>
      <c r="BY58" s="12">
        <f>IF('Données projet'!$A$114&gt;35,BY57+BX58-CG57,IF(A58&lt;'Données projet'!$A$114,$BV$205^A58,IF(A58='Données projet'!$A$114,'Données projet'!$B$114,BY57+BX58-CG57)))</f>
        <v>197</v>
      </c>
      <c r="BZ58" s="13">
        <f>BY58*VLOOKUP('Données projet'!$B$12,Paramètres!$A$1:$I$89,3,0)*VLOOKUP('Données projet'!$B$12,Paramètres!$A$1:$I$89,5,0)</f>
        <v>132.14759999999998</v>
      </c>
      <c r="CA58" s="13">
        <f t="shared" si="39"/>
        <v>34.492132421153357</v>
      </c>
      <c r="CB58" s="20">
        <f t="shared" si="10"/>
        <v>290.23086730017536</v>
      </c>
      <c r="CC58" s="59">
        <f t="shared" si="11"/>
        <v>548.55332278064679</v>
      </c>
      <c r="CD58" s="59">
        <f ca="1">AVERAGE(OFFSET($CC$3,0,0,'Données projet'!$E$12+1,1))-AVERAGE(OFFSET($H$3,0,0,'Données projet'!$E$12+1,1))</f>
        <v>323.91378047319455</v>
      </c>
      <c r="CE58" s="59">
        <f t="shared" si="40"/>
        <v>212.89889176380288</v>
      </c>
      <c r="CF58" s="15">
        <f>IF(ISNA(VLOOKUP(A58,'Données projet'!$A$113:$I$133,3,0)),0,VLOOKUP(A58,'Données projet'!$A$113:$I$133,3,0))</f>
        <v>8</v>
      </c>
      <c r="CG58" s="15">
        <f>IF(ISNA(VLOOKUP(A58,'Données projet'!$A$113:$I$133,4,0)),0,VLOOKUP(A58,'Données projet'!$A$113:$I$133,4,0))</f>
        <v>21</v>
      </c>
      <c r="CH58" s="16">
        <f>IF(ISNA(VLOOKUP(A58,'Données projet'!$A$113:$I$133,5,0)),0%,VLOOKUP(A58,'Données projet'!$A$113:$I$133,5,0)*VLOOKUP('Données projet'!$B$12,Paramètres!$A$1:$I$89,7,0))</f>
        <v>0.159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7.2992125245124164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7.2992125245124164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17.995000000000005</v>
      </c>
      <c r="CT58" s="12">
        <f>IF('Données projet'!$A$140&gt;35,CT57+CS58-DB57,IF(A58&lt;'Données projet'!$A$140,$CQ$205^A58,IF(A58='Données projet'!$A$140,'Données projet'!$B$140,CT57+CS58-DB57)))</f>
        <v>533.70500000000015</v>
      </c>
      <c r="CU58" s="17">
        <f>CT58*VLOOKUP('Données projet'!$B$13,Paramètres!$A$1:$I$89,3,0)*VLOOKUP('Données projet'!$B$13,Paramètres!$A$1:$I$89,5,0)</f>
        <v>319.15559000000013</v>
      </c>
      <c r="CV58" s="13">
        <f t="shared" si="41"/>
        <v>75.177630731012741</v>
      </c>
      <c r="CW58" s="20">
        <f t="shared" si="13"/>
        <v>686.79702610651418</v>
      </c>
      <c r="CX58" s="59">
        <f t="shared" si="14"/>
        <v>945.11948158698556</v>
      </c>
      <c r="CY58" s="59">
        <f ca="1">AVERAGE(OFFSET($CX$3,0,0,'Données projet'!$E$13+1,1))-AVERAGE(OFFSET($H$3,0,0,'Données projet'!$E$13+1,1))</f>
        <v>356.07880667298025</v>
      </c>
      <c r="CZ58" s="59">
        <f t="shared" si="42"/>
        <v>396.05161661639659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21.145729537582859</v>
      </c>
      <c r="DG58" s="21">
        <f>EXP(-LN(2)/25)*DG57+(1-EXP(-LN(2)/25))/(LN(2)/25)*Calculateur!DB58*Calculateur!DD58*VLOOKUP('Données projet'!$B$13,Paramètres!$A$1:$I$89,3,0)*0.475*44/12</f>
        <v>20.886978551780761</v>
      </c>
      <c r="DH58" s="21">
        <f>EXP(-LN(2)/2)*DH57+(1-EXP(-LN(2)/2))/(LN(2)/2)*DB58*DE58*VLOOKUP('Données projet'!$B$13,Paramètres!$A$1:$I$89,3,0)*0.475*44/12</f>
        <v>0.74522540113998292</v>
      </c>
      <c r="DI58" s="22">
        <f t="shared" si="15"/>
        <v>42.777933490503607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13</v>
      </c>
      <c r="DO58" s="12">
        <f>IF('Données projet'!$A$166&gt;35,DO57+DN58-DW57,IF(A58&lt;'Données projet'!$A$166,$DL$205^A58,IF(A58='Données projet'!$A$166,'Données projet'!$B$166,DO57+DN58-DW57)))</f>
        <v>405</v>
      </c>
      <c r="DP58" s="17">
        <f>DO58*VLOOKUP('Données projet'!$B$14,Paramètres!$A$1:$I$89,3,0)*VLOOKUP('Données projet'!$B$14,Paramètres!$A$1:$I$89,5,0)</f>
        <v>189.54</v>
      </c>
      <c r="DQ58" s="13">
        <f t="shared" si="43"/>
        <v>47.438239039488813</v>
      </c>
      <c r="DR58" s="20">
        <f t="shared" si="16"/>
        <v>412.73709966044299</v>
      </c>
      <c r="DS58" s="59">
        <f t="shared" si="17"/>
        <v>671.05955514091443</v>
      </c>
      <c r="DT58" s="59">
        <f ca="1">AVERAGE(OFFSET($DS$3,0,0,'Données projet'!$E$14+1,1))-AVERAGE(OFFSET($H$3,0,0,'Données projet'!$E$14+1,1))</f>
        <v>246.11623544660486</v>
      </c>
      <c r="DU58" s="59">
        <f t="shared" si="44"/>
        <v>273.18950868898253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14.886907496074192</v>
      </c>
      <c r="EB58" s="21">
        <f>EXP(-LN(2)/25)*EB57+(1-EXP(-LN(2)/25))/(LN(2)/25)*Calculateur!DW58*Calculateur!DY58*VLOOKUP('Données projet'!$B$14,Paramètres!$A$1:$I$89,3,0)*0.475*44/12</f>
        <v>14.673008311282636</v>
      </c>
      <c r="EC58" s="21">
        <f>EXP(-LN(2)/2)*EC57+(1-EXP(-LN(2)/2))/(LN(2)/2)*DW58*DZ58*VLOOKUP('Données projet'!$B$14,Paramètres!$A$1:$I$89,3,0)*0.475*44/12</f>
        <v>1.0700890493711936</v>
      </c>
      <c r="ED58" s="22">
        <f t="shared" si="18"/>
        <v>30.630004856728025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5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67">
        <f t="shared" si="1"/>
        <v>183.33333333333334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9.4</v>
      </c>
      <c r="N59" s="13">
        <f>IF('Données projet'!$A$36&gt;35,N58+M59-V58,IF(A59&lt;'Données projet'!$A$36,$K$205^A59,IF(A59='Données projet'!$A$36,'Données projet'!$B$36,N58+M59-V58)))</f>
        <v>235.39999999999992</v>
      </c>
      <c r="O59" s="13">
        <f>N59*VLOOKUP('Données projet'!$B$9,Paramètres!$A$1:$I$89,3,0)*VLOOKUP('Données projet'!$B$9,Paramètres!$A$1:$I$89,5,0)</f>
        <v>238.69559999999996</v>
      </c>
      <c r="P59" s="13">
        <f t="shared" si="33"/>
        <v>58.158793514165929</v>
      </c>
      <c r="Q59" s="20">
        <f t="shared" si="53"/>
        <v>517.02140203717238</v>
      </c>
      <c r="R59" s="59">
        <f t="shared" si="0"/>
        <v>775.95121797579418</v>
      </c>
      <c r="S59" s="59">
        <f ca="1">AVERAGE(OFFSET($R$3,0,0,'Données projet'!$E$9+1,1))-AVERAGE(OFFSET($H$3,0,0,'Données projet'!$E$9+1,1))</f>
        <v>538.10210778862256</v>
      </c>
      <c r="T59" s="59">
        <f t="shared" si="34"/>
        <v>399.53300632021399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11.70176508765131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11.70176508765131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9.4</v>
      </c>
      <c r="AI59" s="13">
        <f>IF('Données projet'!$A$62&gt;35,AI58+AH59-AQ58,IF(A59&lt;'Données projet'!$A$62,$AF$205^A59,IF(A59='Données projet'!$A$62,'Données projet'!$B$62,AI58+AH59-AQ58)))</f>
        <v>235.39999999999992</v>
      </c>
      <c r="AJ59" s="13">
        <f>AI59*VLOOKUP('Données projet'!$B$10,Paramètres!$A$1:$I$89,3,0)*VLOOKUP('Données projet'!$B$10,Paramètres!$A$1:$I$89,5,0)</f>
        <v>246.04007999999996</v>
      </c>
      <c r="AK59" s="13">
        <f t="shared" si="35"/>
        <v>59.737197231136641</v>
      </c>
      <c r="AL59" s="20">
        <f t="shared" si="4"/>
        <v>532.56209117756305</v>
      </c>
      <c r="AM59" s="59">
        <f t="shared" si="5"/>
        <v>791.49190711618485</v>
      </c>
      <c r="AN59" s="59">
        <f ca="1">AVERAGE(OFFSET($AM$3,0,0,'Données projet'!$E$10+1,1))-AVERAGE(OFFSET($H$3,0,0,'Données projet'!$E$10+1,1))</f>
        <v>552.26894123675538</v>
      </c>
      <c r="AO59" s="59">
        <f t="shared" si="36"/>
        <v>409.85604950107006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12.061819398040578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12.061819398040578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5.4</v>
      </c>
      <c r="BD59" s="12">
        <f>IF('Données projet'!$A$88&gt;35,BD58+BC59-BL58,IF(A59&lt;'Données projet'!$A$88,$BA$205^A59,IF(A59='Données projet'!$A$88,'Données projet'!$B$88,BD58+BC59-BL58)))</f>
        <v>126.39999999999995</v>
      </c>
      <c r="BE59" s="13">
        <f>BD59*VLOOKUP('Données projet'!$B$11,Paramètres!$A$1:$I$89,3,0)*VLOOKUP('Données projet'!$B$11,Paramètres!$A$1:$I$89,5,0)</f>
        <v>136.05695999999992</v>
      </c>
      <c r="BF59" s="13">
        <f t="shared" si="37"/>
        <v>35.392213985322201</v>
      </c>
      <c r="BG59" s="20">
        <f t="shared" si="7"/>
        <v>298.60731135776933</v>
      </c>
      <c r="BH59" s="59">
        <f t="shared" si="8"/>
        <v>557.53712729639108</v>
      </c>
      <c r="BI59" s="59">
        <f ca="1">AVERAGE(OFFSET($BH$3,0,0,'Données projet'!$E$11+1,1))-AVERAGE(OFFSET($H$3,0,0,'Données projet'!$E$11+1,1))</f>
        <v>361.24725625563468</v>
      </c>
      <c r="BJ59" s="59">
        <f t="shared" si="38"/>
        <v>186.0840067781198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5.5748562563879842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5.5748562563879842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7.6</v>
      </c>
      <c r="BY59" s="12">
        <f>IF('Données projet'!$A$114&gt;35,BY58+BX59-CG58,IF(A59&lt;'Données projet'!$A$114,$BV$205^A59,IF(A59='Données projet'!$A$114,'Données projet'!$B$114,BY58+BX59-CG58)))</f>
        <v>183.6</v>
      </c>
      <c r="BZ59" s="13">
        <f>BY59*VLOOKUP('Données projet'!$B$12,Paramètres!$A$1:$I$89,3,0)*VLOOKUP('Données projet'!$B$12,Paramètres!$A$1:$I$89,5,0)</f>
        <v>123.15888</v>
      </c>
      <c r="CA59" s="13">
        <f t="shared" si="39"/>
        <v>32.410638331814873</v>
      </c>
      <c r="CB59" s="20">
        <f t="shared" si="10"/>
        <v>270.95024442791089</v>
      </c>
      <c r="CC59" s="59">
        <f t="shared" si="11"/>
        <v>529.88006036653269</v>
      </c>
      <c r="CD59" s="59">
        <f ca="1">AVERAGE(OFFSET($CC$3,0,0,'Données projet'!$E$12+1,1))-AVERAGE(OFFSET($H$3,0,0,'Données projet'!$E$12+1,1))</f>
        <v>323.91378047319455</v>
      </c>
      <c r="CE59" s="59">
        <f t="shared" si="40"/>
        <v>212.89889176380288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7.1560794189867618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7.1560794189867618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>
        <f>VLOOKUP(A59,'Données projet'!$A$139:$I$159,2,0)</f>
        <v>551.70000000000005</v>
      </c>
      <c r="CR59" s="12">
        <f>VLOOKUP(A59,'Données projet'!$A$139:$I$159,9,0)</f>
        <v>17.995000000000005</v>
      </c>
      <c r="CS59" s="12">
        <f t="array" ref="CS59">INDEX(CR:CR,MIN(IF(ISNUMBER(CR59:CR255),ROW(CR59:CR255),"")))</f>
        <v>17.995000000000005</v>
      </c>
      <c r="CT59" s="12">
        <f>IF('Données projet'!$A$140&gt;35,CT58+CS59-DB58,IF(A59&lt;'Données projet'!$A$140,$CQ$205^A59,IF(A59='Données projet'!$A$140,'Données projet'!$B$140,CT58+CS59-DB58)))</f>
        <v>551.70000000000016</v>
      </c>
      <c r="CU59" s="17">
        <f>CT59*VLOOKUP('Données projet'!$B$13,Paramètres!$A$1:$I$89,3,0)*VLOOKUP('Données projet'!$B$13,Paramètres!$A$1:$I$89,5,0)</f>
        <v>329.91660000000013</v>
      </c>
      <c r="CV59" s="13">
        <f t="shared" si="41"/>
        <v>77.413015969653813</v>
      </c>
      <c r="CW59" s="20">
        <f t="shared" si="13"/>
        <v>709.43241448048059</v>
      </c>
      <c r="CX59" s="59">
        <f t="shared" si="14"/>
        <v>968.36223041910239</v>
      </c>
      <c r="CY59" s="59">
        <f ca="1">AVERAGE(OFFSET($CX$3,0,0,'Données projet'!$E$13+1,1))-AVERAGE(OFFSET($H$3,0,0,'Données projet'!$E$13+1,1))</f>
        <v>356.07880667298025</v>
      </c>
      <c r="CZ59" s="59">
        <f t="shared" si="42"/>
        <v>396.05161661639659</v>
      </c>
      <c r="DA59" s="15">
        <f>IF(ISNA(VLOOKUP(A59,'Données projet'!$A$139:$I$159,3,0)),0,VLOOKUP(A59,'Données projet'!$A$139:$I$159,3,0))</f>
        <v>11</v>
      </c>
      <c r="DB59" s="15">
        <f>IF(ISNA(VLOOKUP(A59,'Données projet'!$A$139:$I$159,4,0)),0,VLOOKUP(A59,'Données projet'!$A$139:$I$159,4,0))</f>
        <v>77</v>
      </c>
      <c r="DC59" s="16">
        <f>IF(ISNA(VLOOKUP(A59,'Données projet'!$A$139:$I$159,5,0)),0%,VLOOKUP(A59,'Données projet'!$A$139:$I$159,5,0)*VLOOKUP('Données projet'!$B$13,Paramètres!$A$1:$I$89,7,0))</f>
        <v>0.27</v>
      </c>
      <c r="DD59" s="16">
        <f>IF(ISNA(VLOOKUP(A59,'Données projet'!$A$139:$I$159,6,0)),0%,VLOOKUP(A59,'Données projet'!$A$139:$I$159,6,0)*VLOOKUP('Données projet'!$B$13,Paramètres!$A$1:$I$89,7,0))</f>
        <v>9.9000000000000005E-2</v>
      </c>
      <c r="DE59" s="16">
        <f>IF(ISNA(VLOOKUP(A59,'Données projet'!$A$139:$I$159,7,0)),0%,VLOOKUP(A59,'Données projet'!$A$139:$I$159,7,0))</f>
        <v>0.18</v>
      </c>
      <c r="DF59" s="21">
        <f>EXP(-LN(2)/35)*DF58+(1-EXP(-LN(2)/35))/(LN(2)/35)*DB59*DC59*VLOOKUP('Données projet'!$B$13,Paramètres!$A$1:$I$89,3,0)*0.475*44/12</f>
        <v>37.223481146067996</v>
      </c>
      <c r="DG59" s="21">
        <f>EXP(-LN(2)/25)*DG58+(1-EXP(-LN(2)/25))/(LN(2)/25)*Calculateur!DB59*Calculateur!DD59*VLOOKUP('Données projet'!$B$13,Paramètres!$A$1:$I$89,3,0)*0.475*44/12</f>
        <v>26.339228537086747</v>
      </c>
      <c r="DH59" s="21">
        <f>EXP(-LN(2)/2)*DH58+(1-EXP(-LN(2)/2))/(LN(2)/2)*DB59*DE59*VLOOKUP('Données projet'!$B$13,Paramètres!$A$1:$I$89,3,0)*0.475*44/12</f>
        <v>9.9112122416012038</v>
      </c>
      <c r="DI59" s="22">
        <f t="shared" si="15"/>
        <v>73.473921924755942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13</v>
      </c>
      <c r="DO59" s="12">
        <f>IF('Données projet'!$A$166&gt;35,DO58+DN59-DW58,IF(A59&lt;'Données projet'!$A$166,$DL$205^A59,IF(A59='Données projet'!$A$166,'Données projet'!$B$166,DO58+DN59-DW58)))</f>
        <v>418</v>
      </c>
      <c r="DP59" s="17">
        <f>DO59*VLOOKUP('Données projet'!$B$14,Paramètres!$A$1:$I$89,3,0)*VLOOKUP('Données projet'!$B$14,Paramètres!$A$1:$I$89,5,0)</f>
        <v>195.624</v>
      </c>
      <c r="DQ59" s="13">
        <f t="shared" si="43"/>
        <v>48.781220625276006</v>
      </c>
      <c r="DR59" s="20">
        <f t="shared" si="16"/>
        <v>425.67242592235567</v>
      </c>
      <c r="DS59" s="59">
        <f t="shared" si="17"/>
        <v>684.60224186097741</v>
      </c>
      <c r="DT59" s="59">
        <f ca="1">AVERAGE(OFFSET($DS$3,0,0,'Données projet'!$E$14+1,1))-AVERAGE(OFFSET($H$3,0,0,'Données projet'!$E$14+1,1))</f>
        <v>246.11623544660486</v>
      </c>
      <c r="DU59" s="59">
        <f t="shared" si="44"/>
        <v>273.18950868898253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14.594984320193163</v>
      </c>
      <c r="EB59" s="21">
        <f>EXP(-LN(2)/25)*EB58+(1-EXP(-LN(2)/25))/(LN(2)/25)*Calculateur!DW59*Calculateur!DY59*VLOOKUP('Données projet'!$B$14,Paramètres!$A$1:$I$89,3,0)*0.475*44/12</f>
        <v>14.271774127390641</v>
      </c>
      <c r="EC59" s="21">
        <f>EXP(-LN(2)/2)*EC58+(1-EXP(-LN(2)/2))/(LN(2)/2)*DW59*DZ59*VLOOKUP('Données projet'!$B$14,Paramètres!$A$1:$I$89,3,0)*0.475*44/12</f>
        <v>0.75666722328383729</v>
      </c>
      <c r="ED59" s="22">
        <f t="shared" si="18"/>
        <v>29.623425670867643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5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67">
        <f t="shared" si="1"/>
        <v>183.33333333333334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9.4</v>
      </c>
      <c r="N60" s="13">
        <f>IF('Données projet'!$A$36&gt;35,N59+M60-V59,IF(A60&lt;'Données projet'!$A$36,$K$205^A60,IF(A60='Données projet'!$A$36,'Données projet'!$B$36,N59+M60-V59)))</f>
        <v>244.79999999999993</v>
      </c>
      <c r="O60" s="13">
        <f>N60*VLOOKUP('Données projet'!$B$9,Paramètres!$A$1:$I$89,3,0)*VLOOKUP('Données projet'!$B$9,Paramètres!$A$1:$I$89,5,0)</f>
        <v>248.22719999999993</v>
      </c>
      <c r="P60" s="13">
        <f t="shared" si="33"/>
        <v>60.20616532763993</v>
      </c>
      <c r="Q60" s="20">
        <f t="shared" si="53"/>
        <v>537.18811127897277</v>
      </c>
      <c r="R60" s="59">
        <f t="shared" si="0"/>
        <v>796.71475132965043</v>
      </c>
      <c r="S60" s="59">
        <f ca="1">AVERAGE(OFFSET($R$3,0,0,'Données projet'!$E$9+1,1))-AVERAGE(OFFSET($H$3,0,0,'Données projet'!$E$9+1,1))</f>
        <v>538.10210778862256</v>
      </c>
      <c r="T60" s="59">
        <f t="shared" si="34"/>
        <v>399.53300632021399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11.472300611654415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11.472300611654415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9.4</v>
      </c>
      <c r="AI60" s="13">
        <f>IF('Données projet'!$A$62&gt;35,AI59+AH60-AQ59,IF(A60&lt;'Données projet'!$A$62,$AF$205^A60,IF(A60='Données projet'!$A$62,'Données projet'!$B$62,AI59+AH60-AQ59)))</f>
        <v>244.79999999999993</v>
      </c>
      <c r="AJ60" s="13">
        <f>AI60*VLOOKUP('Données projet'!$B$10,Paramètres!$A$1:$I$89,3,0)*VLOOKUP('Données projet'!$B$10,Paramètres!$A$1:$I$89,5,0)</f>
        <v>255.86495999999994</v>
      </c>
      <c r="AK60" s="13">
        <f t="shared" si="35"/>
        <v>61.840133802494101</v>
      </c>
      <c r="AL60" s="20">
        <f t="shared" si="4"/>
        <v>553.33637170601048</v>
      </c>
      <c r="AM60" s="59">
        <f t="shared" si="5"/>
        <v>812.86301175668814</v>
      </c>
      <c r="AN60" s="59">
        <f ca="1">AVERAGE(OFFSET($AM$3,0,0,'Données projet'!$E$10+1,1))-AVERAGE(OFFSET($H$3,0,0,'Données projet'!$E$10+1,1))</f>
        <v>552.26894123675538</v>
      </c>
      <c r="AO60" s="59">
        <f t="shared" si="36"/>
        <v>409.85604950107006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11.825294476628393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11.825294476628393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5.4</v>
      </c>
      <c r="BD60" s="12">
        <f>IF('Données projet'!$A$88&gt;35,BD59+BC60-BL59,IF(A60&lt;'Données projet'!$A$88,$BA$205^A60,IF(A60='Données projet'!$A$88,'Données projet'!$B$88,BD59+BC60-BL59)))</f>
        <v>131.79999999999995</v>
      </c>
      <c r="BE60" s="13">
        <f>BD60*VLOOKUP('Données projet'!$B$11,Paramètres!$A$1:$I$89,3,0)*VLOOKUP('Données projet'!$B$11,Paramètres!$A$1:$I$89,5,0)</f>
        <v>141.86951999999994</v>
      </c>
      <c r="BF60" s="13">
        <f t="shared" si="37"/>
        <v>36.724955062927357</v>
      </c>
      <c r="BG60" s="20">
        <f t="shared" si="7"/>
        <v>311.05204406793172</v>
      </c>
      <c r="BH60" s="59">
        <f t="shared" si="8"/>
        <v>570.57868411860943</v>
      </c>
      <c r="BI60" s="59">
        <f ca="1">AVERAGE(OFFSET($BH$3,0,0,'Données projet'!$E$11+1,1))-AVERAGE(OFFSET($H$3,0,0,'Données projet'!$E$11+1,1))</f>
        <v>361.24725625563468</v>
      </c>
      <c r="BJ60" s="59">
        <f t="shared" si="38"/>
        <v>186.0840067781198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5.4655367255267775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5.4655367255267775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7.6</v>
      </c>
      <c r="BY60" s="12">
        <f>IF('Données projet'!$A$114&gt;35,BY59+BX60-CG59,IF(A60&lt;'Données projet'!$A$114,$BV$205^A60,IF(A60='Données projet'!$A$114,'Données projet'!$B$114,BY59+BX60-CG59)))</f>
        <v>191.2</v>
      </c>
      <c r="BZ60" s="13">
        <f>BY60*VLOOKUP('Données projet'!$B$12,Paramètres!$A$1:$I$89,3,0)*VLOOKUP('Données projet'!$B$12,Paramètres!$A$1:$I$89,5,0)</f>
        <v>128.25695999999999</v>
      </c>
      <c r="CA60" s="13">
        <f t="shared" si="39"/>
        <v>33.593278089661865</v>
      </c>
      <c r="CB60" s="20">
        <f t="shared" si="10"/>
        <v>281.88916467282769</v>
      </c>
      <c r="CC60" s="59">
        <f t="shared" si="11"/>
        <v>541.4158047235054</v>
      </c>
      <c r="CD60" s="59">
        <f ca="1">AVERAGE(OFFSET($CC$3,0,0,'Données projet'!$E$12+1,1))-AVERAGE(OFFSET($H$3,0,0,'Données projet'!$E$12+1,1))</f>
        <v>323.91378047319455</v>
      </c>
      <c r="CE60" s="59">
        <f t="shared" si="40"/>
        <v>212.89889176380288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7.0157530663578909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7.0157530663578909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11.762499999999989</v>
      </c>
      <c r="CT60" s="12">
        <f>IF('Données projet'!$A$140&gt;35,CT59+CS60-DB59,IF(A60&lt;'Données projet'!$A$140,$CQ$205^A60,IF(A60='Données projet'!$A$140,'Données projet'!$B$140,CT59+CS60-DB59)))</f>
        <v>486.46250000000009</v>
      </c>
      <c r="CU60" s="17">
        <f>CT60*VLOOKUP('Données projet'!$B$13,Paramètres!$A$1:$I$89,3,0)*VLOOKUP('Données projet'!$B$13,Paramètres!$A$1:$I$89,5,0)</f>
        <v>290.90457500000008</v>
      </c>
      <c r="CV60" s="13">
        <f t="shared" si="41"/>
        <v>69.266309971641135</v>
      </c>
      <c r="CW60" s="20">
        <f t="shared" si="13"/>
        <v>627.29762465894169</v>
      </c>
      <c r="CX60" s="59">
        <f t="shared" si="14"/>
        <v>886.82426470961946</v>
      </c>
      <c r="CY60" s="59">
        <f ca="1">AVERAGE(OFFSET($CX$3,0,0,'Données projet'!$E$13+1,1))-AVERAGE(OFFSET($H$3,0,0,'Données projet'!$E$13+1,1))</f>
        <v>356.07880667298025</v>
      </c>
      <c r="CZ60" s="59">
        <f t="shared" si="42"/>
        <v>396.05161661639659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36.493551384875261</v>
      </c>
      <c r="DG60" s="21">
        <f>EXP(-LN(2)/25)*DG59+(1-EXP(-LN(2)/25))/(LN(2)/25)*Calculateur!DB60*Calculateur!DD60*VLOOKUP('Données projet'!$B$13,Paramètres!$A$1:$I$89,3,0)*0.475*44/12</f>
        <v>25.61898094762028</v>
      </c>
      <c r="DH60" s="21">
        <f>EXP(-LN(2)/2)*DH59+(1-EXP(-LN(2)/2))/(LN(2)/2)*DB60*DE60*VLOOKUP('Données projet'!$B$13,Paramètres!$A$1:$I$89,3,0)*0.475*44/12</f>
        <v>7.0082853858153342</v>
      </c>
      <c r="DI60" s="22">
        <f t="shared" si="15"/>
        <v>69.120817718310875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13</v>
      </c>
      <c r="DO60" s="12">
        <f>IF('Données projet'!$A$166&gt;35,DO59+DN60-DW59,IF(A60&lt;'Données projet'!$A$166,$DL$205^A60,IF(A60='Données projet'!$A$166,'Données projet'!$B$166,DO59+DN60-DW59)))</f>
        <v>431</v>
      </c>
      <c r="DP60" s="17">
        <f>DO60*VLOOKUP('Données projet'!$B$14,Paramètres!$A$1:$I$89,3,0)*VLOOKUP('Données projet'!$B$14,Paramètres!$A$1:$I$89,5,0)</f>
        <v>201.708</v>
      </c>
      <c r="DQ60" s="13">
        <f t="shared" si="43"/>
        <v>50.119348451854286</v>
      </c>
      <c r="DR60" s="20">
        <f t="shared" si="16"/>
        <v>438.59929855364618</v>
      </c>
      <c r="DS60" s="59">
        <f t="shared" si="17"/>
        <v>698.12593860432389</v>
      </c>
      <c r="DT60" s="59">
        <f ca="1">AVERAGE(OFFSET($DS$3,0,0,'Données projet'!$E$14+1,1))-AVERAGE(OFFSET($H$3,0,0,'Données projet'!$E$14+1,1))</f>
        <v>246.11623544660486</v>
      </c>
      <c r="DU60" s="59">
        <f t="shared" si="44"/>
        <v>273.18950868898253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14.308785579735604</v>
      </c>
      <c r="EB60" s="21">
        <f>EXP(-LN(2)/25)*EB59+(1-EXP(-LN(2)/25))/(LN(2)/25)*Calculateur!DW60*Calculateur!DY60*VLOOKUP('Données projet'!$B$14,Paramètres!$A$1:$I$89,3,0)*0.475*44/12</f>
        <v>13.881511713357161</v>
      </c>
      <c r="EC60" s="21">
        <f>EXP(-LN(2)/2)*EC59+(1-EXP(-LN(2)/2))/(LN(2)/2)*DW60*DZ60*VLOOKUP('Données projet'!$B$14,Paramètres!$A$1:$I$89,3,0)*0.475*44/12</f>
        <v>0.53504452468559682</v>
      </c>
      <c r="ED60" s="22">
        <f t="shared" si="18"/>
        <v>28.725341817778361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5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67">
        <f t="shared" si="1"/>
        <v>183.33333333333334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9.4</v>
      </c>
      <c r="N61" s="13">
        <f>IF('Données projet'!$A$36&gt;35,N60+M61-V60,IF(A61&lt;'Données projet'!$A$36,$K$205^A61,IF(A61='Données projet'!$A$36,'Données projet'!$B$36,N60+M61-V60)))</f>
        <v>254.19999999999993</v>
      </c>
      <c r="O61" s="13">
        <f>N61*VLOOKUP('Données projet'!$B$9,Paramètres!$A$1:$I$89,3,0)*VLOOKUP('Données projet'!$B$9,Paramètres!$A$1:$I$89,5,0)</f>
        <v>257.75879999999995</v>
      </c>
      <c r="P61" s="13">
        <f t="shared" si="33"/>
        <v>62.244404241627407</v>
      </c>
      <c r="Q61" s="20">
        <f t="shared" si="53"/>
        <v>557.33891405416773</v>
      </c>
      <c r="R61" s="59">
        <f t="shared" si="0"/>
        <v>817.45202465285615</v>
      </c>
      <c r="S61" s="59">
        <f ca="1">AVERAGE(OFFSET($R$3,0,0,'Données projet'!$E$9+1,1))-AVERAGE(OFFSET($H$3,0,0,'Données projet'!$E$9+1,1))</f>
        <v>538.10210778862256</v>
      </c>
      <c r="T61" s="59">
        <f t="shared" si="34"/>
        <v>399.53300632021399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11.247335794072308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11.247335794072308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9.4</v>
      </c>
      <c r="AI61" s="13">
        <f>IF('Données projet'!$A$62&gt;35,AI60+AH61-AQ60,IF(A61&lt;'Données projet'!$A$62,$AF$205^A61,IF(A61='Données projet'!$A$62,'Données projet'!$B$62,AI60+AH61-AQ60)))</f>
        <v>254.19999999999993</v>
      </c>
      <c r="AJ61" s="13">
        <f>AI61*VLOOKUP('Données projet'!$B$10,Paramètres!$A$1:$I$89,3,0)*VLOOKUP('Données projet'!$B$10,Paramètres!$A$1:$I$89,5,0)</f>
        <v>265.68983999999995</v>
      </c>
      <c r="AK61" s="13">
        <f t="shared" si="35"/>
        <v>63.933689611546271</v>
      </c>
      <c r="AL61" s="20">
        <f t="shared" si="4"/>
        <v>574.094314073443</v>
      </c>
      <c r="AM61" s="59">
        <f t="shared" si="5"/>
        <v>834.20742467213142</v>
      </c>
      <c r="AN61" s="59">
        <f ca="1">AVERAGE(OFFSET($AM$3,0,0,'Données projet'!$E$10+1,1))-AVERAGE(OFFSET($H$3,0,0,'Données projet'!$E$10+1,1))</f>
        <v>552.26894123675538</v>
      </c>
      <c r="AO61" s="59">
        <f t="shared" si="36"/>
        <v>409.85604950107006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11.593407664659145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11.593407664659145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5.4</v>
      </c>
      <c r="BD61" s="12">
        <f>IF('Données projet'!$A$88&gt;35,BD60+BC61-BL60,IF(A61&lt;'Données projet'!$A$88,$BA$205^A61,IF(A61='Données projet'!$A$88,'Données projet'!$B$88,BD60+BC61-BL60)))</f>
        <v>137.19999999999996</v>
      </c>
      <c r="BE61" s="13">
        <f>BD61*VLOOKUP('Données projet'!$B$11,Paramètres!$A$1:$I$89,3,0)*VLOOKUP('Données projet'!$B$11,Paramètres!$A$1:$I$89,5,0)</f>
        <v>147.68207999999996</v>
      </c>
      <c r="BF61" s="13">
        <f t="shared" si="37"/>
        <v>38.051353497342525</v>
      </c>
      <c r="BG61" s="20">
        <f t="shared" si="7"/>
        <v>323.48573000787144</v>
      </c>
      <c r="BH61" s="59">
        <f t="shared" si="8"/>
        <v>583.59884060655986</v>
      </c>
      <c r="BI61" s="59">
        <f ca="1">AVERAGE(OFFSET($BH$3,0,0,'Données projet'!$E$11+1,1))-AVERAGE(OFFSET($H$3,0,0,'Données projet'!$E$11+1,1))</f>
        <v>361.24725625563468</v>
      </c>
      <c r="BJ61" s="59">
        <f t="shared" si="38"/>
        <v>186.0840067781198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5.3583608839874293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5.3583608839874293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7.6</v>
      </c>
      <c r="BY61" s="12">
        <f>IF('Données projet'!$A$114&gt;35,BY60+BX61-CG60,IF(A61&lt;'Données projet'!$A$114,$BV$205^A61,IF(A61='Données projet'!$A$114,'Données projet'!$B$114,BY60+BX61-CG60)))</f>
        <v>198.79999999999998</v>
      </c>
      <c r="BZ61" s="13">
        <f>BY61*VLOOKUP('Données projet'!$B$12,Paramètres!$A$1:$I$89,3,0)*VLOOKUP('Données projet'!$B$12,Paramètres!$A$1:$I$89,5,0)</f>
        <v>133.35504</v>
      </c>
      <c r="CA61" s="13">
        <f t="shared" si="39"/>
        <v>34.770457155821241</v>
      </c>
      <c r="CB61" s="20">
        <f t="shared" si="10"/>
        <v>292.81857421305534</v>
      </c>
      <c r="CC61" s="59">
        <f t="shared" si="11"/>
        <v>552.93168481174371</v>
      </c>
      <c r="CD61" s="59">
        <f ca="1">AVERAGE(OFFSET($CC$3,0,0,'Données projet'!$E$12+1,1))-AVERAGE(OFFSET($H$3,0,0,'Données projet'!$E$12+1,1))</f>
        <v>323.91378047319455</v>
      </c>
      <c r="CE61" s="59">
        <f t="shared" si="40"/>
        <v>212.89889176380288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6.8781784279134488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6.8781784279134488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11.762499999999989</v>
      </c>
      <c r="CT61" s="12">
        <f>IF('Données projet'!$A$140&gt;35,CT60+CS61-DB60,IF(A61&lt;'Données projet'!$A$140,$CQ$205^A61,IF(A61='Données projet'!$A$140,'Données projet'!$B$140,CT60+CS61-DB60)))</f>
        <v>498.22500000000008</v>
      </c>
      <c r="CU61" s="17">
        <f>CT61*VLOOKUP('Données projet'!$B$13,Paramètres!$A$1:$I$89,3,0)*VLOOKUP('Données projet'!$B$13,Paramètres!$A$1:$I$89,5,0)</f>
        <v>297.93855000000008</v>
      </c>
      <c r="CV61" s="13">
        <f t="shared" si="41"/>
        <v>70.744131101331945</v>
      </c>
      <c r="CW61" s="20">
        <f t="shared" si="13"/>
        <v>642.12233625148656</v>
      </c>
      <c r="CX61" s="59">
        <f t="shared" si="14"/>
        <v>902.23544685017498</v>
      </c>
      <c r="CY61" s="59">
        <f ca="1">AVERAGE(OFFSET($CX$3,0,0,'Données projet'!$E$13+1,1))-AVERAGE(OFFSET($H$3,0,0,'Données projet'!$E$13+1,1))</f>
        <v>356.07880667298025</v>
      </c>
      <c r="CZ61" s="59">
        <f t="shared" si="42"/>
        <v>396.05161661639659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35.777935101086321</v>
      </c>
      <c r="DG61" s="21">
        <f>EXP(-LN(2)/25)*DG60+(1-EXP(-LN(2)/25))/(LN(2)/25)*Calculateur!DB61*Calculateur!DD61*VLOOKUP('Données projet'!$B$13,Paramètres!$A$1:$I$89,3,0)*0.475*44/12</f>
        <v>24.918428566363946</v>
      </c>
      <c r="DH61" s="21">
        <f>EXP(-LN(2)/2)*DH60+(1-EXP(-LN(2)/2))/(LN(2)/2)*DB61*DE61*VLOOKUP('Données projet'!$B$13,Paramètres!$A$1:$I$89,3,0)*0.475*44/12</f>
        <v>4.9556061208006028</v>
      </c>
      <c r="DI61" s="22">
        <f t="shared" si="15"/>
        <v>65.651969788250881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13</v>
      </c>
      <c r="DO61" s="12">
        <f>IF('Données projet'!$A$166&gt;35,DO60+DN61-DW60,IF(A61&lt;'Données projet'!$A$166,$DL$205^A61,IF(A61='Données projet'!$A$166,'Données projet'!$B$166,DO60+DN61-DW60)))</f>
        <v>444</v>
      </c>
      <c r="DP61" s="17">
        <f>DO61*VLOOKUP('Données projet'!$B$14,Paramètres!$A$1:$I$89,3,0)*VLOOKUP('Données projet'!$B$14,Paramètres!$A$1:$I$89,5,0)</f>
        <v>207.792</v>
      </c>
      <c r="DQ61" s="13">
        <f t="shared" si="43"/>
        <v>51.452785725007864</v>
      </c>
      <c r="DR61" s="20">
        <f t="shared" si="16"/>
        <v>451.51800180438869</v>
      </c>
      <c r="DS61" s="59">
        <f t="shared" si="17"/>
        <v>711.63111240307717</v>
      </c>
      <c r="DT61" s="59">
        <f ca="1">AVERAGE(OFFSET($DS$3,0,0,'Données projet'!$E$14+1,1))-AVERAGE(OFFSET($H$3,0,0,'Données projet'!$E$14+1,1))</f>
        <v>246.11623544660486</v>
      </c>
      <c r="DU61" s="59">
        <f t="shared" si="44"/>
        <v>273.18950868898253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14.028199022014423</v>
      </c>
      <c r="EB61" s="21">
        <f>EXP(-LN(2)/25)*EB60+(1-EXP(-LN(2)/25))/(LN(2)/25)*Calculateur!DW61*Calculateur!DY61*VLOOKUP('Données projet'!$B$14,Paramètres!$A$1:$I$89,3,0)*0.475*44/12</f>
        <v>13.501921045558436</v>
      </c>
      <c r="EC61" s="21">
        <f>EXP(-LN(2)/2)*EC60+(1-EXP(-LN(2)/2))/(LN(2)/2)*DW61*DZ61*VLOOKUP('Données projet'!$B$14,Paramètres!$A$1:$I$89,3,0)*0.475*44/12</f>
        <v>0.37833361164191864</v>
      </c>
      <c r="ED61" s="22">
        <f t="shared" si="18"/>
        <v>27.908453679214777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5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67">
        <f t="shared" si="1"/>
        <v>183.33333333333334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9.4</v>
      </c>
      <c r="N62" s="13">
        <f>IF('Données projet'!$A$36&gt;35,N61+M62-V61,IF(A62&lt;'Données projet'!$A$36,$K$205^A62,IF(A62='Données projet'!$A$36,'Données projet'!$B$36,N61+M62-V61)))</f>
        <v>263.59999999999991</v>
      </c>
      <c r="O62" s="13">
        <f>N62*VLOOKUP('Données projet'!$B$9,Paramètres!$A$1:$I$89,3,0)*VLOOKUP('Données projet'!$B$9,Paramètres!$A$1:$I$89,5,0)</f>
        <v>267.29039999999992</v>
      </c>
      <c r="P62" s="13">
        <f t="shared" si="33"/>
        <v>64.273886654661325</v>
      </c>
      <c r="Q62" s="20">
        <f t="shared" si="53"/>
        <v>577.47446592353504</v>
      </c>
      <c r="R62" s="59">
        <f t="shared" si="0"/>
        <v>838.16387311737776</v>
      </c>
      <c r="S62" s="59">
        <f ca="1">AVERAGE(OFFSET($R$3,0,0,'Données projet'!$E$9+1,1))-AVERAGE(OFFSET($H$3,0,0,'Données projet'!$E$9+1,1))</f>
        <v>538.10210778862256</v>
      </c>
      <c r="T62" s="59">
        <f t="shared" si="34"/>
        <v>399.53300632021399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11.026782399347995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11.026782399347995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9.4</v>
      </c>
      <c r="AI62" s="13">
        <f>IF('Données projet'!$A$62&gt;35,AI61+AH62-AQ61,IF(A62&lt;'Données projet'!$A$62,$AF$205^A62,IF(A62='Données projet'!$A$62,'Données projet'!$B$62,AI61+AH62-AQ61)))</f>
        <v>263.59999999999991</v>
      </c>
      <c r="AJ62" s="13">
        <f>AI62*VLOOKUP('Données projet'!$B$10,Paramètres!$A$1:$I$89,3,0)*VLOOKUP('Données projet'!$B$10,Paramètres!$A$1:$I$89,5,0)</f>
        <v>275.5147199999999</v>
      </c>
      <c r="AK62" s="13">
        <f t="shared" si="35"/>
        <v>66.018251272114483</v>
      </c>
      <c r="AL62" s="20">
        <f t="shared" si="4"/>
        <v>594.83659163226582</v>
      </c>
      <c r="AM62" s="59">
        <f t="shared" si="5"/>
        <v>855.52599882610866</v>
      </c>
      <c r="AN62" s="59">
        <f ca="1">AVERAGE(OFFSET($AM$3,0,0,'Données projet'!$E$10+1,1))-AVERAGE(OFFSET($H$3,0,0,'Données projet'!$E$10+1,1))</f>
        <v>552.26894123675538</v>
      </c>
      <c r="AO62" s="59">
        <f t="shared" si="36"/>
        <v>409.85604950107006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11.366068011635623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11.366068011635623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5.4</v>
      </c>
      <c r="BD62" s="12">
        <f>IF('Données projet'!$A$88&gt;35,BD61+BC62-BL61,IF(A62&lt;'Données projet'!$A$88,$BA$205^A62,IF(A62='Données projet'!$A$88,'Données projet'!$B$88,BD61+BC62-BL61)))</f>
        <v>142.59999999999997</v>
      </c>
      <c r="BE62" s="13">
        <f>BD62*VLOOKUP('Données projet'!$B$11,Paramètres!$A$1:$I$89,3,0)*VLOOKUP('Données projet'!$B$11,Paramètres!$A$1:$I$89,5,0)</f>
        <v>153.49463999999995</v>
      </c>
      <c r="BF62" s="13">
        <f t="shared" si="37"/>
        <v>39.371687492841346</v>
      </c>
      <c r="BG62" s="20">
        <f t="shared" si="7"/>
        <v>335.90885371669856</v>
      </c>
      <c r="BH62" s="59">
        <f t="shared" si="8"/>
        <v>596.59826091054128</v>
      </c>
      <c r="BI62" s="59">
        <f ca="1">AVERAGE(OFFSET($BH$3,0,0,'Données projet'!$E$11+1,1))-AVERAGE(OFFSET($H$3,0,0,'Données projet'!$E$11+1,1))</f>
        <v>361.24725625563468</v>
      </c>
      <c r="BJ62" s="59">
        <f t="shared" si="38"/>
        <v>186.0840067781198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5.2532866953298596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5.2532866953298596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7.6</v>
      </c>
      <c r="BY62" s="12">
        <f>IF('Données projet'!$A$114&gt;35,BY61+BX62-CG61,IF(A62&lt;'Données projet'!$A$114,$BV$205^A62,IF(A62='Données projet'!$A$114,'Données projet'!$B$114,BY61+BX62-CG61)))</f>
        <v>206.39999999999998</v>
      </c>
      <c r="BZ62" s="13">
        <f>BY62*VLOOKUP('Données projet'!$B$12,Paramètres!$A$1:$I$89,3,0)*VLOOKUP('Données projet'!$B$12,Paramètres!$A$1:$I$89,5,0)</f>
        <v>138.45311999999998</v>
      </c>
      <c r="CA62" s="13">
        <f t="shared" si="39"/>
        <v>35.942408186268445</v>
      </c>
      <c r="CB62" s="20">
        <f t="shared" si="10"/>
        <v>303.73887825775086</v>
      </c>
      <c r="CC62" s="59">
        <f t="shared" si="11"/>
        <v>564.42828545159364</v>
      </c>
      <c r="CD62" s="59">
        <f ca="1">AVERAGE(OFFSET($CC$3,0,0,'Données projet'!$E$12+1,1))-AVERAGE(OFFSET($H$3,0,0,'Données projet'!$E$12+1,1))</f>
        <v>323.91378047319455</v>
      </c>
      <c r="CE62" s="59">
        <f t="shared" si="40"/>
        <v>212.89889176380288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6.7433015442166582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6.7433015442166582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11.762499999999989</v>
      </c>
      <c r="CT62" s="12">
        <f>IF('Données projet'!$A$140&gt;35,CT61+CS62-DB61,IF(A62&lt;'Données projet'!$A$140,$CQ$205^A62,IF(A62='Données projet'!$A$140,'Données projet'!$B$140,CT61+CS62-DB61)))</f>
        <v>509.98750000000007</v>
      </c>
      <c r="CU62" s="17">
        <f>CT62*VLOOKUP('Données projet'!$B$13,Paramètres!$A$1:$I$89,3,0)*VLOOKUP('Données projet'!$B$13,Paramètres!$A$1:$I$89,5,0)</f>
        <v>304.97252500000008</v>
      </c>
      <c r="CV62" s="13">
        <f t="shared" si="41"/>
        <v>72.217896258390596</v>
      </c>
      <c r="CW62" s="20">
        <f t="shared" si="13"/>
        <v>656.93998369169697</v>
      </c>
      <c r="CX62" s="59">
        <f t="shared" si="14"/>
        <v>917.62939088553981</v>
      </c>
      <c r="CY62" s="59">
        <f ca="1">AVERAGE(OFFSET($CX$3,0,0,'Données projet'!$E$13+1,1))-AVERAGE(OFFSET($H$3,0,0,'Données projet'!$E$13+1,1))</f>
        <v>356.07880667298025</v>
      </c>
      <c r="CZ62" s="59">
        <f t="shared" si="42"/>
        <v>396.05161661639659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35.076351616139647</v>
      </c>
      <c r="DG62" s="21">
        <f>EXP(-LN(2)/25)*DG61+(1-EXP(-LN(2)/25))/(LN(2)/25)*Calculateur!DB62*Calculateur!DD62*VLOOKUP('Données projet'!$B$13,Paramètres!$A$1:$I$89,3,0)*0.475*44/12</f>
        <v>24.237032826813518</v>
      </c>
      <c r="DH62" s="21">
        <f>EXP(-LN(2)/2)*DH61+(1-EXP(-LN(2)/2))/(LN(2)/2)*DB62*DE62*VLOOKUP('Données projet'!$B$13,Paramètres!$A$1:$I$89,3,0)*0.475*44/12</f>
        <v>3.5041426929076676</v>
      </c>
      <c r="DI62" s="22">
        <f t="shared" si="15"/>
        <v>62.817527135860836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13</v>
      </c>
      <c r="DO62" s="12">
        <f>IF('Données projet'!$A$166&gt;35,DO61+DN62-DW61,IF(A62&lt;'Données projet'!$A$166,$DL$205^A62,IF(A62='Données projet'!$A$166,'Données projet'!$B$166,DO61+DN62-DW61)))</f>
        <v>457</v>
      </c>
      <c r="DP62" s="17">
        <f>DO62*VLOOKUP('Données projet'!$B$14,Paramètres!$A$1:$I$89,3,0)*VLOOKUP('Données projet'!$B$14,Paramètres!$A$1:$I$89,5,0)</f>
        <v>213.87599999999998</v>
      </c>
      <c r="DQ62" s="13">
        <f t="shared" si="43"/>
        <v>52.781685550046873</v>
      </c>
      <c r="DR62" s="20">
        <f t="shared" si="16"/>
        <v>464.4288023329982</v>
      </c>
      <c r="DS62" s="59">
        <f t="shared" si="17"/>
        <v>725.11820952684093</v>
      </c>
      <c r="DT62" s="59">
        <f ca="1">AVERAGE(OFFSET($DS$3,0,0,'Données projet'!$E$14+1,1))-AVERAGE(OFFSET($H$3,0,0,'Données projet'!$E$14+1,1))</f>
        <v>246.11623544660486</v>
      </c>
      <c r="DU62" s="59">
        <f t="shared" si="44"/>
        <v>273.18950868898253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13.753114595549254</v>
      </c>
      <c r="EB62" s="21">
        <f>EXP(-LN(2)/25)*EB61+(1-EXP(-LN(2)/25))/(LN(2)/25)*Calculateur!DW62*Calculateur!DY62*VLOOKUP('Données projet'!$B$14,Paramètres!$A$1:$I$89,3,0)*0.475*44/12</f>
        <v>13.132710304532472</v>
      </c>
      <c r="EC62" s="21">
        <f>EXP(-LN(2)/2)*EC61+(1-EXP(-LN(2)/2))/(LN(2)/2)*DW62*DZ62*VLOOKUP('Données projet'!$B$14,Paramètres!$A$1:$I$89,3,0)*0.475*44/12</f>
        <v>0.26752226234279841</v>
      </c>
      <c r="ED62" s="22">
        <f t="shared" si="18"/>
        <v>27.153347162424524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5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67">
        <f t="shared" si="1"/>
        <v>183.33333333333334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273</v>
      </c>
      <c r="L63" s="12">
        <f>VLOOKUP(A63,'Données projet'!$A$35:$I$55,9,0)</f>
        <v>9.4</v>
      </c>
      <c r="M63" s="12">
        <f t="array" ref="M63">INDEX(L:L,MIN(IF(ISNUMBER(L63:L259),ROW(L63:L259),"")))</f>
        <v>9.4</v>
      </c>
      <c r="N63" s="13">
        <f>IF('Données projet'!$A$36&gt;35,N62+M63-V62,IF(A63&lt;'Données projet'!$A$36,$K$205^A63,IF(A63='Données projet'!$A$36,'Données projet'!$B$36,N62+M63-V62)))</f>
        <v>272.99999999999989</v>
      </c>
      <c r="O63" s="13">
        <f>N63*VLOOKUP('Données projet'!$B$9,Paramètres!$A$1:$I$89,3,0)*VLOOKUP('Données projet'!$B$9,Paramètres!$A$1:$I$89,5,0)</f>
        <v>276.82199999999989</v>
      </c>
      <c r="P63" s="13">
        <f t="shared" si="33"/>
        <v>66.29496059864374</v>
      </c>
      <c r="Q63" s="20">
        <f t="shared" si="53"/>
        <v>597.59537304263756</v>
      </c>
      <c r="R63" s="59">
        <f t="shared" si="0"/>
        <v>858.85107937411499</v>
      </c>
      <c r="S63" s="59">
        <f ca="1">AVERAGE(OFFSET($R$3,0,0,'Données projet'!$E$9+1,1))-AVERAGE(OFFSET($H$3,0,0,'Données projet'!$E$9+1,1))</f>
        <v>538.10210778862256</v>
      </c>
      <c r="T63" s="59">
        <f t="shared" si="34"/>
        <v>399.53300632021399</v>
      </c>
      <c r="U63" s="15">
        <f>IF(ISNA(VLOOKUP(A63,'Données projet'!$A$35:$I$55,3,0)),0,VLOOKUP(A63,'Données projet'!$A$35:$I$55,3,0))</f>
        <v>9</v>
      </c>
      <c r="V63" s="15">
        <f>IF(ISNA(VLOOKUP(A63,'Données projet'!$A$35:$I$55,4,0)),0,VLOOKUP(A63,'Données projet'!$A$35:$I$55,4,0))</f>
        <v>28</v>
      </c>
      <c r="W63" s="16">
        <f>IF(ISNA(VLOOKUP(A63,'Données projet'!$A$35:$I$55,5,0)),0%,VLOOKUP(A63,'Données projet'!$A$35:$I$55,5,0)*VLOOKUP('Données projet'!$B$9,Paramètres!$A$1:$I$89,7,0))</f>
        <v>0.17200000000000001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16.209034504870257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16.209034504870257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273</v>
      </c>
      <c r="AG63" s="12">
        <f>VLOOKUP(A63,'Données projet'!$A$61:$I$81,9,0)</f>
        <v>9.4</v>
      </c>
      <c r="AH63" s="12">
        <f t="array" ref="AH63">INDEX(AG:AG,MIN(IF(ISNUMBER(AG63:AG259),ROW(AG63:AG259),"")))</f>
        <v>9.4</v>
      </c>
      <c r="AI63" s="13">
        <f>IF('Données projet'!$A$62&gt;35,AI62+AH63-AQ62,IF(A63&lt;'Données projet'!$A$62,$AF$205^A63,IF(A63='Données projet'!$A$62,'Données projet'!$B$62,AI62+AH63-AQ62)))</f>
        <v>272.99999999999989</v>
      </c>
      <c r="AJ63" s="13">
        <f>AI63*VLOOKUP('Données projet'!$B$10,Paramètres!$A$1:$I$89,3,0)*VLOOKUP('Données projet'!$B$10,Paramètres!$A$1:$I$89,5,0)</f>
        <v>285.3395999999999</v>
      </c>
      <c r="AK63" s="13">
        <f t="shared" si="35"/>
        <v>68.094176261531288</v>
      </c>
      <c r="AL63" s="20">
        <f t="shared" si="4"/>
        <v>615.56382698883351</v>
      </c>
      <c r="AM63" s="59">
        <f t="shared" si="5"/>
        <v>876.81953332031094</v>
      </c>
      <c r="AN63" s="59">
        <f ca="1">AVERAGE(OFFSET($AM$3,0,0,'Données projet'!$E$10+1,1))-AVERAGE(OFFSET($H$3,0,0,'Données projet'!$E$10+1,1))</f>
        <v>552.26894123675538</v>
      </c>
      <c r="AO63" s="59">
        <f t="shared" si="36"/>
        <v>409.85604950107006</v>
      </c>
      <c r="AP63" s="15">
        <f>IF(ISNA(VLOOKUP(A63,'Données projet'!$A$61:$I$81,3,0)),0,VLOOKUP(A63,'Données projet'!$A$61:$I$81,3,0))</f>
        <v>9</v>
      </c>
      <c r="AQ63" s="15">
        <f>IF(ISNA(VLOOKUP(A63,'Données projet'!$A$61:$I$81,4,0)),0,VLOOKUP(A63,'Données projet'!$A$61:$I$81,4,0))</f>
        <v>28</v>
      </c>
      <c r="AR63" s="16">
        <f>IF(ISNA(VLOOKUP(A63,'Données projet'!$A$61:$I$81,5,0)),0%,VLOOKUP(A63,'Données projet'!$A$61:$I$81,5,0)*VLOOKUP('Données projet'!$B$10,Paramètres!$A$1:$I$89,7,0))</f>
        <v>0.17200000000000001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16.707774028097031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16.707774028097031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148</v>
      </c>
      <c r="BB63" s="12">
        <f>VLOOKUP(A63,'Données projet'!$A$87:$I$107,9,0)</f>
        <v>5.4</v>
      </c>
      <c r="BC63" s="12">
        <f t="array" ref="BC63">INDEX(BB:BB,MIN(IF(ISNUMBER(BB63:BB259),ROW(BB63:BB259),"")))</f>
        <v>5.4</v>
      </c>
      <c r="BD63" s="12">
        <f>IF('Données projet'!$A$88&gt;35,BD62+BC63-BL62,IF(A63&lt;'Données projet'!$A$88,$BA$205^A63,IF(A63='Données projet'!$A$88,'Données projet'!$B$88,BD62+BC63-BL62)))</f>
        <v>147.99999999999997</v>
      </c>
      <c r="BE63" s="13">
        <f>BD63*VLOOKUP('Données projet'!$B$11,Paramètres!$A$1:$I$89,3,0)*VLOOKUP('Données projet'!$B$11,Paramètres!$A$1:$I$89,5,0)</f>
        <v>159.30719999999997</v>
      </c>
      <c r="BF63" s="13">
        <f t="shared" si="37"/>
        <v>40.686212990054052</v>
      </c>
      <c r="BG63" s="20">
        <f t="shared" si="7"/>
        <v>348.32186095767742</v>
      </c>
      <c r="BH63" s="59">
        <f t="shared" si="8"/>
        <v>609.5775672891549</v>
      </c>
      <c r="BI63" s="59">
        <f ca="1">AVERAGE(OFFSET($BH$3,0,0,'Données projet'!$E$11+1,1))-AVERAGE(OFFSET($H$3,0,0,'Données projet'!$E$11+1,1))</f>
        <v>361.24725625563468</v>
      </c>
      <c r="BJ63" s="59">
        <f t="shared" si="38"/>
        <v>186.0840067781198</v>
      </c>
      <c r="BK63" s="15">
        <f>IF(ISNA(VLOOKUP(A63,'Données projet'!$A$87:$I$107,3,0)),0,VLOOKUP(A63,'Données projet'!$A$87:$I$107,3,0))</f>
        <v>8</v>
      </c>
      <c r="BL63" s="15">
        <f>IF(ISNA(VLOOKUP(A63,'Données projet'!$A$87:$I$107,4,0)),0,VLOOKUP(A63,'Données projet'!$A$87:$I$107,4,0))</f>
        <v>14</v>
      </c>
      <c r="BM63" s="16">
        <f>IF(ISNA(VLOOKUP(A63,'Données projet'!$A$87:$I$107,5,0)),0%,VLOOKUP(A63,'Données projet'!$A$87:$I$107,5,0)*VLOOKUP('Données projet'!$B$11,Paramètres!$A$1:$I$89,7,0))</f>
        <v>0.129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7.2992834870747938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7.2992834870747938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214</v>
      </c>
      <c r="BW63" s="12">
        <f>VLOOKUP(A63,'Données projet'!$A$113:$I$133,9,0)</f>
        <v>7.6</v>
      </c>
      <c r="BX63" s="12">
        <f t="array" ref="BX63">INDEX(BW:BW,MIN(IF(ISNUMBER(BW63:BW259),ROW(BW63:BW259),"")))</f>
        <v>7.6</v>
      </c>
      <c r="BY63" s="12">
        <f>IF('Données projet'!$A$114&gt;35,BY62+BX63-CG62,IF(A63&lt;'Données projet'!$A$114,$BV$205^A63,IF(A63='Données projet'!$A$114,'Données projet'!$B$114,BY62+BX63-CG62)))</f>
        <v>213.99999999999997</v>
      </c>
      <c r="BZ63" s="13">
        <f>BY63*VLOOKUP('Données projet'!$B$12,Paramètres!$A$1:$I$89,3,0)*VLOOKUP('Données projet'!$B$12,Paramètres!$A$1:$I$89,5,0)</f>
        <v>143.55119999999997</v>
      </c>
      <c r="CA63" s="13">
        <f t="shared" si="39"/>
        <v>37.109345732537925</v>
      </c>
      <c r="CB63" s="20">
        <f t="shared" si="10"/>
        <v>314.65045048417016</v>
      </c>
      <c r="CC63" s="59">
        <f t="shared" si="11"/>
        <v>575.90615681564759</v>
      </c>
      <c r="CD63" s="59">
        <f ca="1">AVERAGE(OFFSET($CC$3,0,0,'Données projet'!$E$12+1,1))-AVERAGE(OFFSET($H$3,0,0,'Données projet'!$E$12+1,1))</f>
        <v>323.91378047319455</v>
      </c>
      <c r="CE63" s="59">
        <f t="shared" si="40"/>
        <v>212.89889176380288</v>
      </c>
      <c r="CF63" s="15">
        <f>IF(ISNA(VLOOKUP(A63,'Données projet'!$A$113:$I$133,3,0)),0,VLOOKUP(A63,'Données projet'!$A$113:$I$133,3,0))</f>
        <v>9</v>
      </c>
      <c r="CG63" s="15">
        <f>IF(ISNA(VLOOKUP(A63,'Données projet'!$A$113:$I$133,4,0)),0,VLOOKUP(A63,'Données projet'!$A$113:$I$133,4,0))</f>
        <v>21</v>
      </c>
      <c r="CH63" s="16">
        <f>IF(ISNA(VLOOKUP(A63,'Données projet'!$A$113:$I$133,5,0)),0%,VLOOKUP(A63,'Données projet'!$A$113:$I$133,5,0)*VLOOKUP('Données projet'!$B$12,Paramètres!$A$1:$I$89,7,0))</f>
        <v>0.21200000000000002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9.9124480241321962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9.9124480241321962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521.75</v>
      </c>
      <c r="CR63" s="12">
        <f>VLOOKUP(A63,'Données projet'!$A$139:$I$159,9,0)</f>
        <v>11.762499999999989</v>
      </c>
      <c r="CS63" s="12">
        <f t="array" ref="CS63">INDEX(CR:CR,MIN(IF(ISNUMBER(CR63:CR259),ROW(CR63:CR259),"")))</f>
        <v>11.762499999999989</v>
      </c>
      <c r="CT63" s="12">
        <f>IF('Données projet'!$A$140&gt;35,CT62+CS63-DB62,IF(A63&lt;'Données projet'!$A$140,$CQ$205^A63,IF(A63='Données projet'!$A$140,'Données projet'!$B$140,CT62+CS63-DB62)))</f>
        <v>521.75</v>
      </c>
      <c r="CU63" s="17">
        <f>CT63*VLOOKUP('Données projet'!$B$13,Paramètres!$A$1:$I$89,3,0)*VLOOKUP('Données projet'!$B$13,Paramètres!$A$1:$I$89,5,0)</f>
        <v>312.00650000000002</v>
      </c>
      <c r="CV63" s="13">
        <f t="shared" si="41"/>
        <v>73.687709758579885</v>
      </c>
      <c r="CW63" s="20">
        <f t="shared" si="13"/>
        <v>671.75074866286002</v>
      </c>
      <c r="CX63" s="59">
        <f t="shared" si="14"/>
        <v>933.00645499433745</v>
      </c>
      <c r="CY63" s="59">
        <f ca="1">AVERAGE(OFFSET($CX$3,0,0,'Données projet'!$E$13+1,1))-AVERAGE(OFFSET($H$3,0,0,'Données projet'!$E$13+1,1))</f>
        <v>356.07880667298025</v>
      </c>
      <c r="CZ63" s="59">
        <f t="shared" si="42"/>
        <v>396.05161661639659</v>
      </c>
      <c r="DA63" s="15">
        <f>IF(ISNA(VLOOKUP(A63,'Données projet'!$A$139:$I$159,3,0)),0,VLOOKUP(A63,'Données projet'!$A$139:$I$159,3,0))</f>
        <v>12</v>
      </c>
      <c r="DB63" s="15">
        <f>IF(ISNA(VLOOKUP(A63,'Données projet'!$A$139:$I$159,4,0)),0,VLOOKUP(A63,'Données projet'!$A$139:$I$159,4,0))</f>
        <v>521.75</v>
      </c>
      <c r="DC63" s="16">
        <f>IF(ISNA(VLOOKUP(A63,'Données projet'!$A$139:$I$159,5,0)),0%,VLOOKUP(A63,'Données projet'!$A$139:$I$159,5,0)*VLOOKUP('Données projet'!$B$13,Paramètres!$A$1:$I$89,7,0))</f>
        <v>0.36000000000000004</v>
      </c>
      <c r="DD63" s="16">
        <f>IF(ISNA(VLOOKUP(A63,'Données projet'!$A$139:$I$159,6,0)),0%,VLOOKUP(A63,'Données projet'!$A$139:$I$159,6,0)*VLOOKUP('Données projet'!$B$13,Paramètres!$A$1:$I$89,7,0))</f>
        <v>4.9500000000000002E-2</v>
      </c>
      <c r="DE63" s="16">
        <f>IF(ISNA(VLOOKUP(A63,'Données projet'!$A$139:$I$159,7,0)),0%,VLOOKUP(A63,'Données projet'!$A$139:$I$159,7,0))</f>
        <v>0.09</v>
      </c>
      <c r="DF63" s="21">
        <f>EXP(-LN(2)/35)*DF62+(1-EXP(-LN(2)/35))/(LN(2)/35)*DB63*DC63*VLOOKUP('Données projet'!$B$13,Paramètres!$A$1:$I$89,3,0)*0.475*44/12</f>
        <v>183.39134955120403</v>
      </c>
      <c r="DG63" s="21">
        <f>EXP(-LN(2)/25)*DG62+(1-EXP(-LN(2)/25))/(LN(2)/25)*Calculateur!DB63*Calculateur!DD63*VLOOKUP('Données projet'!$B$13,Paramètres!$A$1:$I$89,3,0)*0.475*44/12</f>
        <v>43.981489538891935</v>
      </c>
      <c r="DH63" s="21">
        <f>EXP(-LN(2)/2)*DH62+(1-EXP(-LN(2)/2))/(LN(2)/2)*DB63*DE63*VLOOKUP('Données projet'!$B$13,Paramètres!$A$1:$I$89,3,0)*0.475*44/12</f>
        <v>34.271548330837511</v>
      </c>
      <c r="DI63" s="22">
        <f t="shared" si="15"/>
        <v>261.64438742093347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470</v>
      </c>
      <c r="DM63" s="12">
        <f>VLOOKUP(A63,'Données projet'!$A$165:$I$185,9,0)</f>
        <v>13</v>
      </c>
      <c r="DN63" s="12">
        <f t="array" ref="DN63">INDEX(DM:DM,MIN(IF(ISNUMBER(DM63:DM259),ROW(DM63:DM259),"")))</f>
        <v>13</v>
      </c>
      <c r="DO63" s="12">
        <f>IF('Données projet'!$A$166&gt;35,DO62+DN63-DW62,IF(A63&lt;'Données projet'!$A$166,$DL$205^A63,IF(A63='Données projet'!$A$166,'Données projet'!$B$166,DO62+DN63-DW62)))</f>
        <v>470</v>
      </c>
      <c r="DP63" s="17">
        <f>DO63*VLOOKUP('Données projet'!$B$14,Paramètres!$A$1:$I$89,3,0)*VLOOKUP('Données projet'!$B$14,Paramètres!$A$1:$I$89,5,0)</f>
        <v>219.95999999999998</v>
      </c>
      <c r="DQ63" s="13">
        <f t="shared" si="43"/>
        <v>54.106191826225746</v>
      </c>
      <c r="DR63" s="20">
        <f t="shared" si="16"/>
        <v>477.33195076400972</v>
      </c>
      <c r="DS63" s="59">
        <f t="shared" si="17"/>
        <v>738.5876570954872</v>
      </c>
      <c r="DT63" s="59">
        <f ca="1">AVERAGE(OFFSET($DS$3,0,0,'Données projet'!$E$14+1,1))-AVERAGE(OFFSET($H$3,0,0,'Données projet'!$E$14+1,1))</f>
        <v>246.11623544660486</v>
      </c>
      <c r="DU63" s="59">
        <f t="shared" si="44"/>
        <v>273.18950868898253</v>
      </c>
      <c r="DV63" s="15">
        <f>IF(ISNA(VLOOKUP(A63,'Données projet'!$A$165:$I$185,3,0)),0,VLOOKUP(A63,'Données projet'!$A$165:$I$185,3,0))</f>
        <v>5</v>
      </c>
      <c r="DW63" s="15">
        <f>IF(ISNA(VLOOKUP(A63,'Données projet'!$A$165:$I$185,4,0)),0,VLOOKUP(A63,'Données projet'!$A$165:$I$185,4,0))</f>
        <v>470</v>
      </c>
      <c r="DX63" s="16">
        <f>IF(ISNA(VLOOKUP(A63,'Données projet'!$A$165:$I$185,5,0)),0%,VLOOKUP(A63,'Données projet'!$A$165:$I$185,5,0)*VLOOKUP('Données projet'!$B$14,Paramètres!$A$1:$I$89,7,0))</f>
        <v>0.38500000000000001</v>
      </c>
      <c r="DY63" s="16">
        <f>IF(ISNA(VLOOKUP(A63,'Données projet'!$A$165:$I$185,6,0)),0%,VLOOKUP(A63,'Données projet'!$A$165:$I$185,6,0)*VLOOKUP('Données projet'!$B$14,Paramètres!$A$1:$I$89,7,0))</f>
        <v>9.3500000000000014E-2</v>
      </c>
      <c r="DZ63" s="16">
        <f>IF(ISNA(VLOOKUP(A63,'Données projet'!$A$165:$I$185,7,0)),0%,VLOOKUP(A63,'Données projet'!$A$165:$I$185,7,0))</f>
        <v>0.13</v>
      </c>
      <c r="EA63" s="21">
        <f>EXP(-LN(2)/35)*EA62+(1-EXP(-LN(2)/35))/(LN(2)/35)*DW63*DX63*VLOOKUP('Données projet'!$B$14,Paramètres!$A$1:$I$89,3,0)*0.475*44/12</f>
        <v>125.8230046900174</v>
      </c>
      <c r="EB63" s="21">
        <f>EXP(-LN(2)/25)*EB62+(1-EXP(-LN(2)/25))/(LN(2)/25)*Calculateur!DW63*Calculateur!DY63*VLOOKUP('Données projet'!$B$14,Paramètres!$A$1:$I$89,3,0)*0.475*44/12</f>
        <v>39.948643670116965</v>
      </c>
      <c r="EC63" s="21">
        <f>EXP(-LN(2)/2)*EC62+(1-EXP(-LN(2)/2))/(LN(2)/2)*DW63*DZ63*VLOOKUP('Données projet'!$B$14,Paramètres!$A$1:$I$89,3,0)*0.475*44/12</f>
        <v>32.565122907130743</v>
      </c>
      <c r="ED63" s="22">
        <f t="shared" si="18"/>
        <v>198.33677126726508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5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67">
        <f t="shared" si="1"/>
        <v>183.33333333333334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8.8000000000000007</v>
      </c>
      <c r="N64" s="13">
        <f>IF('Données projet'!$A$36&gt;35,N63+M64-V63,IF(A64&lt;'Données projet'!$A$36,$K$205^A64,IF(A64='Données projet'!$A$36,'Données projet'!$B$36,N63+M64-V63)))</f>
        <v>253.7999999999999</v>
      </c>
      <c r="O64" s="13">
        <f>N64*VLOOKUP('Données projet'!$B$9,Paramètres!$A$1:$I$89,3,0)*VLOOKUP('Données projet'!$B$9,Paramètres!$A$1:$I$89,5,0)</f>
        <v>257.3531999999999</v>
      </c>
      <c r="P64" s="13">
        <f t="shared" si="33"/>
        <v>62.157851613080908</v>
      </c>
      <c r="Q64" s="20">
        <f t="shared" si="53"/>
        <v>556.48174822611566</v>
      </c>
      <c r="R64" s="59">
        <f t="shared" si="0"/>
        <v>818.293929671245</v>
      </c>
      <c r="S64" s="59">
        <f ca="1">AVERAGE(OFFSET($R$3,0,0,'Données projet'!$E$9+1,1))-AVERAGE(OFFSET($H$3,0,0,'Données projet'!$E$9+1,1))</f>
        <v>538.10210778862256</v>
      </c>
      <c r="T64" s="59">
        <f t="shared" si="34"/>
        <v>399.53300632021399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15.891185224764584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15.891185224764584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8.8000000000000007</v>
      </c>
      <c r="AI64" s="13">
        <f>IF('Données projet'!$A$62&gt;35,AI63+AH64-AQ63,IF(A64&lt;'Données projet'!$A$62,$AF$205^A64,IF(A64='Données projet'!$A$62,'Données projet'!$B$62,AI63+AH64-AQ63)))</f>
        <v>253.7999999999999</v>
      </c>
      <c r="AJ64" s="13">
        <f>AI64*VLOOKUP('Données projet'!$B$10,Paramètres!$A$1:$I$89,3,0)*VLOOKUP('Données projet'!$B$10,Paramètres!$A$1:$I$89,5,0)</f>
        <v>265.27175999999992</v>
      </c>
      <c r="AK64" s="13">
        <f t="shared" si="35"/>
        <v>63.844787983263814</v>
      </c>
      <c r="AL64" s="20">
        <f t="shared" si="4"/>
        <v>573.211321070851</v>
      </c>
      <c r="AM64" s="59">
        <f t="shared" si="5"/>
        <v>835.02350251598034</v>
      </c>
      <c r="AN64" s="59">
        <f ca="1">AVERAGE(OFFSET($AM$3,0,0,'Données projet'!$E$10+1,1))-AVERAGE(OFFSET($H$3,0,0,'Données projet'!$E$10+1,1))</f>
        <v>552.26894123675538</v>
      </c>
      <c r="AO64" s="59">
        <f t="shared" si="36"/>
        <v>409.85604950107006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16.380144770141953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16.380144770141953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5.4</v>
      </c>
      <c r="BD64" s="12">
        <f>IF('Données projet'!$A$88&gt;35,BD63+BC64-BL63,IF(A64&lt;'Données projet'!$A$88,$BA$205^A64,IF(A64='Données projet'!$A$88,'Données projet'!$B$88,BD63+BC64-BL63)))</f>
        <v>139.39999999999998</v>
      </c>
      <c r="BE64" s="13">
        <f>BD64*VLOOKUP('Données projet'!$B$11,Paramètres!$A$1:$I$89,3,0)*VLOOKUP('Données projet'!$B$11,Paramètres!$A$1:$I$89,5,0)</f>
        <v>150.05015999999998</v>
      </c>
      <c r="BF64" s="13">
        <f t="shared" si="37"/>
        <v>38.589984439024569</v>
      </c>
      <c r="BG64" s="20">
        <f t="shared" si="7"/>
        <v>328.54825156463437</v>
      </c>
      <c r="BH64" s="59">
        <f t="shared" si="8"/>
        <v>590.36043300976371</v>
      </c>
      <c r="BI64" s="59">
        <f ca="1">AVERAGE(OFFSET($BH$3,0,0,'Données projet'!$E$11+1,1))-AVERAGE(OFFSET($H$3,0,0,'Données projet'!$E$11+1,1))</f>
        <v>361.24725625563468</v>
      </c>
      <c r="BJ64" s="59">
        <f t="shared" si="38"/>
        <v>186.0840067781198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7.1561489900165736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7.1561489900165736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7.2</v>
      </c>
      <c r="BY64" s="12">
        <f>IF('Données projet'!$A$114&gt;35,BY63+BX64-CG63,IF(A64&lt;'Données projet'!$A$114,$BV$205^A64,IF(A64='Données projet'!$A$114,'Données projet'!$B$114,BY63+BX64-CG63)))</f>
        <v>200.19999999999996</v>
      </c>
      <c r="BZ64" s="13">
        <f>BY64*VLOOKUP('Données projet'!$B$12,Paramètres!$A$1:$I$89,3,0)*VLOOKUP('Données projet'!$B$12,Paramètres!$A$1:$I$89,5,0)</f>
        <v>134.29415999999998</v>
      </c>
      <c r="CA64" s="13">
        <f t="shared" si="39"/>
        <v>34.98672910402766</v>
      </c>
      <c r="CB64" s="20">
        <f t="shared" si="10"/>
        <v>294.83088185618146</v>
      </c>
      <c r="CC64" s="59">
        <f t="shared" si="11"/>
        <v>556.6430633013108</v>
      </c>
      <c r="CD64" s="59">
        <f ca="1">AVERAGE(OFFSET($CC$3,0,0,'Données projet'!$E$12+1,1))-AVERAGE(OFFSET($H$3,0,0,'Données projet'!$E$12+1,1))</f>
        <v>323.91378047319455</v>
      </c>
      <c r="CE64" s="59">
        <f t="shared" si="40"/>
        <v>212.89889176380288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9.7180709643752667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9.7180709643752667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>
        <f>CT64*VLOOKUP('Données projet'!$B$13,Paramètres!$A$1:$I$89,3,0)*VLOOKUP('Données projet'!$B$13,Paramètres!$A$1:$I$89,5,0)</f>
        <v>0</v>
      </c>
      <c r="CV64" s="13" t="e">
        <f t="shared" si="41"/>
        <v>#NUM!</v>
      </c>
      <c r="CW64" s="20" t="e">
        <f t="shared" si="13"/>
        <v>#NUM!</v>
      </c>
      <c r="CX64" s="59" t="e">
        <f t="shared" si="14"/>
        <v>#NUM!</v>
      </c>
      <c r="CY64" s="59">
        <f ca="1">AVERAGE(OFFSET($CX$3,0,0,'Données projet'!$E$13+1,1))-AVERAGE(OFFSET($H$3,0,0,'Données projet'!$E$13+1,1))</f>
        <v>356.07880667298025</v>
      </c>
      <c r="CZ64" s="59">
        <f t="shared" si="42"/>
        <v>396.05161661639659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179.79515704418313</v>
      </c>
      <c r="DG64" s="21">
        <f>EXP(-LN(2)/25)*DG63+(1-EXP(-LN(2)/25))/(LN(2)/25)*Calculateur!DB64*Calculateur!DD64*VLOOKUP('Données projet'!$B$13,Paramètres!$A$1:$I$89,3,0)*0.475*44/12</f>
        <v>42.778813394564921</v>
      </c>
      <c r="DH64" s="21">
        <f>EXP(-LN(2)/2)*DH63+(1-EXP(-LN(2)/2))/(LN(2)/2)*DB64*DE64*VLOOKUP('Données projet'!$B$13,Paramètres!$A$1:$I$89,3,0)*0.475*44/12</f>
        <v>24.233644226497709</v>
      </c>
      <c r="DI64" s="22">
        <f t="shared" si="15"/>
        <v>246.80761466524578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>
        <f>DO64*VLOOKUP('Données projet'!$B$14,Paramètres!$A$1:$I$89,3,0)*VLOOKUP('Données projet'!$B$14,Paramètres!$A$1:$I$89,5,0)</f>
        <v>0</v>
      </c>
      <c r="DQ64" s="13" t="e">
        <f t="shared" si="43"/>
        <v>#NUM!</v>
      </c>
      <c r="DR64" s="20" t="e">
        <f t="shared" si="16"/>
        <v>#NUM!</v>
      </c>
      <c r="DS64" s="59" t="e">
        <f t="shared" si="17"/>
        <v>#NUM!</v>
      </c>
      <c r="DT64" s="59">
        <f ca="1">AVERAGE(OFFSET($DS$3,0,0,'Données projet'!$E$14+1,1))-AVERAGE(OFFSET($H$3,0,0,'Données projet'!$E$14+1,1))</f>
        <v>246.11623544660486</v>
      </c>
      <c r="DU64" s="59">
        <f t="shared" si="44"/>
        <v>273.18950868898253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123.35569231250113</v>
      </c>
      <c r="EB64" s="21">
        <f>EXP(-LN(2)/25)*EB63+(1-EXP(-LN(2)/25))/(LN(2)/25)*Calculateur!DW64*Calculateur!DY64*VLOOKUP('Données projet'!$B$14,Paramètres!$A$1:$I$89,3,0)*0.475*44/12</f>
        <v>38.856245908149752</v>
      </c>
      <c r="EC64" s="21">
        <f>EXP(-LN(2)/2)*EC63+(1-EXP(-LN(2)/2))/(LN(2)/2)*DW64*DZ64*VLOOKUP('Données projet'!$B$14,Paramètres!$A$1:$I$89,3,0)*0.475*44/12</f>
        <v>23.027019237805526</v>
      </c>
      <c r="ED64" s="22">
        <f t="shared" si="18"/>
        <v>185.23895745845641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5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67">
        <f t="shared" si="1"/>
        <v>183.33333333333334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8.8000000000000007</v>
      </c>
      <c r="N65" s="13">
        <f>IF('Données projet'!$A$36&gt;35,N64+M65-V64,IF(A65&lt;'Données projet'!$A$36,$K$205^A65,IF(A65='Données projet'!$A$36,'Données projet'!$B$36,N64+M65-V64)))</f>
        <v>262.59999999999991</v>
      </c>
      <c r="O65" s="13">
        <f>N65*VLOOKUP('Données projet'!$B$9,Paramètres!$A$1:$I$89,3,0)*VLOOKUP('Données projet'!$B$9,Paramètres!$A$1:$I$89,5,0)</f>
        <v>266.27639999999991</v>
      </c>
      <c r="P65" s="13">
        <f t="shared" si="33"/>
        <v>64.05838982943969</v>
      </c>
      <c r="Q65" s="20">
        <f t="shared" si="53"/>
        <v>575.333092286274</v>
      </c>
      <c r="R65" s="59">
        <f t="shared" si="0"/>
        <v>837.69209524592532</v>
      </c>
      <c r="S65" s="59">
        <f ca="1">AVERAGE(OFFSET($R$3,0,0,'Données projet'!$E$9+1,1))-AVERAGE(OFFSET($H$3,0,0,'Données projet'!$E$9+1,1))</f>
        <v>538.10210778862256</v>
      </c>
      <c r="T65" s="59">
        <f t="shared" si="34"/>
        <v>399.53300632021399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15.579568775172866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15.579568775172866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8.8000000000000007</v>
      </c>
      <c r="AI65" s="13">
        <f>IF('Données projet'!$A$62&gt;35,AI64+AH65-AQ64,IF(A65&lt;'Données projet'!$A$62,$AF$205^A65,IF(A65='Données projet'!$A$62,'Données projet'!$B$62,AI64+AH65-AQ64)))</f>
        <v>262.59999999999991</v>
      </c>
      <c r="AJ65" s="13">
        <f>AI65*VLOOKUP('Données projet'!$B$10,Paramètres!$A$1:$I$89,3,0)*VLOOKUP('Données projet'!$B$10,Paramètres!$A$1:$I$89,5,0)</f>
        <v>274.46951999999993</v>
      </c>
      <c r="AK65" s="13">
        <f t="shared" si="35"/>
        <v>65.796905959168527</v>
      </c>
      <c r="AL65" s="20">
        <f t="shared" si="4"/>
        <v>592.63069187888505</v>
      </c>
      <c r="AM65" s="59">
        <f t="shared" si="5"/>
        <v>854.98969483853637</v>
      </c>
      <c r="AN65" s="59">
        <f ca="1">AVERAGE(OFFSET($AM$3,0,0,'Données projet'!$E$10+1,1))-AVERAGE(OFFSET($H$3,0,0,'Données projet'!$E$10+1,1))</f>
        <v>552.26894123675538</v>
      </c>
      <c r="AO65" s="59">
        <f t="shared" si="36"/>
        <v>409.85604950107006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16.058940122101259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16.058940122101259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5.4</v>
      </c>
      <c r="BD65" s="12">
        <f>IF('Données projet'!$A$88&gt;35,BD64+BC65-BL64,IF(A65&lt;'Données projet'!$A$88,$BA$205^A65,IF(A65='Données projet'!$A$88,'Données projet'!$B$88,BD64+BC65-BL64)))</f>
        <v>144.79999999999998</v>
      </c>
      <c r="BE65" s="13">
        <f>BD65*VLOOKUP('Données projet'!$B$11,Paramètres!$A$1:$I$89,3,0)*VLOOKUP('Données projet'!$B$11,Paramètres!$A$1:$I$89,5,0)</f>
        <v>155.86271999999997</v>
      </c>
      <c r="BF65" s="13">
        <f t="shared" si="37"/>
        <v>39.907922284180763</v>
      </c>
      <c r="BG65" s="20">
        <f t="shared" si="7"/>
        <v>340.96720197828142</v>
      </c>
      <c r="BH65" s="59">
        <f t="shared" si="8"/>
        <v>603.32620493793274</v>
      </c>
      <c r="BI65" s="59">
        <f ca="1">AVERAGE(OFFSET($BH$3,0,0,'Données projet'!$E$11+1,1))-AVERAGE(OFFSET($H$3,0,0,'Données projet'!$E$11+1,1))</f>
        <v>361.24725625563468</v>
      </c>
      <c r="BJ65" s="59">
        <f t="shared" si="38"/>
        <v>186.0840067781198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7.015821273142242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7.015821273142242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7.2</v>
      </c>
      <c r="BY65" s="12">
        <f>IF('Données projet'!$A$114&gt;35,BY64+BX65-CG64,IF(A65&lt;'Données projet'!$A$114,$BV$205^A65,IF(A65='Données projet'!$A$114,'Données projet'!$B$114,BY64+BX65-CG64)))</f>
        <v>207.39999999999995</v>
      </c>
      <c r="BZ65" s="13">
        <f>BY65*VLOOKUP('Données projet'!$B$12,Paramètres!$A$1:$I$89,3,0)*VLOOKUP('Données projet'!$B$12,Paramètres!$A$1:$I$89,5,0)</f>
        <v>139.12391999999997</v>
      </c>
      <c r="CA65" s="13">
        <f t="shared" si="39"/>
        <v>36.096234604679047</v>
      </c>
      <c r="CB65" s="20">
        <f t="shared" si="10"/>
        <v>305.17510260314924</v>
      </c>
      <c r="CC65" s="59">
        <f t="shared" si="11"/>
        <v>567.53410556280051</v>
      </c>
      <c r="CD65" s="59">
        <f ca="1">AVERAGE(OFFSET($CC$3,0,0,'Données projet'!$E$12+1,1))-AVERAGE(OFFSET($H$3,0,0,'Données projet'!$E$12+1,1))</f>
        <v>323.91378047319455</v>
      </c>
      <c r="CE65" s="59">
        <f t="shared" si="40"/>
        <v>212.89889176380288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9.5275055202018706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9.5275055202018706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>
        <f>CT65*VLOOKUP('Données projet'!$B$13,Paramètres!$A$1:$I$89,3,0)*VLOOKUP('Données projet'!$B$13,Paramètres!$A$1:$I$89,5,0)</f>
        <v>0</v>
      </c>
      <c r="CV65" s="13" t="e">
        <f t="shared" si="41"/>
        <v>#NUM!</v>
      </c>
      <c r="CW65" s="20" t="e">
        <f t="shared" si="13"/>
        <v>#NUM!</v>
      </c>
      <c r="CX65" s="59" t="e">
        <f t="shared" si="14"/>
        <v>#NUM!</v>
      </c>
      <c r="CY65" s="59">
        <f ca="1">AVERAGE(OFFSET($CX$3,0,0,'Données projet'!$E$13+1,1))-AVERAGE(OFFSET($H$3,0,0,'Données projet'!$E$13+1,1))</f>
        <v>356.07880667298025</v>
      </c>
      <c r="CZ65" s="59">
        <f t="shared" si="42"/>
        <v>396.05161661639659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176.26948367876406</v>
      </c>
      <c r="DG65" s="21">
        <f>EXP(-LN(2)/25)*DG64+(1-EXP(-LN(2)/25))/(LN(2)/25)*Calculateur!DB65*Calculateur!DD65*VLOOKUP('Données projet'!$B$13,Paramètres!$A$1:$I$89,3,0)*0.475*44/12</f>
        <v>41.609024492650519</v>
      </c>
      <c r="DH65" s="21">
        <f>EXP(-LN(2)/2)*DH64+(1-EXP(-LN(2)/2))/(LN(2)/2)*DB65*DE65*VLOOKUP('Données projet'!$B$13,Paramètres!$A$1:$I$89,3,0)*0.475*44/12</f>
        <v>17.135774165418759</v>
      </c>
      <c r="DI65" s="22">
        <f t="shared" si="15"/>
        <v>235.01428233683333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>
        <f>DO65*VLOOKUP('Données projet'!$B$14,Paramètres!$A$1:$I$89,3,0)*VLOOKUP('Données projet'!$B$14,Paramètres!$A$1:$I$89,5,0)</f>
        <v>0</v>
      </c>
      <c r="DQ65" s="13" t="e">
        <f t="shared" si="43"/>
        <v>#NUM!</v>
      </c>
      <c r="DR65" s="20" t="e">
        <f t="shared" si="16"/>
        <v>#NUM!</v>
      </c>
      <c r="DS65" s="59" t="e">
        <f t="shared" si="17"/>
        <v>#NUM!</v>
      </c>
      <c r="DT65" s="59">
        <f ca="1">AVERAGE(OFFSET($DS$3,0,0,'Données projet'!$E$14+1,1))-AVERAGE(OFFSET($H$3,0,0,'Données projet'!$E$14+1,1))</f>
        <v>246.11623544660486</v>
      </c>
      <c r="DU65" s="59">
        <f t="shared" si="44"/>
        <v>273.18950868898253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120.936762425796</v>
      </c>
      <c r="EB65" s="21">
        <f>EXP(-LN(2)/25)*EB64+(1-EXP(-LN(2)/25))/(LN(2)/25)*Calculateur!DW65*Calculateur!DY65*VLOOKUP('Données projet'!$B$14,Paramètres!$A$1:$I$89,3,0)*0.475*44/12</f>
        <v>37.793719820430233</v>
      </c>
      <c r="EC65" s="21">
        <f>EXP(-LN(2)/2)*EC64+(1-EXP(-LN(2)/2))/(LN(2)/2)*DW65*DZ65*VLOOKUP('Données projet'!$B$14,Paramètres!$A$1:$I$89,3,0)*0.475*44/12</f>
        <v>16.282561453565375</v>
      </c>
      <c r="ED65" s="22">
        <f t="shared" si="18"/>
        <v>175.01304369979161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5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67">
        <f t="shared" si="1"/>
        <v>183.33333333333334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8.8000000000000007</v>
      </c>
      <c r="N66" s="13">
        <f>IF('Données projet'!$A$36&gt;35,N65+M66-V65,IF(A66&lt;'Données projet'!$A$36,$K$205^A66,IF(A66='Données projet'!$A$36,'Données projet'!$B$36,N65+M66-V65)))</f>
        <v>271.39999999999992</v>
      </c>
      <c r="O66" s="13">
        <f>N66*VLOOKUP('Données projet'!$B$9,Paramètres!$A$1:$I$89,3,0)*VLOOKUP('Données projet'!$B$9,Paramètres!$A$1:$I$89,5,0)</f>
        <v>275.19959999999998</v>
      </c>
      <c r="P66" s="13">
        <f t="shared" si="33"/>
        <v>65.951527620662617</v>
      </c>
      <c r="Q66" s="20">
        <f t="shared" si="53"/>
        <v>594.17154727265404</v>
      </c>
      <c r="R66" s="59">
        <f t="shared" si="0"/>
        <v>857.06788561606015</v>
      </c>
      <c r="S66" s="59">
        <f ca="1">AVERAGE(OFFSET($R$3,0,0,'Données projet'!$E$9+1,1))-AVERAGE(OFFSET($H$3,0,0,'Données projet'!$E$9+1,1))</f>
        <v>538.10210778862256</v>
      </c>
      <c r="T66" s="59">
        <f t="shared" si="34"/>
        <v>399.53300632021399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15.274062934090376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15.274062934090376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8.8000000000000007</v>
      </c>
      <c r="AI66" s="13">
        <f>IF('Données projet'!$A$62&gt;35,AI65+AH66-AQ65,IF(A66&lt;'Données projet'!$A$62,$AF$205^A66,IF(A66='Données projet'!$A$62,'Données projet'!$B$62,AI65+AH66-AQ65)))</f>
        <v>271.39999999999992</v>
      </c>
      <c r="AJ66" s="13">
        <f>AI66*VLOOKUP('Données projet'!$B$10,Paramètres!$A$1:$I$89,3,0)*VLOOKUP('Données projet'!$B$10,Paramètres!$A$1:$I$89,5,0)</f>
        <v>283.66727999999995</v>
      </c>
      <c r="AK66" s="13">
        <f t="shared" si="35"/>
        <v>67.741422665699872</v>
      </c>
      <c r="AL66" s="20">
        <f t="shared" si="4"/>
        <v>612.03682380942712</v>
      </c>
      <c r="AM66" s="59">
        <f t="shared" si="5"/>
        <v>874.93316215283323</v>
      </c>
      <c r="AN66" s="59">
        <f ca="1">AVERAGE(OFFSET($AM$3,0,0,'Données projet'!$E$10+1,1))-AVERAGE(OFFSET($H$3,0,0,'Données projet'!$E$10+1,1))</f>
        <v>552.26894123675538</v>
      </c>
      <c r="AO66" s="59">
        <f t="shared" si="36"/>
        <v>409.85604950107006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15.744034101293153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15.744034101293153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5.4</v>
      </c>
      <c r="BD66" s="12">
        <f>IF('Données projet'!$A$88&gt;35,BD65+BC66-BL65,IF(A66&lt;'Données projet'!$A$88,$BA$205^A66,IF(A66='Données projet'!$A$88,'Données projet'!$B$88,BD65+BC66-BL65)))</f>
        <v>150.19999999999999</v>
      </c>
      <c r="BE66" s="13">
        <f>BD66*VLOOKUP('Données projet'!$B$11,Paramètres!$A$1:$I$89,3,0)*VLOOKUP('Données projet'!$B$11,Paramètres!$A$1:$I$89,5,0)</f>
        <v>161.67527999999999</v>
      </c>
      <c r="BF66" s="13">
        <f t="shared" si="37"/>
        <v>41.22015011524379</v>
      </c>
      <c r="BG66" s="20">
        <f t="shared" si="7"/>
        <v>353.37620745071621</v>
      </c>
      <c r="BH66" s="59">
        <f t="shared" si="8"/>
        <v>616.27254579412238</v>
      </c>
      <c r="BI66" s="59">
        <f ca="1">AVERAGE(OFFSET($BH$3,0,0,'Données projet'!$E$11+1,1))-AVERAGE(OFFSET($H$3,0,0,'Données projet'!$E$11+1,1))</f>
        <v>361.24725625563468</v>
      </c>
      <c r="BJ66" s="59">
        <f t="shared" si="38"/>
        <v>186.0840067781198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6.8782452972043604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6.8782452972043604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7.2</v>
      </c>
      <c r="BY66" s="12">
        <f>IF('Données projet'!$A$114&gt;35,BY65+BX66-CG65,IF(A66&lt;'Données projet'!$A$114,$BV$205^A66,IF(A66='Données projet'!$A$114,'Données projet'!$B$114,BY65+BX66-CG65)))</f>
        <v>214.59999999999994</v>
      </c>
      <c r="BZ66" s="13">
        <f>BY66*VLOOKUP('Données projet'!$B$12,Paramètres!$A$1:$I$89,3,0)*VLOOKUP('Données projet'!$B$12,Paramètres!$A$1:$I$89,5,0)</f>
        <v>143.95367999999996</v>
      </c>
      <c r="CA66" s="13">
        <f t="shared" si="39"/>
        <v>37.20126481543732</v>
      </c>
      <c r="CB66" s="20">
        <f t="shared" si="10"/>
        <v>315.51152888688659</v>
      </c>
      <c r="CC66" s="59">
        <f t="shared" si="11"/>
        <v>578.40786723029271</v>
      </c>
      <c r="CD66" s="59">
        <f ca="1">AVERAGE(OFFSET($CC$3,0,0,'Données projet'!$E$12+1,1))-AVERAGE(OFFSET($H$3,0,0,'Données projet'!$E$12+1,1))</f>
        <v>323.91378047319455</v>
      </c>
      <c r="CE66" s="59">
        <f t="shared" si="40"/>
        <v>212.89889176380288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9.3406769481552701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9.3406769481552701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>
        <f>CT66*VLOOKUP('Données projet'!$B$13,Paramètres!$A$1:$I$89,3,0)*VLOOKUP('Données projet'!$B$13,Paramètres!$A$1:$I$89,5,0)</f>
        <v>0</v>
      </c>
      <c r="CV66" s="13" t="e">
        <f t="shared" si="41"/>
        <v>#NUM!</v>
      </c>
      <c r="CW66" s="20" t="e">
        <f t="shared" si="13"/>
        <v>#NUM!</v>
      </c>
      <c r="CX66" s="59" t="e">
        <f t="shared" si="14"/>
        <v>#NUM!</v>
      </c>
      <c r="CY66" s="59">
        <f ca="1">AVERAGE(OFFSET($CX$3,0,0,'Données projet'!$E$13+1,1))-AVERAGE(OFFSET($H$3,0,0,'Données projet'!$E$13+1,1))</f>
        <v>356.07880667298025</v>
      </c>
      <c r="CZ66" s="59">
        <f t="shared" si="42"/>
        <v>396.05161661639659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172.81294661759244</v>
      </c>
      <c r="DG66" s="21">
        <f>EXP(-LN(2)/25)*DG65+(1-EXP(-LN(2)/25))/(LN(2)/25)*Calculateur!DB66*Calculateur!DD66*VLOOKUP('Données projet'!$B$13,Paramètres!$A$1:$I$89,3,0)*0.475*44/12</f>
        <v>40.471223529775493</v>
      </c>
      <c r="DH66" s="21">
        <f>EXP(-LN(2)/2)*DH65+(1-EXP(-LN(2)/2))/(LN(2)/2)*DB66*DE66*VLOOKUP('Données projet'!$B$13,Paramètres!$A$1:$I$89,3,0)*0.475*44/12</f>
        <v>12.116822113248858</v>
      </c>
      <c r="DI66" s="22">
        <f t="shared" si="15"/>
        <v>225.40099226061682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>
        <f>DO66*VLOOKUP('Données projet'!$B$14,Paramètres!$A$1:$I$89,3,0)*VLOOKUP('Données projet'!$B$14,Paramètres!$A$1:$I$89,5,0)</f>
        <v>0</v>
      </c>
      <c r="DQ66" s="13" t="e">
        <f t="shared" si="43"/>
        <v>#NUM!</v>
      </c>
      <c r="DR66" s="20" t="e">
        <f t="shared" si="16"/>
        <v>#NUM!</v>
      </c>
      <c r="DS66" s="59" t="e">
        <f t="shared" si="17"/>
        <v>#NUM!</v>
      </c>
      <c r="DT66" s="59">
        <f ca="1">AVERAGE(OFFSET($DS$3,0,0,'Données projet'!$E$14+1,1))-AVERAGE(OFFSET($H$3,0,0,'Données projet'!$E$14+1,1))</f>
        <v>246.11623544660486</v>
      </c>
      <c r="DU66" s="59">
        <f t="shared" si="44"/>
        <v>273.18950868898253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118.56526627876762</v>
      </c>
      <c r="EB66" s="21">
        <f>EXP(-LN(2)/25)*EB65+(1-EXP(-LN(2)/25))/(LN(2)/25)*Calculateur!DW66*Calculateur!DY66*VLOOKUP('Données projet'!$B$14,Paramètres!$A$1:$I$89,3,0)*0.475*44/12</f>
        <v>36.760248564455225</v>
      </c>
      <c r="EC66" s="21">
        <f>EXP(-LN(2)/2)*EC65+(1-EXP(-LN(2)/2))/(LN(2)/2)*DW66*DZ66*VLOOKUP('Données projet'!$B$14,Paramètres!$A$1:$I$89,3,0)*0.475*44/12</f>
        <v>11.513509618902766</v>
      </c>
      <c r="ED66" s="22">
        <f t="shared" si="18"/>
        <v>166.83902446212559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5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67">
        <f t="shared" si="1"/>
        <v>183.33333333333334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8.8000000000000007</v>
      </c>
      <c r="N67" s="13">
        <f>IF('Données projet'!$A$36&gt;35,N66+M67-V66,IF(A67&lt;'Données projet'!$A$36,$K$205^A67,IF(A67='Données projet'!$A$36,'Données projet'!$B$36,N66+M67-V66)))</f>
        <v>280.19999999999993</v>
      </c>
      <c r="O67" s="13">
        <f>N67*VLOOKUP('Données projet'!$B$9,Paramètres!$A$1:$I$89,3,0)*VLOOKUP('Données projet'!$B$9,Paramètres!$A$1:$I$89,5,0)</f>
        <v>284.12279999999998</v>
      </c>
      <c r="P67" s="13">
        <f t="shared" si="33"/>
        <v>67.837532462585557</v>
      </c>
      <c r="Q67" s="20">
        <f t="shared" ref="Q67:Q98" si="54">(O67+P67)*0.475*44/12</f>
        <v>612.99757903900309</v>
      </c>
      <c r="R67" s="59">
        <f t="shared" ref="R67:R130" si="55">Q67+(I67+J67)*44/12</f>
        <v>876.42193119855779</v>
      </c>
      <c r="S67" s="59">
        <f ca="1">AVERAGE(OFFSET($R$3,0,0,'Données projet'!$E$9+1,1))-AVERAGE(OFFSET($H$3,0,0,'Données projet'!$E$9+1,1))</f>
        <v>538.10210778862256</v>
      </c>
      <c r="T67" s="59">
        <f t="shared" si="34"/>
        <v>399.53300632021399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14.974547876211348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14.974547876211348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8.8000000000000007</v>
      </c>
      <c r="AI67" s="13">
        <f>IF('Données projet'!$A$62&gt;35,AI66+AH67-AQ66,IF(A67&lt;'Données projet'!$A$62,$AF$205^A67,IF(A67='Données projet'!$A$62,'Données projet'!$B$62,AI66+AH67-AQ66)))</f>
        <v>280.19999999999993</v>
      </c>
      <c r="AJ67" s="13">
        <f>AI67*VLOOKUP('Données projet'!$B$10,Paramètres!$A$1:$I$89,3,0)*VLOOKUP('Données projet'!$B$10,Paramètres!$A$1:$I$89,5,0)</f>
        <v>292.86503999999991</v>
      </c>
      <c r="AK67" s="13">
        <f t="shared" si="35"/>
        <v>69.678612837868542</v>
      </c>
      <c r="AL67" s="20">
        <f t="shared" si="4"/>
        <v>631.4301953592875</v>
      </c>
      <c r="AM67" s="59">
        <f t="shared" si="5"/>
        <v>894.85454751884231</v>
      </c>
      <c r="AN67" s="59">
        <f ca="1">AVERAGE(OFFSET($AM$3,0,0,'Données projet'!$E$10+1,1))-AVERAGE(OFFSET($H$3,0,0,'Données projet'!$E$10+1,1))</f>
        <v>552.26894123675538</v>
      </c>
      <c r="AO67" s="59">
        <f t="shared" si="36"/>
        <v>409.85604950107006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15.435303195479387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15.435303195479387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5.4</v>
      </c>
      <c r="BD67" s="12">
        <f>IF('Données projet'!$A$88&gt;35,BD66+BC67-BL66,IF(A67&lt;'Données projet'!$A$88,$BA$205^A67,IF(A67='Données projet'!$A$88,'Données projet'!$B$88,BD66+BC67-BL66)))</f>
        <v>155.6</v>
      </c>
      <c r="BE67" s="13">
        <f>BD67*VLOOKUP('Données projet'!$B$11,Paramètres!$A$1:$I$89,3,0)*VLOOKUP('Données projet'!$B$11,Paramètres!$A$1:$I$89,5,0)</f>
        <v>167.48783999999998</v>
      </c>
      <c r="BF67" s="13">
        <f t="shared" si="37"/>
        <v>42.526896735757454</v>
      </c>
      <c r="BG67" s="20">
        <f t="shared" si="7"/>
        <v>365.77566648144415</v>
      </c>
      <c r="BH67" s="59">
        <f t="shared" si="8"/>
        <v>629.20001864099891</v>
      </c>
      <c r="BI67" s="59">
        <f ca="1">AVERAGE(OFFSET($BH$3,0,0,'Données projet'!$E$11+1,1))-AVERAGE(OFFSET($H$3,0,0,'Données projet'!$E$11+1,1))</f>
        <v>361.24725625563468</v>
      </c>
      <c r="BJ67" s="59">
        <f t="shared" si="38"/>
        <v>186.0840067781198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6.7433671022415611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6.7433671022415611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7.2</v>
      </c>
      <c r="BY67" s="12">
        <f>IF('Données projet'!$A$114&gt;35,BY66+BX67-CG66,IF(A67&lt;'Données projet'!$A$114,$BV$205^A67,IF(A67='Données projet'!$A$114,'Données projet'!$B$114,BY66+BX67-CG66)))</f>
        <v>221.79999999999993</v>
      </c>
      <c r="BZ67" s="13">
        <f>BY67*VLOOKUP('Données projet'!$B$12,Paramètres!$A$1:$I$89,3,0)*VLOOKUP('Données projet'!$B$12,Paramètres!$A$1:$I$89,5,0)</f>
        <v>148.78343999999996</v>
      </c>
      <c r="CA67" s="13">
        <f t="shared" si="39"/>
        <v>38.301987100118879</v>
      </c>
      <c r="CB67" s="20">
        <f t="shared" si="10"/>
        <v>325.8404521993736</v>
      </c>
      <c r="CC67" s="59">
        <f t="shared" si="11"/>
        <v>589.26480435892836</v>
      </c>
      <c r="CD67" s="59">
        <f ca="1">AVERAGE(OFFSET($CC$3,0,0,'Données projet'!$E$12+1,1))-AVERAGE(OFFSET($H$3,0,0,'Données projet'!$E$12+1,1))</f>
        <v>323.91378047319455</v>
      </c>
      <c r="CE67" s="59">
        <f t="shared" si="40"/>
        <v>212.89889176380288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9.157511970452326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9.157511970452326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>
        <f>CT67*VLOOKUP('Données projet'!$B$13,Paramètres!$A$1:$I$89,3,0)*VLOOKUP('Données projet'!$B$13,Paramètres!$A$1:$I$89,5,0)</f>
        <v>0</v>
      </c>
      <c r="CV67" s="13" t="e">
        <f t="shared" si="41"/>
        <v>#NUM!</v>
      </c>
      <c r="CW67" s="20" t="e">
        <f t="shared" si="13"/>
        <v>#NUM!</v>
      </c>
      <c r="CX67" s="59" t="e">
        <f t="shared" si="14"/>
        <v>#NUM!</v>
      </c>
      <c r="CY67" s="59">
        <f ca="1">AVERAGE(OFFSET($CX$3,0,0,'Données projet'!$E$13+1,1))-AVERAGE(OFFSET($H$3,0,0,'Données projet'!$E$13+1,1))</f>
        <v>356.07880667298025</v>
      </c>
      <c r="CZ67" s="59">
        <f t="shared" si="42"/>
        <v>396.05161661639659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169.42419013991096</v>
      </c>
      <c r="DG67" s="21">
        <f>EXP(-LN(2)/25)*DG66+(1-EXP(-LN(2)/25))/(LN(2)/25)*Calculateur!DB67*Calculateur!DD67*VLOOKUP('Données projet'!$B$13,Paramètres!$A$1:$I$89,3,0)*0.475*44/12</f>
        <v>39.364535794064636</v>
      </c>
      <c r="DH67" s="21">
        <f>EXP(-LN(2)/2)*DH66+(1-EXP(-LN(2)/2))/(LN(2)/2)*DB67*DE67*VLOOKUP('Données projet'!$B$13,Paramètres!$A$1:$I$89,3,0)*0.475*44/12</f>
        <v>8.5678870827093814</v>
      </c>
      <c r="DI67" s="22">
        <f t="shared" si="15"/>
        <v>217.35661301668497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>
        <f>DO67*VLOOKUP('Données projet'!$B$14,Paramètres!$A$1:$I$89,3,0)*VLOOKUP('Données projet'!$B$14,Paramètres!$A$1:$I$89,5,0)</f>
        <v>0</v>
      </c>
      <c r="DQ67" s="13" t="e">
        <f t="shared" si="43"/>
        <v>#NUM!</v>
      </c>
      <c r="DR67" s="20" t="e">
        <f t="shared" si="16"/>
        <v>#NUM!</v>
      </c>
      <c r="DS67" s="59" t="e">
        <f t="shared" si="17"/>
        <v>#NUM!</v>
      </c>
      <c r="DT67" s="59">
        <f ca="1">AVERAGE(OFFSET($DS$3,0,0,'Données projet'!$E$14+1,1))-AVERAGE(OFFSET($H$3,0,0,'Données projet'!$E$14+1,1))</f>
        <v>246.11623544660486</v>
      </c>
      <c r="DU67" s="59">
        <f t="shared" si="44"/>
        <v>273.18950868898253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116.24027372471264</v>
      </c>
      <c r="EB67" s="21">
        <f>EXP(-LN(2)/25)*EB66+(1-EXP(-LN(2)/25))/(LN(2)/25)*Calculateur!DW67*Calculateur!DY67*VLOOKUP('Données projet'!$B$14,Paramètres!$A$1:$I$89,3,0)*0.475*44/12</f>
        <v>35.75503763432274</v>
      </c>
      <c r="EC67" s="21">
        <f>EXP(-LN(2)/2)*EC66+(1-EXP(-LN(2)/2))/(LN(2)/2)*DW67*DZ67*VLOOKUP('Données projet'!$B$14,Paramètres!$A$1:$I$89,3,0)*0.475*44/12</f>
        <v>8.1412807267826892</v>
      </c>
      <c r="ED67" s="22">
        <f t="shared" si="18"/>
        <v>160.13659208581808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5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67">
        <f t="shared" ref="H68:H131" si="56">(B68+E68+F68)*44/12+(C68+D68)*0.475*44/12</f>
        <v>183.33333333333334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>
        <f>VLOOKUP(A68,'Données projet'!$A$35:$I$55,2,0)</f>
        <v>289</v>
      </c>
      <c r="L68" s="12">
        <f>VLOOKUP(A68,'Données projet'!$A$35:$I$55,9,0)</f>
        <v>8.8000000000000007</v>
      </c>
      <c r="M68" s="12">
        <f t="array" ref="M68">INDEX(L:L,MIN(IF(ISNUMBER(L68:L264),ROW(L68:L264),"")))</f>
        <v>8.8000000000000007</v>
      </c>
      <c r="N68" s="13">
        <f>IF('Données projet'!$A$36&gt;35,N67+M68-V67,IF(A68&lt;'Données projet'!$A$36,$K$205^A68,IF(A68='Données projet'!$A$36,'Données projet'!$B$36,N67+M68-V67)))</f>
        <v>288.99999999999994</v>
      </c>
      <c r="O68" s="13">
        <f>N68*VLOOKUP('Données projet'!$B$9,Paramètres!$A$1:$I$89,3,0)*VLOOKUP('Données projet'!$B$9,Paramètres!$A$1:$I$89,5,0)</f>
        <v>293.04599999999994</v>
      </c>
      <c r="P68" s="13">
        <f t="shared" si="33"/>
        <v>69.716654076072615</v>
      </c>
      <c r="Q68" s="20">
        <f t="shared" si="54"/>
        <v>631.81162251582634</v>
      </c>
      <c r="R68" s="59">
        <f t="shared" si="55"/>
        <v>895.75482863228149</v>
      </c>
      <c r="S68" s="59">
        <f ca="1">AVERAGE(OFFSET($R$3,0,0,'Données projet'!$E$9+1,1))-AVERAGE(OFFSET($H$3,0,0,'Données projet'!$E$9+1,1))</f>
        <v>538.10210778862256</v>
      </c>
      <c r="T68" s="59">
        <f t="shared" si="34"/>
        <v>399.53300632021399</v>
      </c>
      <c r="U68" s="15">
        <f>IF(ISNA(VLOOKUP(A68,'Données projet'!$A$35:$I$55,3,0)),0,VLOOKUP(A68,'Données projet'!$A$35:$I$55,3,0))</f>
        <v>10</v>
      </c>
      <c r="V68" s="15">
        <f>IF(ISNA(VLOOKUP(A68,'Données projet'!$A$35:$I$55,4,0)),0,VLOOKUP(A68,'Données projet'!$A$35:$I$55,4,0))</f>
        <v>28</v>
      </c>
      <c r="W68" s="16">
        <f>IF(ISNA(VLOOKUP(A68,'Données projet'!$A$35:$I$55,5,0)),0%,VLOOKUP(A68,'Données projet'!$A$35:$I$55,5,0)*VLOOKUP('Données projet'!$B$9,Paramètres!$A$1:$I$89,7,0))</f>
        <v>0.17200000000000001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20.0793867086315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20.0793867086315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289</v>
      </c>
      <c r="AG68" s="12">
        <f>VLOOKUP(A68,'Données projet'!$A$61:$I$81,9,0)</f>
        <v>8.8000000000000007</v>
      </c>
      <c r="AH68" s="12">
        <f t="array" ref="AH68">INDEX(AG:AG,MIN(IF(ISNUMBER(AG68:AG264),ROW(AG68:AG264),"")))</f>
        <v>8.8000000000000007</v>
      </c>
      <c r="AI68" s="13">
        <f>IF('Données projet'!$A$62&gt;35,AI67+AH68-AQ67,IF(A68&lt;'Données projet'!$A$62,$AF$205^A68,IF(A68='Données projet'!$A$62,'Données projet'!$B$62,AI67+AH68-AQ67)))</f>
        <v>288.99999999999994</v>
      </c>
      <c r="AJ68" s="13">
        <f>AI68*VLOOKUP('Données projet'!$B$10,Paramètres!$A$1:$I$89,3,0)*VLOOKUP('Données projet'!$B$10,Paramètres!$A$1:$I$89,5,0)</f>
        <v>302.06279999999998</v>
      </c>
      <c r="AK68" s="13">
        <f t="shared" si="35"/>
        <v>71.608732973851531</v>
      </c>
      <c r="AL68" s="20">
        <f t="shared" ref="AL68:AL131" si="58">(AJ68+AK68)*0.475*44/12</f>
        <v>650.81125326279141</v>
      </c>
      <c r="AM68" s="59">
        <f t="shared" ref="AM68:AM131" si="59">AL68+(AD68+AE68)*44/12</f>
        <v>914.75445937924655</v>
      </c>
      <c r="AN68" s="59">
        <f ca="1">AVERAGE(OFFSET($AM$3,0,0,'Données projet'!$E$10+1,1))-AVERAGE(OFFSET($H$3,0,0,'Données projet'!$E$10+1,1))</f>
        <v>552.26894123675538</v>
      </c>
      <c r="AO68" s="59">
        <f t="shared" si="36"/>
        <v>409.85604950107006</v>
      </c>
      <c r="AP68" s="15">
        <f>IF(ISNA(VLOOKUP(A68,'Données projet'!$A$61:$I$81,3,0)),0,VLOOKUP(A68,'Données projet'!$A$61:$I$81,3,0))</f>
        <v>10</v>
      </c>
      <c r="AQ68" s="15">
        <f>IF(ISNA(VLOOKUP(A68,'Données projet'!$A$61:$I$81,4,0)),0,VLOOKUP(A68,'Données projet'!$A$61:$I$81,4,0))</f>
        <v>28</v>
      </c>
      <c r="AR68" s="16">
        <f>IF(ISNA(VLOOKUP(A68,'Données projet'!$A$61:$I$81,5,0)),0%,VLOOKUP(A68,'Données projet'!$A$61:$I$81,5,0)*VLOOKUP('Données projet'!$B$10,Paramètres!$A$1:$I$89,7,0))</f>
        <v>0.17200000000000001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20.697213991974007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20.697213991974007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161</v>
      </c>
      <c r="BB68" s="12">
        <f>VLOOKUP(A68,'Données projet'!$A$87:$I$107,9,0)</f>
        <v>5.4</v>
      </c>
      <c r="BC68" s="12">
        <f t="array" ref="BC68">INDEX(BB:BB,MIN(IF(ISNUMBER(BB68:BB264),ROW(BB68:BB264),"")))</f>
        <v>5.4</v>
      </c>
      <c r="BD68" s="12">
        <f>IF('Données projet'!$A$88&gt;35,BD67+BC68-BL67,IF(A68&lt;'Données projet'!$A$88,$BA$205^A68,IF(A68='Données projet'!$A$88,'Données projet'!$B$88,BD67+BC68-BL67)))</f>
        <v>161</v>
      </c>
      <c r="BE68" s="13">
        <f>BD68*VLOOKUP('Données projet'!$B$11,Paramètres!$A$1:$I$89,3,0)*VLOOKUP('Données projet'!$B$11,Paramètres!$A$1:$I$89,5,0)</f>
        <v>173.3004</v>
      </c>
      <c r="BF68" s="13">
        <f t="shared" si="37"/>
        <v>43.82837416766705</v>
      </c>
      <c r="BG68" s="20">
        <f t="shared" ref="BG68:BG131" si="61">(BE68+BF68)*0.475*44/12</f>
        <v>378.1659483420201</v>
      </c>
      <c r="BH68" s="59">
        <f t="shared" ref="BH68:BH131" si="62">BG68+(AY68+AZ68)*44/12</f>
        <v>642.10915445847536</v>
      </c>
      <c r="BI68" s="59">
        <f ca="1">AVERAGE(OFFSET($BH$3,0,0,'Données projet'!$E$11+1,1))-AVERAGE(OFFSET($H$3,0,0,'Données projet'!$E$11+1,1))</f>
        <v>361.24725625563468</v>
      </c>
      <c r="BJ68" s="59">
        <f t="shared" si="38"/>
        <v>186.0840067781198</v>
      </c>
      <c r="BK68" s="15">
        <f>IF(ISNA(VLOOKUP(A68,'Données projet'!$A$87:$I$107,3,0)),0,VLOOKUP(A68,'Données projet'!$A$87:$I$107,3,0))</f>
        <v>9</v>
      </c>
      <c r="BL68" s="15">
        <f>IF(ISNA(VLOOKUP(A68,'Données projet'!$A$87:$I$107,4,0)),0,VLOOKUP(A68,'Données projet'!$A$87:$I$107,4,0))</f>
        <v>14</v>
      </c>
      <c r="BM68" s="16">
        <f>IF(ISNA(VLOOKUP(A68,'Données projet'!$A$87:$I$107,5,0)),0%,VLOOKUP(A68,'Données projet'!$A$87:$I$107,5,0)*VLOOKUP('Données projet'!$B$11,Paramètres!$A$1:$I$89,7,0))</f>
        <v>0.17200000000000001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9.4764811726168841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9.4764811726168841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229</v>
      </c>
      <c r="BW68" s="12">
        <f>VLOOKUP(A68,'Données projet'!$A$113:$I$133,9,0)</f>
        <v>7.2</v>
      </c>
      <c r="BX68" s="12">
        <f t="array" ref="BX68">INDEX(BW:BW,MIN(IF(ISNUMBER(BW68:BW264),ROW(BW68:BW264),"")))</f>
        <v>7.2</v>
      </c>
      <c r="BY68" s="12">
        <f>IF('Données projet'!$A$114&gt;35,BY67+BX68-CG67,IF(A68&lt;'Données projet'!$A$114,$BV$205^A68,IF(A68='Données projet'!$A$114,'Données projet'!$B$114,BY67+BX68-CG67)))</f>
        <v>228.99999999999991</v>
      </c>
      <c r="BZ68" s="13">
        <f>BY68*VLOOKUP('Données projet'!$B$12,Paramètres!$A$1:$I$89,3,0)*VLOOKUP('Données projet'!$B$12,Paramètres!$A$1:$I$89,5,0)</f>
        <v>153.61319999999995</v>
      </c>
      <c r="CA68" s="13">
        <f t="shared" si="39"/>
        <v>39.398557339898318</v>
      </c>
      <c r="CB68" s="20">
        <f t="shared" ref="CB68:CB131" si="64">(BZ68+CA68)*0.475*44/12</f>
        <v>336.16214403365615</v>
      </c>
      <c r="CC68" s="59">
        <f t="shared" ref="CC68:CC131" si="65">CB68+(BT68+BU68)*44/12</f>
        <v>600.10535015011135</v>
      </c>
      <c r="CD68" s="59">
        <f ca="1">AVERAGE(OFFSET($CC$3,0,0,'Données projet'!$E$12+1,1))-AVERAGE(OFFSET($H$3,0,0,'Données projet'!$E$12+1,1))</f>
        <v>323.91378047319455</v>
      </c>
      <c r="CE68" s="59">
        <f t="shared" si="40"/>
        <v>212.89889176380288</v>
      </c>
      <c r="CF68" s="15">
        <f>IF(ISNA(VLOOKUP(A68,'Données projet'!$A$113:$I$133,3,0)),0,VLOOKUP(A68,'Données projet'!$A$113:$I$133,3,0))</f>
        <v>10</v>
      </c>
      <c r="CG68" s="15">
        <f>IF(ISNA(VLOOKUP(A68,'Données projet'!$A$113:$I$133,4,0)),0,VLOOKUP(A68,'Données projet'!$A$113:$I$133,4,0))</f>
        <v>21</v>
      </c>
      <c r="CH68" s="16">
        <f>IF(ISNA(VLOOKUP(A68,'Données projet'!$A$113:$I$133,5,0)),0%,VLOOKUP(A68,'Données projet'!$A$113:$I$133,5,0)*VLOOKUP('Données projet'!$B$12,Paramètres!$A$1:$I$89,7,0))</f>
        <v>0.21200000000000002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12.279317256432343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12.279317256432343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>
        <f>CT68*VLOOKUP('Données projet'!$B$13,Paramètres!$A$1:$I$89,3,0)*VLOOKUP('Données projet'!$B$13,Paramètres!$A$1:$I$89,5,0)</f>
        <v>0</v>
      </c>
      <c r="CV68" s="13" t="e">
        <f t="shared" si="41"/>
        <v>#NUM!</v>
      </c>
      <c r="CW68" s="20" t="e">
        <f t="shared" ref="CW68:CW131" si="67">(CU68+CV68)*0.475*44/12</f>
        <v>#NUM!</v>
      </c>
      <c r="CX68" s="59" t="e">
        <f t="shared" ref="CX68:CX131" si="68">CW68+(CO68+CP68)*44/12</f>
        <v>#NUM!</v>
      </c>
      <c r="CY68" s="59">
        <f ca="1">AVERAGE(OFFSET($CX$3,0,0,'Données projet'!$E$13+1,1))-AVERAGE(OFFSET($H$3,0,0,'Données projet'!$E$13+1,1))</f>
        <v>356.07880667298025</v>
      </c>
      <c r="CZ68" s="59">
        <f t="shared" si="42"/>
        <v>396.05161661639659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166.10188510981945</v>
      </c>
      <c r="DG68" s="21">
        <f>EXP(-LN(2)/25)*DG67+(1-EXP(-LN(2)/25))/(LN(2)/25)*Calculateur!DB68*Calculateur!DD68*VLOOKUP('Données projet'!$B$13,Paramètres!$A$1:$I$89,3,0)*0.475*44/12</f>
        <v>38.288110492684972</v>
      </c>
      <c r="DH68" s="21">
        <f>EXP(-LN(2)/2)*DH67+(1-EXP(-LN(2)/2))/(LN(2)/2)*DB68*DE68*VLOOKUP('Données projet'!$B$13,Paramètres!$A$1:$I$89,3,0)*0.475*44/12</f>
        <v>6.05841105662443</v>
      </c>
      <c r="DI68" s="22">
        <f t="shared" ref="DI68:DI131" si="69">SUM(DF68:DH68)</f>
        <v>210.44840665912886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>
        <f>DO68*VLOOKUP('Données projet'!$B$14,Paramètres!$A$1:$I$89,3,0)*VLOOKUP('Données projet'!$B$14,Paramètres!$A$1:$I$89,5,0)</f>
        <v>0</v>
      </c>
      <c r="DQ68" s="13" t="e">
        <f t="shared" si="43"/>
        <v>#NUM!</v>
      </c>
      <c r="DR68" s="20" t="e">
        <f t="shared" ref="DR68:DR131" si="70">(DP68+DQ68)*0.475*44/12</f>
        <v>#NUM!</v>
      </c>
      <c r="DS68" s="59" t="e">
        <f t="shared" ref="DS68:DS131" si="71">DR68+(DJ68+DK68)*44/12</f>
        <v>#NUM!</v>
      </c>
      <c r="DT68" s="59">
        <f ca="1">AVERAGE(OFFSET($DS$3,0,0,'Données projet'!$E$14+1,1))-AVERAGE(OFFSET($H$3,0,0,'Données projet'!$E$14+1,1))</f>
        <v>246.11623544660486</v>
      </c>
      <c r="DU68" s="59">
        <f t="shared" si="44"/>
        <v>273.18950868898253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113.96087285653725</v>
      </c>
      <c r="EB68" s="21">
        <f>EXP(-LN(2)/25)*EB67+(1-EXP(-LN(2)/25))/(LN(2)/25)*Calculateur!DW68*Calculateur!DY68*VLOOKUP('Données projet'!$B$14,Paramètres!$A$1:$I$89,3,0)*0.475*44/12</f>
        <v>34.777314249936474</v>
      </c>
      <c r="EC68" s="21">
        <f>EXP(-LN(2)/2)*EC67+(1-EXP(-LN(2)/2))/(LN(2)/2)*DW68*DZ68*VLOOKUP('Données projet'!$B$14,Paramètres!$A$1:$I$89,3,0)*0.475*44/12</f>
        <v>5.7567548094513841</v>
      </c>
      <c r="ED68" s="22">
        <f t="shared" ref="ED68:ED131" si="72">SUM(EA68:EC68)</f>
        <v>154.49494191592512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5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67">
        <f t="shared" si="56"/>
        <v>183.33333333333334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8.1999999999999993</v>
      </c>
      <c r="N69" s="13">
        <f>IF('Données projet'!$A$36&gt;35,N68+M69-V68,IF(A69&lt;'Données projet'!$A$36,$K$205^A69,IF(A69='Données projet'!$A$36,'Données projet'!$B$36,N68+M69-V68)))</f>
        <v>269.19999999999993</v>
      </c>
      <c r="O69" s="13">
        <f>N69*VLOOKUP('Données projet'!$B$9,Paramètres!$A$1:$I$89,3,0)*VLOOKUP('Données projet'!$B$9,Paramètres!$A$1:$I$89,5,0)</f>
        <v>272.96879999999993</v>
      </c>
      <c r="P69" s="13">
        <f t="shared" ref="P69:P132" si="87">EXP(-1.0587+0.8836*LN(O69)+0.284)</f>
        <v>65.478922017818945</v>
      </c>
      <c r="Q69" s="20">
        <f t="shared" si="54"/>
        <v>589.46311584770126</v>
      </c>
      <c r="R69" s="59">
        <f t="shared" si="55"/>
        <v>853.91617496488834</v>
      </c>
      <c r="S69" s="59">
        <f ca="1">AVERAGE(OFFSET($R$3,0,0,'Données projet'!$E$9+1,1))-AVERAGE(OFFSET($H$3,0,0,'Données projet'!$E$9+1,1))</f>
        <v>538.10210778862256</v>
      </c>
      <c r="T69" s="59">
        <f t="shared" ref="T69:T132" si="88">$T$3</f>
        <v>399.53300632021399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19.685642182491815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19.685642182491815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8.1999999999999993</v>
      </c>
      <c r="AI69" s="13">
        <f>IF('Données projet'!$A$62&gt;35,AI68+AH69-AQ68,IF(A69&lt;'Données projet'!$A$62,$AF$205^A69,IF(A69='Données projet'!$A$62,'Données projet'!$B$62,AI68+AH69-AQ68)))</f>
        <v>269.19999999999993</v>
      </c>
      <c r="AJ69" s="13">
        <f>AI69*VLOOKUP('Données projet'!$B$10,Paramètres!$A$1:$I$89,3,0)*VLOOKUP('Données projet'!$B$10,Paramètres!$A$1:$I$89,5,0)</f>
        <v>281.36783999999994</v>
      </c>
      <c r="AK69" s="13">
        <f t="shared" ref="AK69:AK132" si="89">EXP(-1.0587+0.8836*LN(AJ69)+0.284)</f>
        <v>67.255990757578601</v>
      </c>
      <c r="AL69" s="20">
        <f t="shared" si="58"/>
        <v>607.18650523611598</v>
      </c>
      <c r="AM69" s="59">
        <f t="shared" si="59"/>
        <v>871.63956435330306</v>
      </c>
      <c r="AN69" s="59">
        <f ca="1">AVERAGE(OFFSET($AM$3,0,0,'Données projet'!$E$10+1,1))-AVERAGE(OFFSET($H$3,0,0,'Données projet'!$E$10+1,1))</f>
        <v>552.26894123675538</v>
      </c>
      <c r="AO69" s="59">
        <f t="shared" ref="AO69:AO132" si="90">$AO$3</f>
        <v>409.85604950107006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20.291354249645408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20.291354249645408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5</v>
      </c>
      <c r="BD69" s="12">
        <f>IF('Données projet'!$A$88&gt;35,BD68+BC69-BL68,IF(A69&lt;'Données projet'!$A$88,$BA$205^A69,IF(A69='Données projet'!$A$88,'Données projet'!$B$88,BD68+BC69-BL68)))</f>
        <v>152</v>
      </c>
      <c r="BE69" s="13">
        <f>BD69*VLOOKUP('Données projet'!$B$11,Paramètres!$A$1:$I$89,3,0)*VLOOKUP('Données projet'!$B$11,Paramètres!$A$1:$I$89,5,0)</f>
        <v>163.61279999999999</v>
      </c>
      <c r="BF69" s="13">
        <f t="shared" ref="BF69:BF132" si="91">EXP(-1.0587+0.8836*LN(BE69)+0.284)</f>
        <v>41.656330547871804</v>
      </c>
      <c r="BG69" s="20">
        <f t="shared" si="61"/>
        <v>357.51040237087665</v>
      </c>
      <c r="BH69" s="59">
        <f t="shared" si="62"/>
        <v>621.96346148806379</v>
      </c>
      <c r="BI69" s="59">
        <f ca="1">AVERAGE(OFFSET($BH$3,0,0,'Données projet'!$E$11+1,1))-AVERAGE(OFFSET($H$3,0,0,'Données projet'!$E$11+1,1))</f>
        <v>361.24725625563468</v>
      </c>
      <c r="BJ69" s="59">
        <f t="shared" ref="BJ69:BJ132" si="92">$BJ$3</f>
        <v>186.0840067781198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9.2906531569046464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9.2906531569046464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6.8</v>
      </c>
      <c r="BY69" s="12">
        <f>IF('Données projet'!$A$114&gt;35,BY68+BX69-CG68,IF(A69&lt;'Données projet'!$A$114,$BV$205^A69,IF(A69='Données projet'!$A$114,'Données projet'!$B$114,BY68+BX69-CG68)))</f>
        <v>214.79999999999993</v>
      </c>
      <c r="BZ69" s="13">
        <f>BY69*VLOOKUP('Données projet'!$B$12,Paramètres!$A$1:$I$89,3,0)*VLOOKUP('Données projet'!$B$12,Paramètres!$A$1:$I$89,5,0)</f>
        <v>144.08783999999994</v>
      </c>
      <c r="CA69" s="13">
        <f t="shared" ref="CA69:CA132" si="93">EXP(-1.0587+0.8836*LN(BZ69)+0.284)</f>
        <v>37.231897858558654</v>
      </c>
      <c r="CB69" s="20">
        <f t="shared" si="64"/>
        <v>315.79854343698958</v>
      </c>
      <c r="CC69" s="59">
        <f t="shared" si="65"/>
        <v>580.25160255417666</v>
      </c>
      <c r="CD69" s="59">
        <f ca="1">AVERAGE(OFFSET($CC$3,0,0,'Données projet'!$E$12+1,1))-AVERAGE(OFFSET($H$3,0,0,'Données projet'!$E$12+1,1))</f>
        <v>323.91378047319455</v>
      </c>
      <c r="CE69" s="59">
        <f t="shared" ref="CE69:CE132" si="94">$CE$3</f>
        <v>212.89889176380288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12.03852733467769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12.03852733467769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>
        <f>CT69*VLOOKUP('Données projet'!$B$13,Paramètres!$A$1:$I$89,3,0)*VLOOKUP('Données projet'!$B$13,Paramètres!$A$1:$I$89,5,0)</f>
        <v>0</v>
      </c>
      <c r="CV69" s="13" t="e">
        <f t="shared" ref="CV69:CV132" si="95">EXP(-1.0587+0.8836*LN(CU69)+0.284)</f>
        <v>#NUM!</v>
      </c>
      <c r="CW69" s="20" t="e">
        <f t="shared" si="67"/>
        <v>#NUM!</v>
      </c>
      <c r="CX69" s="59" t="e">
        <f t="shared" si="68"/>
        <v>#NUM!</v>
      </c>
      <c r="CY69" s="59">
        <f ca="1">AVERAGE(OFFSET($CX$3,0,0,'Données projet'!$E$13+1,1))-AVERAGE(OFFSET($H$3,0,0,'Données projet'!$E$13+1,1))</f>
        <v>356.07880667298025</v>
      </c>
      <c r="CZ69" s="59">
        <f t="shared" ref="CZ69:CZ132" si="96">$CZ$3</f>
        <v>396.05161661639659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162.84472845496205</v>
      </c>
      <c r="DG69" s="21">
        <f>EXP(-LN(2)/25)*DG68+(1-EXP(-LN(2)/25))/(LN(2)/25)*Calculateur!DB69*Calculateur!DD69*VLOOKUP('Données projet'!$B$13,Paramètres!$A$1:$I$89,3,0)*0.475*44/12</f>
        <v>37.241120097778278</v>
      </c>
      <c r="DH69" s="21">
        <f>EXP(-LN(2)/2)*DH68+(1-EXP(-LN(2)/2))/(LN(2)/2)*DB69*DE69*VLOOKUP('Données projet'!$B$13,Paramètres!$A$1:$I$89,3,0)*0.475*44/12</f>
        <v>4.2839435413546916</v>
      </c>
      <c r="DI69" s="22">
        <f t="shared" si="69"/>
        <v>204.36979209409503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>
        <f>DO69*VLOOKUP('Données projet'!$B$14,Paramètres!$A$1:$I$89,3,0)*VLOOKUP('Données projet'!$B$14,Paramètres!$A$1:$I$89,5,0)</f>
        <v>0</v>
      </c>
      <c r="DQ69" s="13" t="e">
        <f t="shared" ref="DQ69:DQ132" si="97">EXP(-1.0587+0.8836*LN(DP69)+0.284)</f>
        <v>#NUM!</v>
      </c>
      <c r="DR69" s="20" t="e">
        <f t="shared" si="70"/>
        <v>#NUM!</v>
      </c>
      <c r="DS69" s="59" t="e">
        <f t="shared" si="71"/>
        <v>#NUM!</v>
      </c>
      <c r="DT69" s="59">
        <f ca="1">AVERAGE(OFFSET($DS$3,0,0,'Données projet'!$E$14+1,1))-AVERAGE(OFFSET($H$3,0,0,'Données projet'!$E$14+1,1))</f>
        <v>246.11623544660486</v>
      </c>
      <c r="DU69" s="59">
        <f t="shared" ref="DU69:DU132" si="98">$DU$3</f>
        <v>273.18950868898253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111.72616964908953</v>
      </c>
      <c r="EB69" s="21">
        <f>EXP(-LN(2)/25)*EB68+(1-EXP(-LN(2)/25))/(LN(2)/25)*Calculateur!DW69*Calculateur!DY69*VLOOKUP('Données projet'!$B$14,Paramètres!$A$1:$I$89,3,0)*0.475*44/12</f>
        <v>33.826326762912487</v>
      </c>
      <c r="EC69" s="21">
        <f>EXP(-LN(2)/2)*EC68+(1-EXP(-LN(2)/2))/(LN(2)/2)*DW69*DZ69*VLOOKUP('Données projet'!$B$14,Paramètres!$A$1:$I$89,3,0)*0.475*44/12</f>
        <v>4.0706403633913455</v>
      </c>
      <c r="ED69" s="22">
        <f t="shared" si="72"/>
        <v>149.62313677539336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5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67">
        <f t="shared" si="56"/>
        <v>183.33333333333334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8.1999999999999993</v>
      </c>
      <c r="N70" s="13">
        <f>IF('Données projet'!$A$36&gt;35,N69+M70-V69,IF(A70&lt;'Données projet'!$A$36,$K$205^A70,IF(A70='Données projet'!$A$36,'Données projet'!$B$36,N69+M70-V69)))</f>
        <v>277.39999999999992</v>
      </c>
      <c r="O70" s="13">
        <f>N70*VLOOKUP('Données projet'!$B$9,Paramètres!$A$1:$I$89,3,0)*VLOOKUP('Données projet'!$B$9,Paramètres!$A$1:$I$89,5,0)</f>
        <v>281.28359999999992</v>
      </c>
      <c r="P70" s="13">
        <f t="shared" si="87"/>
        <v>67.238198209347928</v>
      </c>
      <c r="Q70" s="20">
        <f t="shared" si="54"/>
        <v>607.00879854794744</v>
      </c>
      <c r="R70" s="59">
        <f t="shared" si="55"/>
        <v>871.9628658561644</v>
      </c>
      <c r="S70" s="59">
        <f ca="1">AVERAGE(OFFSET($R$3,0,0,'Données projet'!$E$9+1,1))-AVERAGE(OFFSET($H$3,0,0,'Données projet'!$E$9+1,1))</f>
        <v>538.10210778862256</v>
      </c>
      <c r="T70" s="59">
        <f t="shared" si="88"/>
        <v>399.53300632021399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19.299618746349285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19.299618746349285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8.1999999999999993</v>
      </c>
      <c r="AI70" s="13">
        <f>IF('Données projet'!$A$62&gt;35,AI69+AH70-AQ69,IF(A70&lt;'Données projet'!$A$62,$AF$205^A70,IF(A70='Données projet'!$A$62,'Données projet'!$B$62,AI69+AH70-AQ69)))</f>
        <v>277.39999999999992</v>
      </c>
      <c r="AJ70" s="13">
        <f>AI70*VLOOKUP('Données projet'!$B$10,Paramètres!$A$1:$I$89,3,0)*VLOOKUP('Données projet'!$B$10,Paramètres!$A$1:$I$89,5,0)</f>
        <v>289.93847999999991</v>
      </c>
      <c r="AK70" s="13">
        <f t="shared" si="89"/>
        <v>69.063012920303009</v>
      </c>
      <c r="AL70" s="20">
        <f t="shared" si="58"/>
        <v>625.26093350286089</v>
      </c>
      <c r="AM70" s="59">
        <f t="shared" si="59"/>
        <v>890.21500081107774</v>
      </c>
      <c r="AN70" s="59">
        <f ca="1">AVERAGE(OFFSET($AM$3,0,0,'Données projet'!$E$10+1,1))-AVERAGE(OFFSET($H$3,0,0,'Données projet'!$E$10+1,1))</f>
        <v>552.26894123675538</v>
      </c>
      <c r="AO70" s="59">
        <f t="shared" si="90"/>
        <v>409.85604950107006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19.893453169313876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19.893453169313876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5</v>
      </c>
      <c r="BD70" s="12">
        <f>IF('Données projet'!$A$88&gt;35,BD69+BC70-BL69,IF(A70&lt;'Données projet'!$A$88,$BA$205^A70,IF(A70='Données projet'!$A$88,'Données projet'!$B$88,BD69+BC70-BL69)))</f>
        <v>157</v>
      </c>
      <c r="BE70" s="13">
        <f>BD70*VLOOKUP('Données projet'!$B$11,Paramètres!$A$1:$I$89,3,0)*VLOOKUP('Données projet'!$B$11,Paramètres!$A$1:$I$89,5,0)</f>
        <v>168.9948</v>
      </c>
      <c r="BF70" s="13">
        <f t="shared" si="91"/>
        <v>42.864814577758281</v>
      </c>
      <c r="BG70" s="20">
        <f t="shared" si="61"/>
        <v>368.98882872292899</v>
      </c>
      <c r="BH70" s="59">
        <f t="shared" si="62"/>
        <v>633.94289603114589</v>
      </c>
      <c r="BI70" s="59">
        <f ca="1">AVERAGE(OFFSET($BH$3,0,0,'Données projet'!$E$11+1,1))-AVERAGE(OFFSET($H$3,0,0,'Données projet'!$E$11+1,1))</f>
        <v>361.24725625563468</v>
      </c>
      <c r="BJ70" s="59">
        <f t="shared" si="92"/>
        <v>186.0840067781198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9.1084691152366286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9.1084691152366286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6.8</v>
      </c>
      <c r="BY70" s="12">
        <f>IF('Données projet'!$A$114&gt;35,BY69+BX70-CG69,IF(A70&lt;'Données projet'!$A$114,$BV$205^A70,IF(A70='Données projet'!$A$114,'Données projet'!$B$114,BY69+BX70-CG69)))</f>
        <v>221.59999999999994</v>
      </c>
      <c r="BZ70" s="13">
        <f>BY70*VLOOKUP('Données projet'!$B$12,Paramètres!$A$1:$I$89,3,0)*VLOOKUP('Données projet'!$B$12,Paramètres!$A$1:$I$89,5,0)</f>
        <v>148.64927999999995</v>
      </c>
      <c r="CA70" s="13">
        <f t="shared" si="93"/>
        <v>38.271468243038449</v>
      </c>
      <c r="CB70" s="20">
        <f t="shared" si="64"/>
        <v>325.55363652329186</v>
      </c>
      <c r="CC70" s="59">
        <f t="shared" si="65"/>
        <v>590.50770383150871</v>
      </c>
      <c r="CD70" s="59">
        <f ca="1">AVERAGE(OFFSET($CC$3,0,0,'Données projet'!$E$12+1,1))-AVERAGE(OFFSET($H$3,0,0,'Données projet'!$E$12+1,1))</f>
        <v>323.91378047319455</v>
      </c>
      <c r="CE70" s="59">
        <f t="shared" si="94"/>
        <v>212.89889176380288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11.802459156421296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11.802459156421296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>
        <f>CT70*VLOOKUP('Données projet'!$B$13,Paramètres!$A$1:$I$89,3,0)*VLOOKUP('Données projet'!$B$13,Paramètres!$A$1:$I$89,5,0)</f>
        <v>0</v>
      </c>
      <c r="CV70" s="13" t="e">
        <f t="shared" si="95"/>
        <v>#NUM!</v>
      </c>
      <c r="CW70" s="20" t="e">
        <f t="shared" si="67"/>
        <v>#NUM!</v>
      </c>
      <c r="CX70" s="59" t="e">
        <f t="shared" si="68"/>
        <v>#NUM!</v>
      </c>
      <c r="CY70" s="59">
        <f ca="1">AVERAGE(OFFSET($CX$3,0,0,'Données projet'!$E$13+1,1))-AVERAGE(OFFSET($H$3,0,0,'Données projet'!$E$13+1,1))</f>
        <v>356.07880667298025</v>
      </c>
      <c r="CZ70" s="59">
        <f t="shared" si="96"/>
        <v>396.05161661639659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159.65144265543702</v>
      </c>
      <c r="DG70" s="21">
        <f>EXP(-LN(2)/25)*DG69+(1-EXP(-LN(2)/25))/(LN(2)/25)*Calculateur!DB70*Calculateur!DD70*VLOOKUP('Données projet'!$B$13,Paramètres!$A$1:$I$89,3,0)*0.475*44/12</f>
        <v>36.222759710279142</v>
      </c>
      <c r="DH70" s="21">
        <f>EXP(-LN(2)/2)*DH69+(1-EXP(-LN(2)/2))/(LN(2)/2)*DB70*DE70*VLOOKUP('Données projet'!$B$13,Paramètres!$A$1:$I$89,3,0)*0.475*44/12</f>
        <v>3.0292055283122155</v>
      </c>
      <c r="DI70" s="22">
        <f t="shared" si="69"/>
        <v>198.90340789402839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>
        <f>DO70*VLOOKUP('Données projet'!$B$14,Paramètres!$A$1:$I$89,3,0)*VLOOKUP('Données projet'!$B$14,Paramètres!$A$1:$I$89,5,0)</f>
        <v>0</v>
      </c>
      <c r="DQ70" s="13" t="e">
        <f t="shared" si="97"/>
        <v>#NUM!</v>
      </c>
      <c r="DR70" s="20" t="e">
        <f t="shared" si="70"/>
        <v>#NUM!</v>
      </c>
      <c r="DS70" s="59" t="e">
        <f t="shared" si="71"/>
        <v>#NUM!</v>
      </c>
      <c r="DT70" s="59">
        <f ca="1">AVERAGE(OFFSET($DS$3,0,0,'Données projet'!$E$14+1,1))-AVERAGE(OFFSET($H$3,0,0,'Données projet'!$E$14+1,1))</f>
        <v>246.11623544660486</v>
      </c>
      <c r="DU70" s="59">
        <f t="shared" si="98"/>
        <v>273.18950868898253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109.53528760850548</v>
      </c>
      <c r="EB70" s="21">
        <f>EXP(-LN(2)/25)*EB69+(1-EXP(-LN(2)/25))/(LN(2)/25)*Calculateur!DW70*Calculateur!DY70*VLOOKUP('Données projet'!$B$14,Paramètres!$A$1:$I$89,3,0)*0.475*44/12</f>
        <v>32.901344078731434</v>
      </c>
      <c r="EC70" s="21">
        <f>EXP(-LN(2)/2)*EC69+(1-EXP(-LN(2)/2))/(LN(2)/2)*DW70*DZ70*VLOOKUP('Données projet'!$B$14,Paramètres!$A$1:$I$89,3,0)*0.475*44/12</f>
        <v>2.8783774047256925</v>
      </c>
      <c r="ED70" s="22">
        <f t="shared" si="72"/>
        <v>145.31500909196259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5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67">
        <f t="shared" si="56"/>
        <v>183.33333333333334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8.1999999999999993</v>
      </c>
      <c r="N71" s="13">
        <f>IF('Données projet'!$A$36&gt;35,N70+M71-V70,IF(A71&lt;'Données projet'!$A$36,$K$205^A71,IF(A71='Données projet'!$A$36,'Données projet'!$B$36,N70+M71-V70)))</f>
        <v>285.59999999999991</v>
      </c>
      <c r="O71" s="13">
        <f>N71*VLOOKUP('Données projet'!$B$9,Paramètres!$A$1:$I$89,3,0)*VLOOKUP('Données projet'!$B$9,Paramètres!$A$1:$I$89,5,0)</f>
        <v>289.59839999999997</v>
      </c>
      <c r="P71" s="13">
        <f t="shared" si="87"/>
        <v>68.991430542388798</v>
      </c>
      <c r="Q71" s="20">
        <f t="shared" si="54"/>
        <v>624.54395486132705</v>
      </c>
      <c r="R71" s="59">
        <f t="shared" si="55"/>
        <v>889.99033898854589</v>
      </c>
      <c r="S71" s="59">
        <f ca="1">AVERAGE(OFFSET($R$3,0,0,'Données projet'!$E$9+1,1))-AVERAGE(OFFSET($H$3,0,0,'Données projet'!$E$9+1,1))</f>
        <v>538.10210778862256</v>
      </c>
      <c r="T71" s="59">
        <f t="shared" si="88"/>
        <v>399.53300632021399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18.921164994338461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18.921164994338461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8.1999999999999993</v>
      </c>
      <c r="AI71" s="13">
        <f>IF('Données projet'!$A$62&gt;35,AI70+AH71-AQ70,IF(A71&lt;'Données projet'!$A$62,$AF$205^A71,IF(A71='Données projet'!$A$62,'Données projet'!$B$62,AI70+AH71-AQ70)))</f>
        <v>285.59999999999991</v>
      </c>
      <c r="AJ71" s="13">
        <f>AI71*VLOOKUP('Données projet'!$B$10,Paramètres!$A$1:$I$89,3,0)*VLOOKUP('Données projet'!$B$10,Paramètres!$A$1:$I$89,5,0)</f>
        <v>298.50911999999994</v>
      </c>
      <c r="AK71" s="13">
        <f t="shared" si="89"/>
        <v>70.863827196915508</v>
      </c>
      <c r="AL71" s="20">
        <f t="shared" si="58"/>
        <v>643.32454970129436</v>
      </c>
      <c r="AM71" s="59">
        <f t="shared" si="59"/>
        <v>908.77093382851319</v>
      </c>
      <c r="AN71" s="59">
        <f ca="1">AVERAGE(OFFSET($AM$3,0,0,'Données projet'!$E$10+1,1))-AVERAGE(OFFSET($H$3,0,0,'Données projet'!$E$10+1,1))</f>
        <v>552.26894123675538</v>
      </c>
      <c r="AO71" s="59">
        <f t="shared" si="90"/>
        <v>409.85604950107006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19.503354686471951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19.503354686471951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5</v>
      </c>
      <c r="BD71" s="12">
        <f>IF('Données projet'!$A$88&gt;35,BD70+BC71-BL70,IF(A71&lt;'Données projet'!$A$88,$BA$205^A71,IF(A71='Données projet'!$A$88,'Données projet'!$B$88,BD70+BC71-BL70)))</f>
        <v>162</v>
      </c>
      <c r="BE71" s="13">
        <f>BD71*VLOOKUP('Données projet'!$B$11,Paramètres!$A$1:$I$89,3,0)*VLOOKUP('Données projet'!$B$11,Paramètres!$A$1:$I$89,5,0)</f>
        <v>174.37679999999997</v>
      </c>
      <c r="BF71" s="13">
        <f t="shared" si="91"/>
        <v>44.06882624410639</v>
      </c>
      <c r="BG71" s="20">
        <f t="shared" si="61"/>
        <v>380.45946570848531</v>
      </c>
      <c r="BH71" s="59">
        <f t="shared" si="62"/>
        <v>645.9058498357042</v>
      </c>
      <c r="BI71" s="59">
        <f ca="1">AVERAGE(OFFSET($BH$3,0,0,'Données projet'!$E$11+1,1))-AVERAGE(OFFSET($H$3,0,0,'Données projet'!$E$11+1,1))</f>
        <v>361.24725625563468</v>
      </c>
      <c r="BJ71" s="59">
        <f t="shared" si="92"/>
        <v>186.0840067781198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8.9298575915044278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8.9298575915044278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6.8</v>
      </c>
      <c r="BY71" s="12">
        <f>IF('Données projet'!$A$114&gt;35,BY70+BX71-CG70,IF(A71&lt;'Données projet'!$A$114,$BV$205^A71,IF(A71='Données projet'!$A$114,'Données projet'!$B$114,BY70+BX71-CG70)))</f>
        <v>228.39999999999995</v>
      </c>
      <c r="BZ71" s="13">
        <f>BY71*VLOOKUP('Données projet'!$B$12,Paramètres!$A$1:$I$89,3,0)*VLOOKUP('Données projet'!$B$12,Paramètres!$A$1:$I$89,5,0)</f>
        <v>153.21071999999995</v>
      </c>
      <c r="CA71" s="13">
        <f t="shared" si="93"/>
        <v>39.307331456095298</v>
      </c>
      <c r="CB71" s="20">
        <f t="shared" si="64"/>
        <v>335.30227295269918</v>
      </c>
      <c r="CC71" s="59">
        <f t="shared" si="65"/>
        <v>600.74865707991808</v>
      </c>
      <c r="CD71" s="59">
        <f ca="1">AVERAGE(OFFSET($CC$3,0,0,'Données projet'!$E$12+1,1))-AVERAGE(OFFSET($H$3,0,0,'Données projet'!$E$12+1,1))</f>
        <v>323.91378047319455</v>
      </c>
      <c r="CE71" s="59">
        <f t="shared" si="94"/>
        <v>212.89889176380288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11.571020131153139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11.571020131153139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>
        <f>CT71*VLOOKUP('Données projet'!$B$13,Paramètres!$A$1:$I$89,3,0)*VLOOKUP('Données projet'!$B$13,Paramètres!$A$1:$I$89,5,0)</f>
        <v>0</v>
      </c>
      <c r="CV71" s="13" t="e">
        <f t="shared" si="95"/>
        <v>#NUM!</v>
      </c>
      <c r="CW71" s="20" t="e">
        <f t="shared" si="67"/>
        <v>#NUM!</v>
      </c>
      <c r="CX71" s="59" t="e">
        <f t="shared" si="68"/>
        <v>#NUM!</v>
      </c>
      <c r="CY71" s="59">
        <f ca="1">AVERAGE(OFFSET($CX$3,0,0,'Données projet'!$E$13+1,1))-AVERAGE(OFFSET($H$3,0,0,'Données projet'!$E$13+1,1))</f>
        <v>356.07880667298025</v>
      </c>
      <c r="CZ71" s="59">
        <f t="shared" si="96"/>
        <v>396.05161661639659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156.52077524272866</v>
      </c>
      <c r="DG71" s="21">
        <f>EXP(-LN(2)/25)*DG70+(1-EXP(-LN(2)/25))/(LN(2)/25)*Calculateur!DB71*Calculateur!DD71*VLOOKUP('Données projet'!$B$13,Paramètres!$A$1:$I$89,3,0)*0.475*44/12</f>
        <v>35.232246441129412</v>
      </c>
      <c r="DH71" s="21">
        <f>EXP(-LN(2)/2)*DH70+(1-EXP(-LN(2)/2))/(LN(2)/2)*DB71*DE71*VLOOKUP('Données projet'!$B$13,Paramètres!$A$1:$I$89,3,0)*0.475*44/12</f>
        <v>2.1419717706773458</v>
      </c>
      <c r="DI71" s="22">
        <f t="shared" si="69"/>
        <v>193.89499345453541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>
        <f>DO71*VLOOKUP('Données projet'!$B$14,Paramètres!$A$1:$I$89,3,0)*VLOOKUP('Données projet'!$B$14,Paramètres!$A$1:$I$89,5,0)</f>
        <v>0</v>
      </c>
      <c r="DQ71" s="13" t="e">
        <f t="shared" si="97"/>
        <v>#NUM!</v>
      </c>
      <c r="DR71" s="20" t="e">
        <f t="shared" si="70"/>
        <v>#NUM!</v>
      </c>
      <c r="DS71" s="59" t="e">
        <f t="shared" si="71"/>
        <v>#NUM!</v>
      </c>
      <c r="DT71" s="59">
        <f ca="1">AVERAGE(OFFSET($DS$3,0,0,'Données projet'!$E$14+1,1))-AVERAGE(OFFSET($H$3,0,0,'Données projet'!$E$14+1,1))</f>
        <v>246.11623544660486</v>
      </c>
      <c r="DU71" s="59">
        <f t="shared" si="98"/>
        <v>273.18950868898253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107.3873674284312</v>
      </c>
      <c r="EB71" s="21">
        <f>EXP(-LN(2)/25)*EB70+(1-EXP(-LN(2)/25))/(LN(2)/25)*Calculateur!DW71*Calculateur!DY71*VLOOKUP('Données projet'!$B$14,Paramètres!$A$1:$I$89,3,0)*0.475*44/12</f>
        <v>32.001655094692033</v>
      </c>
      <c r="EC71" s="21">
        <f>EXP(-LN(2)/2)*EC70+(1-EXP(-LN(2)/2))/(LN(2)/2)*DW71*DZ71*VLOOKUP('Données projet'!$B$14,Paramètres!$A$1:$I$89,3,0)*0.475*44/12</f>
        <v>2.0353201816956727</v>
      </c>
      <c r="ED71" s="22">
        <f t="shared" si="72"/>
        <v>141.42434270481891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5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67">
        <f t="shared" si="56"/>
        <v>183.33333333333334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8.1999999999999993</v>
      </c>
      <c r="N72" s="13">
        <f>IF('Données projet'!$A$36&gt;35,N71+M72-V71,IF(A72&lt;'Données projet'!$A$36,$K$205^A72,IF(A72='Données projet'!$A$36,'Données projet'!$B$36,N71+M72-V71)))</f>
        <v>293.7999999999999</v>
      </c>
      <c r="O72" s="13">
        <f>N72*VLOOKUP('Données projet'!$B$9,Paramètres!$A$1:$I$89,3,0)*VLOOKUP('Données projet'!$B$9,Paramètres!$A$1:$I$89,5,0)</f>
        <v>297.9131999999999</v>
      </c>
      <c r="P72" s="13">
        <f t="shared" si="87"/>
        <v>70.73881247427552</v>
      </c>
      <c r="Q72" s="20">
        <f t="shared" si="54"/>
        <v>642.06892172602966</v>
      </c>
      <c r="R72" s="59">
        <f t="shared" si="55"/>
        <v>907.99908207609622</v>
      </c>
      <c r="S72" s="59">
        <f ca="1">AVERAGE(OFFSET($R$3,0,0,'Données projet'!$E$9+1,1))-AVERAGE(OFFSET($H$3,0,0,'Données projet'!$E$9+1,1))</f>
        <v>538.10210778862256</v>
      </c>
      <c r="T72" s="59">
        <f t="shared" si="88"/>
        <v>399.53300632021399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18.550132489570576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18.550132489570576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8.1999999999999993</v>
      </c>
      <c r="AI72" s="13">
        <f>IF('Données projet'!$A$62&gt;35,AI71+AH72-AQ71,IF(A72&lt;'Données projet'!$A$62,$AF$205^A72,IF(A72='Données projet'!$A$62,'Données projet'!$B$62,AI71+AH72-AQ71)))</f>
        <v>293.7999999999999</v>
      </c>
      <c r="AJ72" s="13">
        <f>AI72*VLOOKUP('Données projet'!$B$10,Paramètres!$A$1:$I$89,3,0)*VLOOKUP('Données projet'!$B$10,Paramètres!$A$1:$I$89,5,0)</f>
        <v>307.07975999999991</v>
      </c>
      <c r="AK72" s="13">
        <f t="shared" si="89"/>
        <v>72.658632295095899</v>
      </c>
      <c r="AL72" s="20">
        <f t="shared" si="58"/>
        <v>661.37769991395851</v>
      </c>
      <c r="AM72" s="59">
        <f t="shared" si="59"/>
        <v>927.30786026402507</v>
      </c>
      <c r="AN72" s="59">
        <f ca="1">AVERAGE(OFFSET($AM$3,0,0,'Données projet'!$E$10+1,1))-AVERAGE(OFFSET($H$3,0,0,'Données projet'!$E$10+1,1))</f>
        <v>552.26894123675538</v>
      </c>
      <c r="AO72" s="59">
        <f t="shared" si="90"/>
        <v>409.85604950107006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19.120905796941976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19.120905796941976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5</v>
      </c>
      <c r="BD72" s="12">
        <f>IF('Données projet'!$A$88&gt;35,BD71+BC72-BL71,IF(A72&lt;'Données projet'!$A$88,$BA$205^A72,IF(A72='Données projet'!$A$88,'Données projet'!$B$88,BD71+BC72-BL71)))</f>
        <v>167</v>
      </c>
      <c r="BE72" s="13">
        <f>BD72*VLOOKUP('Données projet'!$B$11,Paramètres!$A$1:$I$89,3,0)*VLOOKUP('Données projet'!$B$11,Paramètres!$A$1:$I$89,5,0)</f>
        <v>179.75879999999998</v>
      </c>
      <c r="BF72" s="13">
        <f t="shared" si="91"/>
        <v>45.268519423286527</v>
      </c>
      <c r="BG72" s="20">
        <f t="shared" si="61"/>
        <v>391.92258132889066</v>
      </c>
      <c r="BH72" s="59">
        <f t="shared" si="62"/>
        <v>657.85274167895727</v>
      </c>
      <c r="BI72" s="59">
        <f ca="1">AVERAGE(OFFSET($BH$3,0,0,'Données projet'!$E$11+1,1))-AVERAGE(OFFSET($H$3,0,0,'Données projet'!$E$11+1,1))</f>
        <v>361.24725625563468</v>
      </c>
      <c r="BJ72" s="59">
        <f t="shared" si="92"/>
        <v>186.0840067781198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8.7547485308103425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8.7547485308103425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6.8</v>
      </c>
      <c r="BY72" s="12">
        <f>IF('Données projet'!$A$114&gt;35,BY71+BX72-CG71,IF(A72&lt;'Données projet'!$A$114,$BV$205^A72,IF(A72='Données projet'!$A$114,'Données projet'!$B$114,BY71+BX72-CG71)))</f>
        <v>235.19999999999996</v>
      </c>
      <c r="BZ72" s="13">
        <f>BY72*VLOOKUP('Données projet'!$B$12,Paramètres!$A$1:$I$89,3,0)*VLOOKUP('Données projet'!$B$12,Paramètres!$A$1:$I$89,5,0)</f>
        <v>157.77215999999999</v>
      </c>
      <c r="CA72" s="13">
        <f t="shared" si="93"/>
        <v>40.339610539653599</v>
      </c>
      <c r="CB72" s="20">
        <f t="shared" si="64"/>
        <v>345.04466702322998</v>
      </c>
      <c r="CC72" s="59">
        <f t="shared" si="65"/>
        <v>610.97482737329653</v>
      </c>
      <c r="CD72" s="59">
        <f ca="1">AVERAGE(OFFSET($CC$3,0,0,'Données projet'!$E$12+1,1))-AVERAGE(OFFSET($H$3,0,0,'Données projet'!$E$12+1,1))</f>
        <v>323.91378047319455</v>
      </c>
      <c r="CE72" s="59">
        <f t="shared" si="94"/>
        <v>212.89889176380288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11.344119484006622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11.344119484006622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>
        <f>CT72*VLOOKUP('Données projet'!$B$13,Paramètres!$A$1:$I$89,3,0)*VLOOKUP('Données projet'!$B$13,Paramètres!$A$1:$I$89,5,0)</f>
        <v>0</v>
      </c>
      <c r="CV72" s="13" t="e">
        <f t="shared" si="95"/>
        <v>#NUM!</v>
      </c>
      <c r="CW72" s="20" t="e">
        <f t="shared" si="67"/>
        <v>#NUM!</v>
      </c>
      <c r="CX72" s="59" t="e">
        <f t="shared" si="68"/>
        <v>#NUM!</v>
      </c>
      <c r="CY72" s="59">
        <f ca="1">AVERAGE(OFFSET($CX$3,0,0,'Données projet'!$E$13+1,1))-AVERAGE(OFFSET($H$3,0,0,'Données projet'!$E$13+1,1))</f>
        <v>356.07880667298025</v>
      </c>
      <c r="CZ72" s="59">
        <f t="shared" si="96"/>
        <v>396.05161661639659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153.45149830846495</v>
      </c>
      <c r="DG72" s="21">
        <f>EXP(-LN(2)/25)*DG71+(1-EXP(-LN(2)/25))/(LN(2)/25)*Calculateur!DB72*Calculateur!DD72*VLOOKUP('Données projet'!$B$13,Paramètres!$A$1:$I$89,3,0)*0.475*44/12</f>
        <v>34.268818809413411</v>
      </c>
      <c r="DH72" s="21">
        <f>EXP(-LN(2)/2)*DH71+(1-EXP(-LN(2)/2))/(LN(2)/2)*DB72*DE72*VLOOKUP('Données projet'!$B$13,Paramètres!$A$1:$I$89,3,0)*0.475*44/12</f>
        <v>1.5146027641561077</v>
      </c>
      <c r="DI72" s="22">
        <f t="shared" si="69"/>
        <v>189.23491988203446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>
        <f>DO72*VLOOKUP('Données projet'!$B$14,Paramètres!$A$1:$I$89,3,0)*VLOOKUP('Données projet'!$B$14,Paramètres!$A$1:$I$89,5,0)</f>
        <v>0</v>
      </c>
      <c r="DQ72" s="13" t="e">
        <f t="shared" si="97"/>
        <v>#NUM!</v>
      </c>
      <c r="DR72" s="20" t="e">
        <f t="shared" si="70"/>
        <v>#NUM!</v>
      </c>
      <c r="DS72" s="59" t="e">
        <f t="shared" si="71"/>
        <v>#NUM!</v>
      </c>
      <c r="DT72" s="59">
        <f ca="1">AVERAGE(OFFSET($DS$3,0,0,'Données projet'!$E$14+1,1))-AVERAGE(OFFSET($H$3,0,0,'Données projet'!$E$14+1,1))</f>
        <v>246.11623544660486</v>
      </c>
      <c r="DU72" s="59">
        <f t="shared" si="98"/>
        <v>273.18950868898253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105.28156665298623</v>
      </c>
      <c r="EB72" s="21">
        <f>EXP(-LN(2)/25)*EB71+(1-EXP(-LN(2)/25))/(LN(2)/25)*Calculateur!DW72*Calculateur!DY72*VLOOKUP('Données projet'!$B$14,Paramètres!$A$1:$I$89,3,0)*0.475*44/12</f>
        <v>31.12656815323378</v>
      </c>
      <c r="EC72" s="21">
        <f>EXP(-LN(2)/2)*EC71+(1-EXP(-LN(2)/2))/(LN(2)/2)*DW72*DZ72*VLOOKUP('Données projet'!$B$14,Paramètres!$A$1:$I$89,3,0)*0.475*44/12</f>
        <v>1.4391887023628462</v>
      </c>
      <c r="ED72" s="22">
        <f t="shared" si="72"/>
        <v>137.84732350858286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5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67">
        <f t="shared" si="56"/>
        <v>183.33333333333334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302</v>
      </c>
      <c r="L73" s="12">
        <f>VLOOKUP(A73,'Données projet'!$A$35:$I$55,9,0)</f>
        <v>8.1999999999999993</v>
      </c>
      <c r="M73" s="12">
        <f t="array" ref="M73">INDEX(L:L,MIN(IF(ISNUMBER(L73:L269),ROW(L73:L269),"")))</f>
        <v>8.1999999999999993</v>
      </c>
      <c r="N73" s="13">
        <f>IF('Données projet'!$A$36&gt;35,N72+M73-V72,IF(A73&lt;'Données projet'!$A$36,$K$205^A73,IF(A73='Données projet'!$A$36,'Données projet'!$B$36,N72+M73-V72)))</f>
        <v>301.99999999999989</v>
      </c>
      <c r="O73" s="13">
        <f>N73*VLOOKUP('Données projet'!$B$9,Paramètres!$A$1:$I$89,3,0)*VLOOKUP('Données projet'!$B$9,Paramètres!$A$1:$I$89,5,0)</f>
        <v>306.22799999999989</v>
      </c>
      <c r="P73" s="13">
        <f t="shared" si="87"/>
        <v>72.480526049067294</v>
      </c>
      <c r="Q73" s="20">
        <f t="shared" si="54"/>
        <v>659.58401620212533</v>
      </c>
      <c r="R73" s="59">
        <f t="shared" si="55"/>
        <v>925.98956033913487</v>
      </c>
      <c r="S73" s="59">
        <f ca="1">AVERAGE(OFFSET($R$3,0,0,'Données projet'!$E$9+1,1))-AVERAGE(OFFSET($H$3,0,0,'Données projet'!$E$9+1,1))</f>
        <v>538.10210778862256</v>
      </c>
      <c r="T73" s="59">
        <f t="shared" si="88"/>
        <v>399.53300632021399</v>
      </c>
      <c r="U73" s="15">
        <f>IF(ISNA(VLOOKUP(A73,'Données projet'!$A$35:$I$55,3,0)),0,VLOOKUP(A73,'Données projet'!$A$35:$I$55,3,0))</f>
        <v>11</v>
      </c>
      <c r="V73" s="15">
        <f>IF(ISNA(VLOOKUP(A73,'Données projet'!$A$35:$I$55,4,0)),0,VLOOKUP(A73,'Données projet'!$A$35:$I$55,4,0))</f>
        <v>28</v>
      </c>
      <c r="W73" s="16">
        <f>IF(ISNA(VLOOKUP(A73,'Données projet'!$A$35:$I$55,5,0)),0%,VLOOKUP(A73,'Données projet'!$A$35:$I$55,5,0)*VLOOKUP('Données projet'!$B$9,Paramètres!$A$1:$I$89,7,0))</f>
        <v>0.215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24.934476434289103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24.934476434289103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302</v>
      </c>
      <c r="AG73" s="12">
        <f>VLOOKUP(A73,'Données projet'!$A$61:$I$81,9,0)</f>
        <v>8.1999999999999993</v>
      </c>
      <c r="AH73" s="12">
        <f t="array" ref="AH73">INDEX(AG:AG,MIN(IF(ISNUMBER(AG73:AG269),ROW(AG73:AG269),"")))</f>
        <v>8.1999999999999993</v>
      </c>
      <c r="AI73" s="13">
        <f>IF('Données projet'!$A$62&gt;35,AI72+AH73-AQ72,IF(A73&lt;'Données projet'!$A$62,$AF$205^A73,IF(A73='Données projet'!$A$62,'Données projet'!$B$62,AI72+AH73-AQ72)))</f>
        <v>301.99999999999989</v>
      </c>
      <c r="AJ73" s="13">
        <f>AI73*VLOOKUP('Données projet'!$B$10,Paramètres!$A$1:$I$89,3,0)*VLOOKUP('Données projet'!$B$10,Paramètres!$A$1:$I$89,5,0)</f>
        <v>315.65039999999993</v>
      </c>
      <c r="AK73" s="13">
        <f t="shared" si="89"/>
        <v>74.447615199497747</v>
      </c>
      <c r="AL73" s="20">
        <f t="shared" si="58"/>
        <v>679.42070980579172</v>
      </c>
      <c r="AM73" s="59">
        <f t="shared" si="59"/>
        <v>945.82625394280126</v>
      </c>
      <c r="AN73" s="59">
        <f ca="1">AVERAGE(OFFSET($AM$3,0,0,'Données projet'!$E$10+1,1))-AVERAGE(OFFSET($H$3,0,0,'Données projet'!$E$10+1,1))</f>
        <v>552.26894123675538</v>
      </c>
      <c r="AO73" s="59">
        <f t="shared" si="90"/>
        <v>409.85604950107006</v>
      </c>
      <c r="AP73" s="15">
        <f>IF(ISNA(VLOOKUP(A73,'Données projet'!$A$61:$I$81,3,0)),0,VLOOKUP(A73,'Données projet'!$A$61:$I$81,3,0))</f>
        <v>11</v>
      </c>
      <c r="AQ73" s="15">
        <f>IF(ISNA(VLOOKUP(A73,'Données projet'!$A$61:$I$81,4,0)),0,VLOOKUP(A73,'Données projet'!$A$61:$I$81,4,0))</f>
        <v>28</v>
      </c>
      <c r="AR73" s="16">
        <f>IF(ISNA(VLOOKUP(A73,'Données projet'!$A$61:$I$81,5,0)),0%,VLOOKUP(A73,'Données projet'!$A$61:$I$81,5,0)*VLOOKUP('Données projet'!$B$10,Paramètres!$A$1:$I$89,7,0))</f>
        <v>0.215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25.701691093805689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25.701691093805689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172</v>
      </c>
      <c r="BB73" s="12">
        <f>VLOOKUP(A73,'Données projet'!$A$87:$I$107,9,0)</f>
        <v>5</v>
      </c>
      <c r="BC73" s="12">
        <f t="array" ref="BC73">INDEX(BB:BB,MIN(IF(ISNUMBER(BB73:BB269),ROW(BB73:BB269),"")))</f>
        <v>5</v>
      </c>
      <c r="BD73" s="12">
        <f>IF('Données projet'!$A$88&gt;35,BD72+BC73-BL72,IF(A73&lt;'Données projet'!$A$88,$BA$205^A73,IF(A73='Données projet'!$A$88,'Données projet'!$B$88,BD72+BC73-BL72)))</f>
        <v>172</v>
      </c>
      <c r="BE73" s="13">
        <f>BD73*VLOOKUP('Données projet'!$B$11,Paramètres!$A$1:$I$89,3,0)*VLOOKUP('Données projet'!$B$11,Paramètres!$A$1:$I$89,5,0)</f>
        <v>185.14079999999998</v>
      </c>
      <c r="BF73" s="13">
        <f t="shared" si="91"/>
        <v>46.464038253813506</v>
      </c>
      <c r="BG73" s="20">
        <f t="shared" si="61"/>
        <v>403.3784266253918</v>
      </c>
      <c r="BH73" s="59">
        <f t="shared" si="62"/>
        <v>669.78397076240128</v>
      </c>
      <c r="BI73" s="59">
        <f ca="1">AVERAGE(OFFSET($BH$3,0,0,'Données projet'!$E$11+1,1))-AVERAGE(OFFSET($H$3,0,0,'Données projet'!$E$11+1,1))</f>
        <v>361.24725625563468</v>
      </c>
      <c r="BJ73" s="59">
        <f t="shared" si="92"/>
        <v>186.0840067781198</v>
      </c>
      <c r="BK73" s="15">
        <f>IF(ISNA(VLOOKUP(A73,'Données projet'!$A$87:$I$107,3,0)),0,VLOOKUP(A73,'Données projet'!$A$87:$I$107,3,0))</f>
        <v>10</v>
      </c>
      <c r="BL73" s="15">
        <f>IF(ISNA(VLOOKUP(A73,'Données projet'!$A$87:$I$107,4,0)),0,VLOOKUP(A73,'Données projet'!$A$87:$I$107,4,0))</f>
        <v>14</v>
      </c>
      <c r="BM73" s="16">
        <f>IF(ISNA(VLOOKUP(A73,'Données projet'!$A$87:$I$107,5,0)),0%,VLOOKUP(A73,'Données projet'!$A$87:$I$107,5,0)*VLOOKUP('Données projet'!$B$11,Paramètres!$A$1:$I$89,7,0))</f>
        <v>0.17200000000000001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11.448420638192964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11.448420638192964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242</v>
      </c>
      <c r="BW73" s="12">
        <f>VLOOKUP(A73,'Données projet'!$A$113:$I$133,9,0)</f>
        <v>6.8</v>
      </c>
      <c r="BX73" s="12">
        <f t="array" ref="BX73">INDEX(BW:BW,MIN(IF(ISNUMBER(BW73:BW269),ROW(BW73:BW269),"")))</f>
        <v>6.8</v>
      </c>
      <c r="BY73" s="12">
        <f>IF('Données projet'!$A$114&gt;35,BY72+BX73-CG72,IF(A73&lt;'Données projet'!$A$114,$BV$205^A73,IF(A73='Données projet'!$A$114,'Données projet'!$B$114,BY72+BX73-CG72)))</f>
        <v>241.99999999999997</v>
      </c>
      <c r="BZ73" s="13">
        <f>BY73*VLOOKUP('Données projet'!$B$12,Paramètres!$A$1:$I$89,3,0)*VLOOKUP('Données projet'!$B$12,Paramètres!$A$1:$I$89,5,0)</f>
        <v>162.33359999999999</v>
      </c>
      <c r="CA73" s="13">
        <f t="shared" si="93"/>
        <v>41.368421016378349</v>
      </c>
      <c r="CB73" s="20">
        <f t="shared" si="64"/>
        <v>354.78101993685891</v>
      </c>
      <c r="CC73" s="59">
        <f t="shared" si="65"/>
        <v>621.18656407386834</v>
      </c>
      <c r="CD73" s="59">
        <f ca="1">AVERAGE(OFFSET($CC$3,0,0,'Données projet'!$E$12+1,1))-AVERAGE(OFFSET($H$3,0,0,'Données projet'!$E$12+1,1))</f>
        <v>323.91378047319455</v>
      </c>
      <c r="CE73" s="59">
        <f t="shared" si="94"/>
        <v>212.89889176380288</v>
      </c>
      <c r="CF73" s="15">
        <f>IF(ISNA(VLOOKUP(A73,'Données projet'!$A$113:$I$133,3,0)),0,VLOOKUP(A73,'Données projet'!$A$113:$I$133,3,0))</f>
        <v>11</v>
      </c>
      <c r="CG73" s="15">
        <f>IF(ISNA(VLOOKUP(A73,'Données projet'!$A$113:$I$133,4,0)),0,VLOOKUP(A73,'Données projet'!$A$113:$I$133,4,0))</f>
        <v>21</v>
      </c>
      <c r="CH73" s="16">
        <f>IF(ISNA(VLOOKUP(A73,'Données projet'!$A$113:$I$133,5,0)),0%,VLOOKUP(A73,'Données projet'!$A$113:$I$133,5,0)*VLOOKUP('Données projet'!$B$12,Paramètres!$A$1:$I$89,7,0))</f>
        <v>0.26500000000000001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15.248391357892181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15.248391357892181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>
        <f>CT73*VLOOKUP('Données projet'!$B$13,Paramètres!$A$1:$I$89,3,0)*VLOOKUP('Données projet'!$B$13,Paramètres!$A$1:$I$89,5,0)</f>
        <v>0</v>
      </c>
      <c r="CV73" s="13" t="e">
        <f t="shared" si="95"/>
        <v>#NUM!</v>
      </c>
      <c r="CW73" s="20" t="e">
        <f t="shared" si="67"/>
        <v>#NUM!</v>
      </c>
      <c r="CX73" s="59" t="e">
        <f t="shared" si="68"/>
        <v>#NUM!</v>
      </c>
      <c r="CY73" s="59">
        <f ca="1">AVERAGE(OFFSET($CX$3,0,0,'Données projet'!$E$13+1,1))-AVERAGE(OFFSET($H$3,0,0,'Données projet'!$E$13+1,1))</f>
        <v>356.07880667298025</v>
      </c>
      <c r="CZ73" s="59">
        <f t="shared" si="96"/>
        <v>396.05161661639659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150.44240802280805</v>
      </c>
      <c r="DG73" s="21">
        <f>EXP(-LN(2)/25)*DG72+(1-EXP(-LN(2)/25))/(LN(2)/25)*Calculateur!DB73*Calculateur!DD73*VLOOKUP('Données projet'!$B$13,Paramètres!$A$1:$I$89,3,0)*0.475*44/12</f>
        <v>33.331736156951145</v>
      </c>
      <c r="DH73" s="21">
        <f>EXP(-LN(2)/2)*DH72+(1-EXP(-LN(2)/2))/(LN(2)/2)*DB73*DE73*VLOOKUP('Données projet'!$B$13,Paramètres!$A$1:$I$89,3,0)*0.475*44/12</f>
        <v>1.0709858853386729</v>
      </c>
      <c r="DI73" s="22">
        <f t="shared" si="69"/>
        <v>184.84513006509786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>
        <f>DO73*VLOOKUP('Données projet'!$B$14,Paramètres!$A$1:$I$89,3,0)*VLOOKUP('Données projet'!$B$14,Paramètres!$A$1:$I$89,5,0)</f>
        <v>0</v>
      </c>
      <c r="DQ73" s="13" t="e">
        <f t="shared" si="97"/>
        <v>#NUM!</v>
      </c>
      <c r="DR73" s="20" t="e">
        <f t="shared" si="70"/>
        <v>#NUM!</v>
      </c>
      <c r="DS73" s="59" t="e">
        <f t="shared" si="71"/>
        <v>#NUM!</v>
      </c>
      <c r="DT73" s="59">
        <f ca="1">AVERAGE(OFFSET($DS$3,0,0,'Données projet'!$E$14+1,1))-AVERAGE(OFFSET($H$3,0,0,'Données projet'!$E$14+1,1))</f>
        <v>246.11623544660486</v>
      </c>
      <c r="DU73" s="59">
        <f t="shared" si="98"/>
        <v>273.18950868898253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103.21705934633609</v>
      </c>
      <c r="EB73" s="21">
        <f>EXP(-LN(2)/25)*EB72+(1-EXP(-LN(2)/25))/(LN(2)/25)*Calculateur!DW73*Calculateur!DY73*VLOOKUP('Données projet'!$B$14,Paramètres!$A$1:$I$89,3,0)*0.475*44/12</f>
        <v>30.275410510208523</v>
      </c>
      <c r="EC73" s="21">
        <f>EXP(-LN(2)/2)*EC72+(1-EXP(-LN(2)/2))/(LN(2)/2)*DW73*DZ73*VLOOKUP('Données projet'!$B$14,Paramètres!$A$1:$I$89,3,0)*0.475*44/12</f>
        <v>1.0176600908478364</v>
      </c>
      <c r="ED73" s="22">
        <f t="shared" si="72"/>
        <v>134.51012994739244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5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67">
        <f t="shared" si="56"/>
        <v>183.33333333333334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7.6</v>
      </c>
      <c r="N74" s="13">
        <f>IF('Données projet'!$A$36&gt;35,N73+M74-V73,IF(A74&lt;'Données projet'!$A$36,$K$205^A74,IF(A74='Données projet'!$A$36,'Données projet'!$B$36,N73+M74-V73)))</f>
        <v>281.59999999999991</v>
      </c>
      <c r="O74" s="13">
        <f>N74*VLOOKUP('Données projet'!$B$9,Paramètres!$A$1:$I$89,3,0)*VLOOKUP('Données projet'!$B$9,Paramètres!$A$1:$I$89,5,0)</f>
        <v>285.54239999999993</v>
      </c>
      <c r="P74" s="13">
        <f t="shared" si="87"/>
        <v>68.136937829389467</v>
      </c>
      <c r="Q74" s="20">
        <f t="shared" si="54"/>
        <v>615.99151338618651</v>
      </c>
      <c r="R74" s="59">
        <f t="shared" si="55"/>
        <v>882.86419446423452</v>
      </c>
      <c r="S74" s="59">
        <f ca="1">AVERAGE(OFFSET($R$3,0,0,'Données projet'!$E$9+1,1))-AVERAGE(OFFSET($H$3,0,0,'Données projet'!$E$9+1,1))</f>
        <v>538.10210778862256</v>
      </c>
      <c r="T74" s="59">
        <f t="shared" si="88"/>
        <v>399.53300632021399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24.445526559941602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24.445526559941602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7.6</v>
      </c>
      <c r="AI74" s="13">
        <f>IF('Données projet'!$A$62&gt;35,AI73+AH74-AQ73,IF(A74&lt;'Données projet'!$A$62,$AF$205^A74,IF(A74='Données projet'!$A$62,'Données projet'!$B$62,AI73+AH74-AQ73)))</f>
        <v>281.59999999999991</v>
      </c>
      <c r="AJ74" s="13">
        <f>AI74*VLOOKUP('Données projet'!$B$10,Paramètres!$A$1:$I$89,3,0)*VLOOKUP('Données projet'!$B$10,Paramètres!$A$1:$I$89,5,0)</f>
        <v>294.32831999999991</v>
      </c>
      <c r="AK74" s="13">
        <f t="shared" si="89"/>
        <v>69.986143932791776</v>
      </c>
      <c r="AL74" s="20">
        <f t="shared" si="58"/>
        <v>634.51435801627883</v>
      </c>
      <c r="AM74" s="59">
        <f t="shared" si="59"/>
        <v>901.38703909432684</v>
      </c>
      <c r="AN74" s="59">
        <f ca="1">AVERAGE(OFFSET($AM$3,0,0,'Données projet'!$E$10+1,1))-AVERAGE(OFFSET($H$3,0,0,'Données projet'!$E$10+1,1))</f>
        <v>552.26894123675538</v>
      </c>
      <c r="AO74" s="59">
        <f t="shared" si="90"/>
        <v>409.85604950107006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25.197696607939804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25.197696607939804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5</v>
      </c>
      <c r="BD74" s="12">
        <f>IF('Données projet'!$A$88&gt;35,BD73+BC74-BL73,IF(A74&lt;'Données projet'!$A$88,$BA$205^A74,IF(A74='Données projet'!$A$88,'Données projet'!$B$88,BD73+BC74-BL73)))</f>
        <v>163</v>
      </c>
      <c r="BE74" s="13">
        <f>BD74*VLOOKUP('Données projet'!$B$11,Paramètres!$A$1:$I$89,3,0)*VLOOKUP('Données projet'!$B$11,Paramètres!$A$1:$I$89,5,0)</f>
        <v>175.45319999999998</v>
      </c>
      <c r="BF74" s="13">
        <f t="shared" si="91"/>
        <v>44.309105612169866</v>
      </c>
      <c r="BG74" s="20">
        <f t="shared" si="61"/>
        <v>382.75268227452915</v>
      </c>
      <c r="BH74" s="59">
        <f t="shared" si="62"/>
        <v>649.6253633525771</v>
      </c>
      <c r="BI74" s="59">
        <f ca="1">AVERAGE(OFFSET($BH$3,0,0,'Données projet'!$E$11+1,1))-AVERAGE(OFFSET($H$3,0,0,'Données projet'!$E$11+1,1))</f>
        <v>361.24725625563468</v>
      </c>
      <c r="BJ74" s="59">
        <f t="shared" si="92"/>
        <v>186.0840067781198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11.22392409232509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11.22392409232509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6.2</v>
      </c>
      <c r="BY74" s="12">
        <f>IF('Données projet'!$A$114&gt;35,BY73+BX74-CG73,IF(A74&lt;'Données projet'!$A$114,$BV$205^A74,IF(A74='Données projet'!$A$114,'Données projet'!$B$114,BY73+BX74-CG73)))</f>
        <v>227.19999999999996</v>
      </c>
      <c r="BZ74" s="13">
        <f>BY74*VLOOKUP('Données projet'!$B$12,Paramètres!$A$1:$I$89,3,0)*VLOOKUP('Données projet'!$B$12,Paramètres!$A$1:$I$89,5,0)</f>
        <v>152.40575999999999</v>
      </c>
      <c r="CA74" s="13">
        <f t="shared" si="93"/>
        <v>39.124795908571521</v>
      </c>
      <c r="CB74" s="20">
        <f t="shared" si="64"/>
        <v>333.58238487409534</v>
      </c>
      <c r="CC74" s="59">
        <f t="shared" si="65"/>
        <v>600.45506595214329</v>
      </c>
      <c r="CD74" s="59">
        <f ca="1">AVERAGE(OFFSET($CC$3,0,0,'Données projet'!$E$12+1,1))-AVERAGE(OFFSET($H$3,0,0,'Données projet'!$E$12+1,1))</f>
        <v>323.91378047319455</v>
      </c>
      <c r="CE74" s="59">
        <f t="shared" si="94"/>
        <v>212.89889176380288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14.949379703964286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14.949379703964286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>
        <f>CT74*VLOOKUP('Données projet'!$B$13,Paramètres!$A$1:$I$89,3,0)*VLOOKUP('Données projet'!$B$13,Paramètres!$A$1:$I$89,5,0)</f>
        <v>0</v>
      </c>
      <c r="CV74" s="13" t="e">
        <f t="shared" si="95"/>
        <v>#NUM!</v>
      </c>
      <c r="CW74" s="20" t="e">
        <f t="shared" si="67"/>
        <v>#NUM!</v>
      </c>
      <c r="CX74" s="59" t="e">
        <f t="shared" si="68"/>
        <v>#NUM!</v>
      </c>
      <c r="CY74" s="59">
        <f ca="1">AVERAGE(OFFSET($CX$3,0,0,'Données projet'!$E$13+1,1))-AVERAGE(OFFSET($H$3,0,0,'Données projet'!$E$13+1,1))</f>
        <v>356.07880667298025</v>
      </c>
      <c r="CZ74" s="59">
        <f t="shared" si="96"/>
        <v>396.05161661639659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147.49232416228907</v>
      </c>
      <c r="DG74" s="21">
        <f>EXP(-LN(2)/25)*DG73+(1-EXP(-LN(2)/25))/(LN(2)/25)*Calculateur!DB74*Calculateur!DD74*VLOOKUP('Données projet'!$B$13,Paramètres!$A$1:$I$89,3,0)*0.475*44/12</f>
        <v>32.420278078899493</v>
      </c>
      <c r="DH74" s="21">
        <f>EXP(-LN(2)/2)*DH73+(1-EXP(-LN(2)/2))/(LN(2)/2)*DB74*DE74*VLOOKUP('Données projet'!$B$13,Paramètres!$A$1:$I$89,3,0)*0.475*44/12</f>
        <v>0.75730138207805386</v>
      </c>
      <c r="DI74" s="22">
        <f t="shared" si="69"/>
        <v>180.66990362326661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>
        <f>DO74*VLOOKUP('Données projet'!$B$14,Paramètres!$A$1:$I$89,3,0)*VLOOKUP('Données projet'!$B$14,Paramètres!$A$1:$I$89,5,0)</f>
        <v>0</v>
      </c>
      <c r="DQ74" s="13" t="e">
        <f t="shared" si="97"/>
        <v>#NUM!</v>
      </c>
      <c r="DR74" s="20" t="e">
        <f t="shared" si="70"/>
        <v>#NUM!</v>
      </c>
      <c r="DS74" s="59" t="e">
        <f t="shared" si="71"/>
        <v>#NUM!</v>
      </c>
      <c r="DT74" s="59">
        <f ca="1">AVERAGE(OFFSET($DS$3,0,0,'Données projet'!$E$14+1,1))-AVERAGE(OFFSET($H$3,0,0,'Données projet'!$E$14+1,1))</f>
        <v>246.11623544660486</v>
      </c>
      <c r="DU74" s="59">
        <f t="shared" si="98"/>
        <v>273.18950868898253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101.19303576874422</v>
      </c>
      <c r="EB74" s="21">
        <f>EXP(-LN(2)/25)*EB73+(1-EXP(-LN(2)/25))/(LN(2)/25)*Calculateur!DW74*Calculateur!DY74*VLOOKUP('Données projet'!$B$14,Paramètres!$A$1:$I$89,3,0)*0.475*44/12</f>
        <v>29.447527817692229</v>
      </c>
      <c r="EC74" s="21">
        <f>EXP(-LN(2)/2)*EC73+(1-EXP(-LN(2)/2))/(LN(2)/2)*DW74*DZ74*VLOOKUP('Données projet'!$B$14,Paramètres!$A$1:$I$89,3,0)*0.475*44/12</f>
        <v>0.71959435118142312</v>
      </c>
      <c r="ED74" s="22">
        <f t="shared" si="72"/>
        <v>131.36015793761788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5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67">
        <f t="shared" si="56"/>
        <v>183.33333333333334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7.6</v>
      </c>
      <c r="N75" s="13">
        <f>IF('Données projet'!$A$36&gt;35,N74+M75-V74,IF(A75&lt;'Données projet'!$A$36,$K$205^A75,IF(A75='Données projet'!$A$36,'Données projet'!$B$36,N74+M75-V74)))</f>
        <v>289.19999999999993</v>
      </c>
      <c r="O75" s="13">
        <f>N75*VLOOKUP('Données projet'!$B$9,Paramètres!$A$1:$I$89,3,0)*VLOOKUP('Données projet'!$B$9,Paramètres!$A$1:$I$89,5,0)</f>
        <v>293.24879999999996</v>
      </c>
      <c r="P75" s="13">
        <f t="shared" si="87"/>
        <v>69.759283249126327</v>
      </c>
      <c r="Q75" s="20">
        <f t="shared" si="54"/>
        <v>632.23907832556165</v>
      </c>
      <c r="R75" s="59">
        <f t="shared" si="55"/>
        <v>899.5707925630827</v>
      </c>
      <c r="S75" s="59">
        <f ca="1">AVERAGE(OFFSET($R$3,0,0,'Données projet'!$E$9+1,1))-AVERAGE(OFFSET($H$3,0,0,'Données projet'!$E$9+1,1))</f>
        <v>538.10210778862256</v>
      </c>
      <c r="T75" s="59">
        <f t="shared" si="88"/>
        <v>399.53300632021399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23.966164694400078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23.966164694400078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7.6</v>
      </c>
      <c r="AI75" s="13">
        <f>IF('Données projet'!$A$62&gt;35,AI74+AH75-AQ74,IF(A75&lt;'Données projet'!$A$62,$AF$205^A75,IF(A75='Données projet'!$A$62,'Données projet'!$B$62,AI74+AH75-AQ74)))</f>
        <v>289.19999999999993</v>
      </c>
      <c r="AJ75" s="13">
        <f>AI75*VLOOKUP('Données projet'!$B$10,Paramètres!$A$1:$I$89,3,0)*VLOOKUP('Données projet'!$B$10,Paramètres!$A$1:$I$89,5,0)</f>
        <v>302.27183999999994</v>
      </c>
      <c r="AK75" s="13">
        <f t="shared" si="89"/>
        <v>71.652519083649182</v>
      </c>
      <c r="AL75" s="20">
        <f t="shared" si="58"/>
        <v>651.25159207068884</v>
      </c>
      <c r="AM75" s="59">
        <f t="shared" si="59"/>
        <v>918.58330630821001</v>
      </c>
      <c r="AN75" s="59">
        <f ca="1">AVERAGE(OFFSET($AM$3,0,0,'Données projet'!$E$10+1,1))-AVERAGE(OFFSET($H$3,0,0,'Données projet'!$E$10+1,1))</f>
        <v>552.26894123675538</v>
      </c>
      <c r="AO75" s="59">
        <f t="shared" si="90"/>
        <v>409.85604950107006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24.703585146535463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24.703585146535463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5</v>
      </c>
      <c r="BD75" s="12">
        <f>IF('Données projet'!$A$88&gt;35,BD74+BC75-BL74,IF(A75&lt;'Données projet'!$A$88,$BA$205^A75,IF(A75='Données projet'!$A$88,'Données projet'!$B$88,BD74+BC75-BL74)))</f>
        <v>168</v>
      </c>
      <c r="BE75" s="13">
        <f>BD75*VLOOKUP('Données projet'!$B$11,Paramètres!$A$1:$I$89,3,0)*VLOOKUP('Données projet'!$B$11,Paramètres!$A$1:$I$89,5,0)</f>
        <v>180.83519999999999</v>
      </c>
      <c r="BF75" s="13">
        <f t="shared" si="91"/>
        <v>45.507952685945142</v>
      </c>
      <c r="BG75" s="20">
        <f t="shared" si="61"/>
        <v>394.21432426135442</v>
      </c>
      <c r="BH75" s="59">
        <f t="shared" si="62"/>
        <v>661.54603849887553</v>
      </c>
      <c r="BI75" s="59">
        <f ca="1">AVERAGE(OFFSET($BH$3,0,0,'Données projet'!$E$11+1,1))-AVERAGE(OFFSET($H$3,0,0,'Données projet'!$E$11+1,1))</f>
        <v>361.24725625563468</v>
      </c>
      <c r="BJ75" s="59">
        <f t="shared" si="92"/>
        <v>186.0840067781198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11.003829786792313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11.003829786792313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6.2</v>
      </c>
      <c r="BY75" s="12">
        <f>IF('Données projet'!$A$114&gt;35,BY74+BX75-CG74,IF(A75&lt;'Données projet'!$A$114,$BV$205^A75,IF(A75='Données projet'!$A$114,'Données projet'!$B$114,BY74+BX75-CG74)))</f>
        <v>233.39999999999995</v>
      </c>
      <c r="BZ75" s="13">
        <f>BY75*VLOOKUP('Données projet'!$B$12,Paramètres!$A$1:$I$89,3,0)*VLOOKUP('Données projet'!$B$12,Paramètres!$A$1:$I$89,5,0)</f>
        <v>156.56471999999997</v>
      </c>
      <c r="CA75" s="13">
        <f t="shared" si="93"/>
        <v>40.066702365401426</v>
      </c>
      <c r="CB75" s="20">
        <f t="shared" si="64"/>
        <v>342.46639395307403</v>
      </c>
      <c r="CC75" s="59">
        <f t="shared" si="65"/>
        <v>609.79810819059514</v>
      </c>
      <c r="CD75" s="59">
        <f ca="1">AVERAGE(OFFSET($CC$3,0,0,'Données projet'!$E$12+1,1))-AVERAGE(OFFSET($H$3,0,0,'Données projet'!$E$12+1,1))</f>
        <v>323.91378047319455</v>
      </c>
      <c r="CE75" s="59">
        <f t="shared" si="94"/>
        <v>212.89889176380288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14.656231486190817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14.656231486190817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>
        <f>CT75*VLOOKUP('Données projet'!$B$13,Paramètres!$A$1:$I$89,3,0)*VLOOKUP('Données projet'!$B$13,Paramètres!$A$1:$I$89,5,0)</f>
        <v>0</v>
      </c>
      <c r="CV75" s="13" t="e">
        <f t="shared" si="95"/>
        <v>#NUM!</v>
      </c>
      <c r="CW75" s="20" t="e">
        <f t="shared" si="67"/>
        <v>#NUM!</v>
      </c>
      <c r="CX75" s="59" t="e">
        <f t="shared" si="68"/>
        <v>#NUM!</v>
      </c>
      <c r="CY75" s="59">
        <f ca="1">AVERAGE(OFFSET($CX$3,0,0,'Données projet'!$E$13+1,1))-AVERAGE(OFFSET($H$3,0,0,'Données projet'!$E$13+1,1))</f>
        <v>356.07880667298025</v>
      </c>
      <c r="CZ75" s="59">
        <f t="shared" si="96"/>
        <v>396.05161661639659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144.60008964690135</v>
      </c>
      <c r="DG75" s="21">
        <f>EXP(-LN(2)/25)*DG74+(1-EXP(-LN(2)/25))/(LN(2)/25)*Calculateur!DB75*Calculateur!DD75*VLOOKUP('Données projet'!$B$13,Paramètres!$A$1:$I$89,3,0)*0.475*44/12</f>
        <v>31.533743869923658</v>
      </c>
      <c r="DH75" s="21">
        <f>EXP(-LN(2)/2)*DH74+(1-EXP(-LN(2)/2))/(LN(2)/2)*DB75*DE75*VLOOKUP('Données projet'!$B$13,Paramètres!$A$1:$I$89,3,0)*0.475*44/12</f>
        <v>0.53549294266933645</v>
      </c>
      <c r="DI75" s="22">
        <f t="shared" si="69"/>
        <v>176.66932645949436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>
        <f>DO75*VLOOKUP('Données projet'!$B$14,Paramètres!$A$1:$I$89,3,0)*VLOOKUP('Données projet'!$B$14,Paramètres!$A$1:$I$89,5,0)</f>
        <v>0</v>
      </c>
      <c r="DQ75" s="13" t="e">
        <f t="shared" si="97"/>
        <v>#NUM!</v>
      </c>
      <c r="DR75" s="20" t="e">
        <f t="shared" si="70"/>
        <v>#NUM!</v>
      </c>
      <c r="DS75" s="59" t="e">
        <f t="shared" si="71"/>
        <v>#NUM!</v>
      </c>
      <c r="DT75" s="59">
        <f ca="1">AVERAGE(OFFSET($DS$3,0,0,'Données projet'!$E$14+1,1))-AVERAGE(OFFSET($H$3,0,0,'Données projet'!$E$14+1,1))</f>
        <v>246.11623544660486</v>
      </c>
      <c r="DU75" s="59">
        <f t="shared" si="98"/>
        <v>273.18950868898253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99.208702058976456</v>
      </c>
      <c r="EB75" s="21">
        <f>EXP(-LN(2)/25)*EB74+(1-EXP(-LN(2)/25))/(LN(2)/25)*Calculateur!DW75*Calculateur!DY75*VLOOKUP('Données projet'!$B$14,Paramètres!$A$1:$I$89,3,0)*0.475*44/12</f>
        <v>28.642283620939249</v>
      </c>
      <c r="EC75" s="21">
        <f>EXP(-LN(2)/2)*EC74+(1-EXP(-LN(2)/2))/(LN(2)/2)*DW75*DZ75*VLOOKUP('Données projet'!$B$14,Paramètres!$A$1:$I$89,3,0)*0.475*44/12</f>
        <v>0.50883004542391819</v>
      </c>
      <c r="ED75" s="22">
        <f t="shared" si="72"/>
        <v>128.35981572533962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5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67">
        <f t="shared" si="56"/>
        <v>183.33333333333334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7.6</v>
      </c>
      <c r="N76" s="13">
        <f>IF('Données projet'!$A$36&gt;35,N75+M76-V75,IF(A76&lt;'Données projet'!$A$36,$K$205^A76,IF(A76='Données projet'!$A$36,'Données projet'!$B$36,N75+M76-V75)))</f>
        <v>296.79999999999995</v>
      </c>
      <c r="O76" s="13">
        <f>N76*VLOOKUP('Données projet'!$B$9,Paramètres!$A$1:$I$89,3,0)*VLOOKUP('Données projet'!$B$9,Paramètres!$A$1:$I$89,5,0)</f>
        <v>300.95519999999999</v>
      </c>
      <c r="P76" s="13">
        <f t="shared" si="87"/>
        <v>71.376673021759785</v>
      </c>
      <c r="Q76" s="20">
        <f t="shared" si="54"/>
        <v>648.47801217956487</v>
      </c>
      <c r="R76" s="59">
        <f t="shared" si="55"/>
        <v>916.26079637748671</v>
      </c>
      <c r="S76" s="59">
        <f ca="1">AVERAGE(OFFSET($R$3,0,0,'Données projet'!$E$9+1,1))-AVERAGE(OFFSET($H$3,0,0,'Données projet'!$E$9+1,1))</f>
        <v>538.10210778862256</v>
      </c>
      <c r="T76" s="59">
        <f t="shared" si="88"/>
        <v>399.53300632021399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23.496202822659956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23.496202822659956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7.6</v>
      </c>
      <c r="AI76" s="13">
        <f>IF('Données projet'!$A$62&gt;35,AI75+AH76-AQ75,IF(A76&lt;'Données projet'!$A$62,$AF$205^A76,IF(A76='Données projet'!$A$62,'Données projet'!$B$62,AI75+AH76-AQ75)))</f>
        <v>296.79999999999995</v>
      </c>
      <c r="AJ76" s="13">
        <f>AI76*VLOOKUP('Données projet'!$B$10,Paramètres!$A$1:$I$89,3,0)*VLOOKUP('Données projet'!$B$10,Paramètres!$A$1:$I$89,5,0)</f>
        <v>310.21535999999998</v>
      </c>
      <c r="AK76" s="13">
        <f t="shared" si="89"/>
        <v>73.31380409335101</v>
      </c>
      <c r="AL76" s="20">
        <f t="shared" si="58"/>
        <v>667.97996079591962</v>
      </c>
      <c r="AM76" s="59">
        <f t="shared" si="59"/>
        <v>935.76274499384135</v>
      </c>
      <c r="AN76" s="59">
        <f ca="1">AVERAGE(OFFSET($AM$3,0,0,'Données projet'!$E$10+1,1))-AVERAGE(OFFSET($H$3,0,0,'Données projet'!$E$10+1,1))</f>
        <v>552.26894123675538</v>
      </c>
      <c r="AO76" s="59">
        <f t="shared" si="90"/>
        <v>409.85604950107006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24.219162909511031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24.219162909511031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5</v>
      </c>
      <c r="BD76" s="12">
        <f>IF('Données projet'!$A$88&gt;35,BD75+BC76-BL75,IF(A76&lt;'Données projet'!$A$88,$BA$205^A76,IF(A76='Données projet'!$A$88,'Données projet'!$B$88,BD75+BC76-BL75)))</f>
        <v>173</v>
      </c>
      <c r="BE76" s="13">
        <f>BD76*VLOOKUP('Données projet'!$B$11,Paramètres!$A$1:$I$89,3,0)*VLOOKUP('Données projet'!$B$11,Paramètres!$A$1:$I$89,5,0)</f>
        <v>186.21719999999999</v>
      </c>
      <c r="BF76" s="13">
        <f t="shared" si="91"/>
        <v>46.702653149673253</v>
      </c>
      <c r="BG76" s="20">
        <f t="shared" si="61"/>
        <v>405.66874423568089</v>
      </c>
      <c r="BH76" s="59">
        <f t="shared" si="62"/>
        <v>673.45152843360268</v>
      </c>
      <c r="BI76" s="59">
        <f ca="1">AVERAGE(OFFSET($BH$3,0,0,'Données projet'!$E$11+1,1))-AVERAGE(OFFSET($H$3,0,0,'Données projet'!$E$11+1,1))</f>
        <v>361.24725625563468</v>
      </c>
      <c r="BJ76" s="59">
        <f t="shared" si="92"/>
        <v>186.0840067781198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10.788051396346763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10.788051396346763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6.2</v>
      </c>
      <c r="BY76" s="12">
        <f>IF('Données projet'!$A$114&gt;35,BY75+BX76-CG75,IF(A76&lt;'Données projet'!$A$114,$BV$205^A76,IF(A76='Données projet'!$A$114,'Données projet'!$B$114,BY75+BX76-CG75)))</f>
        <v>239.59999999999994</v>
      </c>
      <c r="BZ76" s="13">
        <f>BY76*VLOOKUP('Données projet'!$B$12,Paramètres!$A$1:$I$89,3,0)*VLOOKUP('Données projet'!$B$12,Paramètres!$A$1:$I$89,5,0)</f>
        <v>160.72367999999997</v>
      </c>
      <c r="CA76" s="13">
        <f t="shared" si="93"/>
        <v>41.005700554955503</v>
      </c>
      <c r="CB76" s="20">
        <f t="shared" si="64"/>
        <v>351.34533779988072</v>
      </c>
      <c r="CC76" s="59">
        <f t="shared" si="65"/>
        <v>619.12812199780251</v>
      </c>
      <c r="CD76" s="59">
        <f ca="1">AVERAGE(OFFSET($CC$3,0,0,'Données projet'!$E$12+1,1))-AVERAGE(OFFSET($H$3,0,0,'Données projet'!$E$12+1,1))</f>
        <v>323.91378047319455</v>
      </c>
      <c r="CE76" s="59">
        <f t="shared" si="94"/>
        <v>212.89889176380288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14.368831726165128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14.368831726165128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>
        <f>CT76*VLOOKUP('Données projet'!$B$13,Paramètres!$A$1:$I$89,3,0)*VLOOKUP('Données projet'!$B$13,Paramètres!$A$1:$I$89,5,0)</f>
        <v>0</v>
      </c>
      <c r="CV76" s="13" t="e">
        <f t="shared" si="95"/>
        <v>#NUM!</v>
      </c>
      <c r="CW76" s="20" t="e">
        <f t="shared" si="67"/>
        <v>#NUM!</v>
      </c>
      <c r="CX76" s="59" t="e">
        <f t="shared" si="68"/>
        <v>#NUM!</v>
      </c>
      <c r="CY76" s="59">
        <f ca="1">AVERAGE(OFFSET($CX$3,0,0,'Données projet'!$E$13+1,1))-AVERAGE(OFFSET($H$3,0,0,'Données projet'!$E$13+1,1))</f>
        <v>356.07880667298025</v>
      </c>
      <c r="CZ76" s="59">
        <f t="shared" si="96"/>
        <v>396.05161661639659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141.76457008627153</v>
      </c>
      <c r="DG76" s="21">
        <f>EXP(-LN(2)/25)*DG75+(1-EXP(-LN(2)/25))/(LN(2)/25)*Calculateur!DB76*Calculateur!DD76*VLOOKUP('Données projet'!$B$13,Paramètres!$A$1:$I$89,3,0)*0.475*44/12</f>
        <v>30.671451985513077</v>
      </c>
      <c r="DH76" s="21">
        <f>EXP(-LN(2)/2)*DH75+(1-EXP(-LN(2)/2))/(LN(2)/2)*DB76*DE76*VLOOKUP('Données projet'!$B$13,Paramètres!$A$1:$I$89,3,0)*0.475*44/12</f>
        <v>0.37865069103902693</v>
      </c>
      <c r="DI76" s="22">
        <f t="shared" si="69"/>
        <v>172.81467276282362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>
        <f>DO76*VLOOKUP('Données projet'!$B$14,Paramètres!$A$1:$I$89,3,0)*VLOOKUP('Données projet'!$B$14,Paramètres!$A$1:$I$89,5,0)</f>
        <v>0</v>
      </c>
      <c r="DQ76" s="13" t="e">
        <f t="shared" si="97"/>
        <v>#NUM!</v>
      </c>
      <c r="DR76" s="20" t="e">
        <f t="shared" si="70"/>
        <v>#NUM!</v>
      </c>
      <c r="DS76" s="59" t="e">
        <f t="shared" si="71"/>
        <v>#NUM!</v>
      </c>
      <c r="DT76" s="59">
        <f ca="1">AVERAGE(OFFSET($DS$3,0,0,'Données projet'!$E$14+1,1))-AVERAGE(OFFSET($H$3,0,0,'Données projet'!$E$14+1,1))</f>
        <v>246.11623544660486</v>
      </c>
      <c r="DU76" s="59">
        <f t="shared" si="98"/>
        <v>273.18950868898253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97.263279922933179</v>
      </c>
      <c r="EB76" s="21">
        <f>EXP(-LN(2)/25)*EB75+(1-EXP(-LN(2)/25))/(LN(2)/25)*Calculateur!DW76*Calculateur!DY76*VLOOKUP('Données projet'!$B$14,Paramètres!$A$1:$I$89,3,0)*0.475*44/12</f>
        <v>27.859058869092433</v>
      </c>
      <c r="EC76" s="21">
        <f>EXP(-LN(2)/2)*EC75+(1-EXP(-LN(2)/2))/(LN(2)/2)*DW76*DZ76*VLOOKUP('Données projet'!$B$14,Paramètres!$A$1:$I$89,3,0)*0.475*44/12</f>
        <v>0.35979717559071156</v>
      </c>
      <c r="ED76" s="22">
        <f t="shared" si="72"/>
        <v>125.48213596761633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5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67">
        <f t="shared" si="56"/>
        <v>183.33333333333334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7.6</v>
      </c>
      <c r="N77" s="13">
        <f>IF('Données projet'!$A$36&gt;35,N76+M77-V76,IF(A77&lt;'Données projet'!$A$36,$K$205^A77,IF(A77='Données projet'!$A$36,'Données projet'!$B$36,N76+M77-V76)))</f>
        <v>304.39999999999998</v>
      </c>
      <c r="O77" s="13">
        <f>N77*VLOOKUP('Données projet'!$B$9,Paramètres!$A$1:$I$89,3,0)*VLOOKUP('Données projet'!$B$9,Paramètres!$A$1:$I$89,5,0)</f>
        <v>308.66159999999996</v>
      </c>
      <c r="P77" s="13">
        <f t="shared" si="87"/>
        <v>72.98924863505313</v>
      </c>
      <c r="Q77" s="20">
        <f t="shared" si="54"/>
        <v>664.70856137271744</v>
      </c>
      <c r="R77" s="59">
        <f t="shared" si="55"/>
        <v>932.9345904756683</v>
      </c>
      <c r="S77" s="59">
        <f ca="1">AVERAGE(OFFSET($R$3,0,0,'Données projet'!$E$9+1,1))-AVERAGE(OFFSET($H$3,0,0,'Données projet'!$E$9+1,1))</f>
        <v>538.10210778862256</v>
      </c>
      <c r="T77" s="59">
        <f t="shared" si="88"/>
        <v>399.53300632021399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23.035456616576223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23.035456616576223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7.6</v>
      </c>
      <c r="AI77" s="13">
        <f>IF('Données projet'!$A$62&gt;35,AI76+AH77-AQ76,IF(A77&lt;'Données projet'!$A$62,$AF$205^A77,IF(A77='Données projet'!$A$62,'Données projet'!$B$62,AI76+AH77-AQ76)))</f>
        <v>304.39999999999998</v>
      </c>
      <c r="AJ77" s="13">
        <f>AI77*VLOOKUP('Données projet'!$B$10,Paramètres!$A$1:$I$89,3,0)*VLOOKUP('Données projet'!$B$10,Paramètres!$A$1:$I$89,5,0)</f>
        <v>318.15888000000001</v>
      </c>
      <c r="AK77" s="13">
        <f t="shared" si="89"/>
        <v>74.970144289575373</v>
      </c>
      <c r="AL77" s="20">
        <f t="shared" si="58"/>
        <v>684.69971730434372</v>
      </c>
      <c r="AM77" s="59">
        <f t="shared" si="59"/>
        <v>952.92574640729458</v>
      </c>
      <c r="AN77" s="59">
        <f ca="1">AVERAGE(OFFSET($AM$3,0,0,'Données projet'!$E$10+1,1))-AVERAGE(OFFSET($H$3,0,0,'Données projet'!$E$10+1,1))</f>
        <v>552.26894123675538</v>
      </c>
      <c r="AO77" s="59">
        <f t="shared" si="90"/>
        <v>409.85604950107006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23.744239897086256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23.744239897086256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5</v>
      </c>
      <c r="BD77" s="12">
        <f>IF('Données projet'!$A$88&gt;35,BD76+BC77-BL76,IF(A77&lt;'Données projet'!$A$88,$BA$205^A77,IF(A77='Données projet'!$A$88,'Données projet'!$B$88,BD76+BC77-BL76)))</f>
        <v>178</v>
      </c>
      <c r="BE77" s="13">
        <f>BD77*VLOOKUP('Données projet'!$B$11,Paramètres!$A$1:$I$89,3,0)*VLOOKUP('Données projet'!$B$11,Paramètres!$A$1:$I$89,5,0)</f>
        <v>191.5992</v>
      </c>
      <c r="BF77" s="13">
        <f t="shared" si="91"/>
        <v>47.893340610341859</v>
      </c>
      <c r="BG77" s="20">
        <f t="shared" si="61"/>
        <v>417.1161748963454</v>
      </c>
      <c r="BH77" s="59">
        <f t="shared" si="62"/>
        <v>685.34220399929632</v>
      </c>
      <c r="BI77" s="59">
        <f ca="1">AVERAGE(OFFSET($BH$3,0,0,'Données projet'!$E$11+1,1))-AVERAGE(OFFSET($H$3,0,0,'Données projet'!$E$11+1,1))</f>
        <v>361.24725625563468</v>
      </c>
      <c r="BJ77" s="59">
        <f t="shared" si="92"/>
        <v>186.0840067781198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10.576504288526028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10.576504288526028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6.2</v>
      </c>
      <c r="BY77" s="12">
        <f>IF('Données projet'!$A$114&gt;35,BY76+BX77-CG76,IF(A77&lt;'Données projet'!$A$114,$BV$205^A77,IF(A77='Données projet'!$A$114,'Données projet'!$B$114,BY76+BX77-CG76)))</f>
        <v>245.79999999999993</v>
      </c>
      <c r="BZ77" s="13">
        <f>BY77*VLOOKUP('Données projet'!$B$12,Paramètres!$A$1:$I$89,3,0)*VLOOKUP('Données projet'!$B$12,Paramètres!$A$1:$I$89,5,0)</f>
        <v>164.88263999999995</v>
      </c>
      <c r="CA77" s="13">
        <f t="shared" si="93"/>
        <v>41.941874385207427</v>
      </c>
      <c r="CB77" s="20">
        <f t="shared" si="64"/>
        <v>360.21936255423617</v>
      </c>
      <c r="CC77" s="59">
        <f t="shared" si="65"/>
        <v>628.44539165718697</v>
      </c>
      <c r="CD77" s="59">
        <f ca="1">AVERAGE(OFFSET($CC$3,0,0,'Données projet'!$E$12+1,1))-AVERAGE(OFFSET($H$3,0,0,'Données projet'!$E$12+1,1))</f>
        <v>323.91378047319455</v>
      </c>
      <c r="CE77" s="59">
        <f t="shared" si="94"/>
        <v>212.89889176380288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14.087067700136998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14.087067700136998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>
        <f>CT77*VLOOKUP('Données projet'!$B$13,Paramètres!$A$1:$I$89,3,0)*VLOOKUP('Données projet'!$B$13,Paramètres!$A$1:$I$89,5,0)</f>
        <v>0</v>
      </c>
      <c r="CV77" s="13" t="e">
        <f t="shared" si="95"/>
        <v>#NUM!</v>
      </c>
      <c r="CW77" s="20" t="e">
        <f t="shared" si="67"/>
        <v>#NUM!</v>
      </c>
      <c r="CX77" s="59" t="e">
        <f t="shared" si="68"/>
        <v>#NUM!</v>
      </c>
      <c r="CY77" s="59">
        <f ca="1">AVERAGE(OFFSET($CX$3,0,0,'Données projet'!$E$13+1,1))-AVERAGE(OFFSET($H$3,0,0,'Données projet'!$E$13+1,1))</f>
        <v>356.07880667298025</v>
      </c>
      <c r="CZ77" s="59">
        <f t="shared" si="96"/>
        <v>396.05161661639659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138.9846533347295</v>
      </c>
      <c r="DG77" s="21">
        <f>EXP(-LN(2)/25)*DG76+(1-EXP(-LN(2)/25))/(LN(2)/25)*Calculateur!DB77*Calculateur!DD77*VLOOKUP('Données projet'!$B$13,Paramètres!$A$1:$I$89,3,0)*0.475*44/12</f>
        <v>29.832739518027662</v>
      </c>
      <c r="DH77" s="21">
        <f>EXP(-LN(2)/2)*DH76+(1-EXP(-LN(2)/2))/(LN(2)/2)*DB77*DE77*VLOOKUP('Données projet'!$B$13,Paramètres!$A$1:$I$89,3,0)*0.475*44/12</f>
        <v>0.26774647133466822</v>
      </c>
      <c r="DI77" s="22">
        <f t="shared" si="69"/>
        <v>169.08513932409184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>
        <f>DO77*VLOOKUP('Données projet'!$B$14,Paramètres!$A$1:$I$89,3,0)*VLOOKUP('Données projet'!$B$14,Paramètres!$A$1:$I$89,5,0)</f>
        <v>0</v>
      </c>
      <c r="DQ77" s="13" t="e">
        <f t="shared" si="97"/>
        <v>#NUM!</v>
      </c>
      <c r="DR77" s="20" t="e">
        <f t="shared" si="70"/>
        <v>#NUM!</v>
      </c>
      <c r="DS77" s="59" t="e">
        <f t="shared" si="71"/>
        <v>#NUM!</v>
      </c>
      <c r="DT77" s="59">
        <f ca="1">AVERAGE(OFFSET($DS$3,0,0,'Données projet'!$E$14+1,1))-AVERAGE(OFFSET($H$3,0,0,'Données projet'!$E$14+1,1))</f>
        <v>246.11623544660486</v>
      </c>
      <c r="DU77" s="59">
        <f t="shared" si="98"/>
        <v>273.18950868898253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95.35600632838738</v>
      </c>
      <c r="EB77" s="21">
        <f>EXP(-LN(2)/25)*EB76+(1-EXP(-LN(2)/25))/(LN(2)/25)*Calculateur!DW77*Calculateur!DY77*VLOOKUP('Données projet'!$B$14,Paramètres!$A$1:$I$89,3,0)*0.475*44/12</f>
        <v>27.097251439272867</v>
      </c>
      <c r="EC77" s="21">
        <f>EXP(-LN(2)/2)*EC76+(1-EXP(-LN(2)/2))/(LN(2)/2)*DW77*DZ77*VLOOKUP('Données projet'!$B$14,Paramètres!$A$1:$I$89,3,0)*0.475*44/12</f>
        <v>0.25441502271195909</v>
      </c>
      <c r="ED77" s="22">
        <f t="shared" si="72"/>
        <v>122.7076727903722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5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67">
        <f t="shared" si="56"/>
        <v>183.33333333333334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>
        <f>VLOOKUP(A78,'Données projet'!$A$35:$I$55,2,0)</f>
        <v>312</v>
      </c>
      <c r="L78" s="12">
        <f>VLOOKUP(A78,'Données projet'!$A$35:$I$55,9,0)</f>
        <v>7.6</v>
      </c>
      <c r="M78" s="12">
        <f t="array" ref="M78">INDEX(L:L,MIN(IF(ISNUMBER(L78:L274),ROW(L78:L274),"")))</f>
        <v>7.6</v>
      </c>
      <c r="N78" s="13">
        <f>IF('Données projet'!$A$36&gt;35,N77+M78-V77,IF(A78&lt;'Données projet'!$A$36,$K$205^A78,IF(A78='Données projet'!$A$36,'Données projet'!$B$36,N77+M78-V77)))</f>
        <v>312</v>
      </c>
      <c r="O78" s="13">
        <f>N78*VLOOKUP('Données projet'!$B$9,Paramètres!$A$1:$I$89,3,0)*VLOOKUP('Données projet'!$B$9,Paramètres!$A$1:$I$89,5,0)</f>
        <v>316.36800000000005</v>
      </c>
      <c r="P78" s="13">
        <f t="shared" si="87"/>
        <v>74.597144109003438</v>
      </c>
      <c r="Q78" s="20">
        <f t="shared" si="54"/>
        <v>680.93095932318113</v>
      </c>
      <c r="R78" s="59">
        <f t="shared" si="55"/>
        <v>949.59254402300598</v>
      </c>
      <c r="S78" s="59">
        <f ca="1">AVERAGE(OFFSET($R$3,0,0,'Données projet'!$E$9+1,1))-AVERAGE(OFFSET($H$3,0,0,'Données projet'!$E$9+1,1))</f>
        <v>538.10210778862256</v>
      </c>
      <c r="T78" s="59">
        <f t="shared" si="88"/>
        <v>399.53300632021399</v>
      </c>
      <c r="U78" s="15">
        <f>IF(ISNA(VLOOKUP(A78,'Données projet'!$A$35:$I$55,3,0)),0,VLOOKUP(A78,'Données projet'!$A$35:$I$55,3,0))</f>
        <v>12</v>
      </c>
      <c r="V78" s="15">
        <f>IF(ISNA(VLOOKUP(A78,'Données projet'!$A$35:$I$55,4,0)),0,VLOOKUP(A78,'Données projet'!$A$35:$I$55,4,0))</f>
        <v>28</v>
      </c>
      <c r="W78" s="16">
        <f>IF(ISNA(VLOOKUP(A78,'Données projet'!$A$35:$I$55,5,0)),0%,VLOOKUP(A78,'Données projet'!$A$35:$I$55,5,0)*VLOOKUP('Données projet'!$B$9,Paramètres!$A$1:$I$89,7,0))</f>
        <v>0.215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29.331846090941752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29.331846090941752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312</v>
      </c>
      <c r="AG78" s="12">
        <f>VLOOKUP(A78,'Données projet'!$A$61:$I$81,9,0)</f>
        <v>7.6</v>
      </c>
      <c r="AH78" s="12">
        <f t="array" ref="AH78">INDEX(AG:AG,MIN(IF(ISNUMBER(AG78:AG274),ROW(AG78:AG274),"")))</f>
        <v>7.6</v>
      </c>
      <c r="AI78" s="13">
        <f>IF('Données projet'!$A$62&gt;35,AI77+AH78-AQ77,IF(A78&lt;'Données projet'!$A$62,$AF$205^A78,IF(A78='Données projet'!$A$62,'Données projet'!$B$62,AI77+AH78-AQ77)))</f>
        <v>312</v>
      </c>
      <c r="AJ78" s="13">
        <f>AI78*VLOOKUP('Données projet'!$B$10,Paramètres!$A$1:$I$89,3,0)*VLOOKUP('Données projet'!$B$10,Paramètres!$A$1:$I$89,5,0)</f>
        <v>326.10240000000005</v>
      </c>
      <c r="AK78" s="13">
        <f t="shared" si="89"/>
        <v>76.621677329562289</v>
      </c>
      <c r="AL78" s="20">
        <f t="shared" si="58"/>
        <v>701.4111013489877</v>
      </c>
      <c r="AM78" s="59">
        <f t="shared" si="59"/>
        <v>970.07268604881256</v>
      </c>
      <c r="AN78" s="59">
        <f ca="1">AVERAGE(OFFSET($AM$3,0,0,'Données projet'!$E$10+1,1))-AVERAGE(OFFSET($H$3,0,0,'Données projet'!$E$10+1,1))</f>
        <v>552.26894123675538</v>
      </c>
      <c r="AO78" s="59">
        <f t="shared" si="90"/>
        <v>409.85604950107006</v>
      </c>
      <c r="AP78" s="15">
        <f>IF(ISNA(VLOOKUP(A78,'Données projet'!$A$61:$I$81,3,0)),0,VLOOKUP(A78,'Données projet'!$A$61:$I$81,3,0))</f>
        <v>12</v>
      </c>
      <c r="AQ78" s="15">
        <f>IF(ISNA(VLOOKUP(A78,'Données projet'!$A$61:$I$81,4,0)),0,VLOOKUP(A78,'Données projet'!$A$61:$I$81,4,0))</f>
        <v>28</v>
      </c>
      <c r="AR78" s="16">
        <f>IF(ISNA(VLOOKUP(A78,'Données projet'!$A$61:$I$81,5,0)),0%,VLOOKUP(A78,'Données projet'!$A$61:$I$81,5,0)*VLOOKUP('Données projet'!$B$10,Paramètres!$A$1:$I$89,7,0))</f>
        <v>0.215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30.234364432201492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30.234364432201492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183</v>
      </c>
      <c r="BB78" s="12">
        <f>VLOOKUP(A78,'Données projet'!$A$87:$I$107,9,0)</f>
        <v>5</v>
      </c>
      <c r="BC78" s="12">
        <f t="array" ref="BC78">INDEX(BB:BB,MIN(IF(ISNUMBER(BB78:BB274),ROW(BB78:BB274),"")))</f>
        <v>5</v>
      </c>
      <c r="BD78" s="12">
        <f>IF('Données projet'!$A$88&gt;35,BD77+BC78-BL77,IF(A78&lt;'Données projet'!$A$88,$BA$205^A78,IF(A78='Données projet'!$A$88,'Données projet'!$B$88,BD77+BC78-BL77)))</f>
        <v>183</v>
      </c>
      <c r="BE78" s="13">
        <f>BD78*VLOOKUP('Données projet'!$B$11,Paramètres!$A$1:$I$89,3,0)*VLOOKUP('Données projet'!$B$11,Paramètres!$A$1:$I$89,5,0)</f>
        <v>196.9812</v>
      </c>
      <c r="BF78" s="13">
        <f t="shared" si="91"/>
        <v>49.080140741894134</v>
      </c>
      <c r="BG78" s="20">
        <f t="shared" si="61"/>
        <v>428.55683512546557</v>
      </c>
      <c r="BH78" s="59">
        <f t="shared" si="62"/>
        <v>697.21841982529031</v>
      </c>
      <c r="BI78" s="59">
        <f ca="1">AVERAGE(OFFSET($BH$3,0,0,'Données projet'!$E$11+1,1))-AVERAGE(OFFSET($H$3,0,0,'Données projet'!$E$11+1,1))</f>
        <v>361.24725625563468</v>
      </c>
      <c r="BJ78" s="59">
        <f t="shared" si="92"/>
        <v>186.0840067781198</v>
      </c>
      <c r="BK78" s="15">
        <f>IF(ISNA(VLOOKUP(A78,'Données projet'!$A$87:$I$107,3,0)),0,VLOOKUP(A78,'Données projet'!$A$87:$I$107,3,0))</f>
        <v>11</v>
      </c>
      <c r="BL78" s="15">
        <f>IF(ISNA(VLOOKUP(A78,'Données projet'!$A$87:$I$107,4,0)),0,VLOOKUP(A78,'Données projet'!$A$87:$I$107,4,0))</f>
        <v>14</v>
      </c>
      <c r="BM78" s="16">
        <f>IF(ISNA(VLOOKUP(A78,'Données projet'!$A$87:$I$107,5,0)),0%,VLOOKUP(A78,'Données projet'!$A$87:$I$107,5,0)*VLOOKUP('Données projet'!$B$11,Paramètres!$A$1:$I$89,7,0))</f>
        <v>0.215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13.950789723211756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13.950789723211756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252</v>
      </c>
      <c r="BW78" s="12">
        <f>VLOOKUP(A78,'Données projet'!$A$113:$I$133,9,0)</f>
        <v>6.2</v>
      </c>
      <c r="BX78" s="12">
        <f t="array" ref="BX78">INDEX(BW:BW,MIN(IF(ISNUMBER(BW78:BW274),ROW(BW78:BW274),"")))</f>
        <v>6.2</v>
      </c>
      <c r="BY78" s="12">
        <f>IF('Données projet'!$A$114&gt;35,BY77+BX78-CG77,IF(A78&lt;'Données projet'!$A$114,$BV$205^A78,IF(A78='Données projet'!$A$114,'Données projet'!$B$114,BY77+BX78-CG77)))</f>
        <v>251.99999999999991</v>
      </c>
      <c r="BZ78" s="13">
        <f>BY78*VLOOKUP('Données projet'!$B$12,Paramètres!$A$1:$I$89,3,0)*VLOOKUP('Données projet'!$B$12,Paramètres!$A$1:$I$89,5,0)</f>
        <v>169.04159999999993</v>
      </c>
      <c r="CA78" s="13">
        <f t="shared" si="93"/>
        <v>42.875303289962908</v>
      </c>
      <c r="CB78" s="20">
        <f t="shared" si="64"/>
        <v>369.08860656335196</v>
      </c>
      <c r="CC78" s="59">
        <f t="shared" si="65"/>
        <v>637.7501912631767</v>
      </c>
      <c r="CD78" s="59">
        <f ca="1">AVERAGE(OFFSET($CC$3,0,0,'Données projet'!$E$12+1,1))-AVERAGE(OFFSET($H$3,0,0,'Données projet'!$E$12+1,1))</f>
        <v>323.91378047319455</v>
      </c>
      <c r="CE78" s="59">
        <f t="shared" si="94"/>
        <v>212.89889176380288</v>
      </c>
      <c r="CF78" s="15">
        <f>IF(ISNA(VLOOKUP(A78,'Données projet'!$A$113:$I$133,3,0)),0,VLOOKUP(A78,'Données projet'!$A$113:$I$133,3,0))</f>
        <v>12</v>
      </c>
      <c r="CG78" s="15">
        <f>IF(ISNA(VLOOKUP(A78,'Données projet'!$A$113:$I$133,4,0)),0,VLOOKUP(A78,'Données projet'!$A$113:$I$133,4,0))</f>
        <v>21</v>
      </c>
      <c r="CH78" s="16">
        <f>IF(ISNA(VLOOKUP(A78,'Données projet'!$A$113:$I$133,5,0)),0%,VLOOKUP(A78,'Données projet'!$A$113:$I$133,5,0)*VLOOKUP('Données projet'!$B$12,Paramètres!$A$1:$I$89,7,0))</f>
        <v>0.26500000000000001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17.937552032537457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17.937552032537457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>
        <f>CT78*VLOOKUP('Données projet'!$B$13,Paramètres!$A$1:$I$89,3,0)*VLOOKUP('Données projet'!$B$13,Paramètres!$A$1:$I$89,5,0)</f>
        <v>0</v>
      </c>
      <c r="CV78" s="13" t="e">
        <f t="shared" si="95"/>
        <v>#NUM!</v>
      </c>
      <c r="CW78" s="20" t="e">
        <f t="shared" si="67"/>
        <v>#NUM!</v>
      </c>
      <c r="CX78" s="59" t="e">
        <f t="shared" si="68"/>
        <v>#NUM!</v>
      </c>
      <c r="CY78" s="59">
        <f ca="1">AVERAGE(OFFSET($CX$3,0,0,'Données projet'!$E$13+1,1))-AVERAGE(OFFSET($H$3,0,0,'Données projet'!$E$13+1,1))</f>
        <v>356.07880667298025</v>
      </c>
      <c r="CZ78" s="59">
        <f t="shared" si="96"/>
        <v>396.05161661639659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136.25924905510342</v>
      </c>
      <c r="DG78" s="21">
        <f>EXP(-LN(2)/25)*DG77+(1-EXP(-LN(2)/25))/(LN(2)/25)*Calculateur!DB78*Calculateur!DD78*VLOOKUP('Données projet'!$B$13,Paramètres!$A$1:$I$89,3,0)*0.475*44/12</f>
        <v>29.016961687071607</v>
      </c>
      <c r="DH78" s="21">
        <f>EXP(-LN(2)/2)*DH77+(1-EXP(-LN(2)/2))/(LN(2)/2)*DB78*DE78*VLOOKUP('Données projet'!$B$13,Paramètres!$A$1:$I$89,3,0)*0.475*44/12</f>
        <v>0.18932534551951347</v>
      </c>
      <c r="DI78" s="22">
        <f t="shared" si="69"/>
        <v>165.46553608769455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>
        <f>DO78*VLOOKUP('Données projet'!$B$14,Paramètres!$A$1:$I$89,3,0)*VLOOKUP('Données projet'!$B$14,Paramètres!$A$1:$I$89,5,0)</f>
        <v>0</v>
      </c>
      <c r="DQ78" s="13" t="e">
        <f t="shared" si="97"/>
        <v>#NUM!</v>
      </c>
      <c r="DR78" s="20" t="e">
        <f t="shared" si="70"/>
        <v>#NUM!</v>
      </c>
      <c r="DS78" s="59" t="e">
        <f t="shared" si="71"/>
        <v>#NUM!</v>
      </c>
      <c r="DT78" s="59">
        <f ca="1">AVERAGE(OFFSET($DS$3,0,0,'Données projet'!$E$14+1,1))-AVERAGE(OFFSET($H$3,0,0,'Données projet'!$E$14+1,1))</f>
        <v>246.11623544660486</v>
      </c>
      <c r="DU78" s="59">
        <f t="shared" si="98"/>
        <v>273.18950868898253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93.486133205708597</v>
      </c>
      <c r="EB78" s="21">
        <f>EXP(-LN(2)/25)*EB77+(1-EXP(-LN(2)/25))/(LN(2)/25)*Calculateur!DW78*Calculateur!DY78*VLOOKUP('Données projet'!$B$14,Paramètres!$A$1:$I$89,3,0)*0.475*44/12</f>
        <v>26.356275673683427</v>
      </c>
      <c r="EC78" s="21">
        <f>EXP(-LN(2)/2)*EC77+(1-EXP(-LN(2)/2))/(LN(2)/2)*DW78*DZ78*VLOOKUP('Données projet'!$B$14,Paramètres!$A$1:$I$89,3,0)*0.475*44/12</f>
        <v>0.17989858779535578</v>
      </c>
      <c r="ED78" s="22">
        <f t="shared" si="72"/>
        <v>120.02230746718737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5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67">
        <f t="shared" si="56"/>
        <v>183.33333333333334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7.2</v>
      </c>
      <c r="N79" s="13">
        <f>IF('Données projet'!$A$36&gt;35,N78+M79-V78,IF(A79&lt;'Données projet'!$A$36,$K$205^A79,IF(A79='Données projet'!$A$36,'Données projet'!$B$36,N78+M79-V78)))</f>
        <v>291.2</v>
      </c>
      <c r="O79" s="13">
        <f>N79*VLOOKUP('Données projet'!$B$9,Paramètres!$A$1:$I$89,3,0)*VLOOKUP('Données projet'!$B$9,Paramètres!$A$1:$I$89,5,0)</f>
        <v>295.27680000000004</v>
      </c>
      <c r="P79" s="13">
        <f t="shared" si="87"/>
        <v>70.185386686980493</v>
      </c>
      <c r="Q79" s="20">
        <f t="shared" si="54"/>
        <v>636.51330847982445</v>
      </c>
      <c r="R79" s="59">
        <f t="shared" si="55"/>
        <v>905.60289286067382</v>
      </c>
      <c r="S79" s="59">
        <f ca="1">AVERAGE(OFFSET($R$3,0,0,'Données projet'!$E$9+1,1))-AVERAGE(OFFSET($H$3,0,0,'Données projet'!$E$9+1,1))</f>
        <v>538.10210778862256</v>
      </c>
      <c r="T79" s="59">
        <f t="shared" si="88"/>
        <v>399.53300632021399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28.756666479757943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28.756666479757943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7.2</v>
      </c>
      <c r="AI79" s="13">
        <f>IF('Données projet'!$A$62&gt;35,AI78+AH79-AQ78,IF(A79&lt;'Données projet'!$A$62,$AF$205^A79,IF(A79='Données projet'!$A$62,'Données projet'!$B$62,AI78+AH79-AQ78)))</f>
        <v>291.2</v>
      </c>
      <c r="AJ79" s="13">
        <f>AI79*VLOOKUP('Données projet'!$B$10,Paramètres!$A$1:$I$89,3,0)*VLOOKUP('Données projet'!$B$10,Paramètres!$A$1:$I$89,5,0)</f>
        <v>304.36224000000004</v>
      </c>
      <c r="AK79" s="13">
        <f t="shared" si="89"/>
        <v>72.090186778763311</v>
      </c>
      <c r="AL79" s="20">
        <f t="shared" si="58"/>
        <v>655.6546433063462</v>
      </c>
      <c r="AM79" s="59">
        <f t="shared" si="59"/>
        <v>924.74422768719569</v>
      </c>
      <c r="AN79" s="59">
        <f ca="1">AVERAGE(OFFSET($AM$3,0,0,'Données projet'!$E$10+1,1))-AVERAGE(OFFSET($H$3,0,0,'Données projet'!$E$10+1,1))</f>
        <v>552.26894123675538</v>
      </c>
      <c r="AO79" s="59">
        <f t="shared" si="90"/>
        <v>409.85604950107006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29.641486986827413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29.641486986827413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4.5999999999999996</v>
      </c>
      <c r="BD79" s="12">
        <f>IF('Données projet'!$A$88&gt;35,BD78+BC79-BL78,IF(A79&lt;'Données projet'!$A$88,$BA$205^A79,IF(A79='Données projet'!$A$88,'Données projet'!$B$88,BD78+BC79-BL78)))</f>
        <v>173.6</v>
      </c>
      <c r="BE79" s="13">
        <f>BD79*VLOOKUP('Données projet'!$B$11,Paramètres!$A$1:$I$89,3,0)*VLOOKUP('Données projet'!$B$11,Paramètres!$A$1:$I$89,5,0)</f>
        <v>186.86303999999998</v>
      </c>
      <c r="BF79" s="13">
        <f t="shared" si="91"/>
        <v>46.845744983534466</v>
      </c>
      <c r="BG79" s="20">
        <f t="shared" si="61"/>
        <v>407.04280051298912</v>
      </c>
      <c r="BH79" s="59">
        <f t="shared" si="62"/>
        <v>676.13238489383855</v>
      </c>
      <c r="BI79" s="59">
        <f ca="1">AVERAGE(OFFSET($BH$3,0,0,'Données projet'!$E$11+1,1))-AVERAGE(OFFSET($H$3,0,0,'Données projet'!$E$11+1,1))</f>
        <v>361.24725625563468</v>
      </c>
      <c r="BJ79" s="59">
        <f t="shared" si="92"/>
        <v>186.0840067781198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13.677223245881097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13.677223245881097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6</v>
      </c>
      <c r="BY79" s="12">
        <f>IF('Données projet'!$A$114&gt;35,BY78+BX79-CG78,IF(A79&lt;'Données projet'!$A$114,$BV$205^A79,IF(A79='Données projet'!$A$114,'Données projet'!$B$114,BY78+BX79-CG78)))</f>
        <v>236.99999999999989</v>
      </c>
      <c r="BZ79" s="13">
        <f>BY79*VLOOKUP('Données projet'!$B$12,Paramètres!$A$1:$I$89,3,0)*VLOOKUP('Données projet'!$B$12,Paramètres!$A$1:$I$89,5,0)</f>
        <v>158.97959999999992</v>
      </c>
      <c r="CA79" s="13">
        <f t="shared" si="93"/>
        <v>40.6122757085909</v>
      </c>
      <c r="CB79" s="20">
        <f t="shared" si="64"/>
        <v>347.62251685912901</v>
      </c>
      <c r="CC79" s="59">
        <f t="shared" si="65"/>
        <v>616.71210123997844</v>
      </c>
      <c r="CD79" s="59">
        <f ca="1">AVERAGE(OFFSET($CC$3,0,0,'Données projet'!$E$12+1,1))-AVERAGE(OFFSET($H$3,0,0,'Données projet'!$E$12+1,1))</f>
        <v>323.91378047319455</v>
      </c>
      <c r="CE79" s="59">
        <f t="shared" si="94"/>
        <v>212.89889176380288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17.58580757800582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17.58580757800582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>
        <f>CT79*VLOOKUP('Données projet'!$B$13,Paramètres!$A$1:$I$89,3,0)*VLOOKUP('Données projet'!$B$13,Paramètres!$A$1:$I$89,5,0)</f>
        <v>0</v>
      </c>
      <c r="CV79" s="13" t="e">
        <f t="shared" si="95"/>
        <v>#NUM!</v>
      </c>
      <c r="CW79" s="20" t="e">
        <f t="shared" si="67"/>
        <v>#NUM!</v>
      </c>
      <c r="CX79" s="59" t="e">
        <f t="shared" si="68"/>
        <v>#NUM!</v>
      </c>
      <c r="CY79" s="59">
        <f ca="1">AVERAGE(OFFSET($CX$3,0,0,'Données projet'!$E$13+1,1))-AVERAGE(OFFSET($H$3,0,0,'Données projet'!$E$13+1,1))</f>
        <v>356.07880667298025</v>
      </c>
      <c r="CZ79" s="59">
        <f t="shared" si="96"/>
        <v>396.05161661639659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133.58728829106835</v>
      </c>
      <c r="DG79" s="21">
        <f>EXP(-LN(2)/25)*DG78+(1-EXP(-LN(2)/25))/(LN(2)/25)*Calculateur!DB79*Calculateur!DD79*VLOOKUP('Données projet'!$B$13,Paramètres!$A$1:$I$89,3,0)*0.475*44/12</f>
        <v>28.223491343802937</v>
      </c>
      <c r="DH79" s="21">
        <f>EXP(-LN(2)/2)*DH78+(1-EXP(-LN(2)/2))/(LN(2)/2)*DB79*DE79*VLOOKUP('Données projet'!$B$13,Paramètres!$A$1:$I$89,3,0)*0.475*44/12</f>
        <v>0.13387323566733411</v>
      </c>
      <c r="DI79" s="22">
        <f t="shared" si="69"/>
        <v>161.94465287053862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>
        <f>DO79*VLOOKUP('Données projet'!$B$14,Paramètres!$A$1:$I$89,3,0)*VLOOKUP('Données projet'!$B$14,Paramètres!$A$1:$I$89,5,0)</f>
        <v>0</v>
      </c>
      <c r="DQ79" s="13" t="e">
        <f t="shared" si="97"/>
        <v>#NUM!</v>
      </c>
      <c r="DR79" s="20" t="e">
        <f t="shared" si="70"/>
        <v>#NUM!</v>
      </c>
      <c r="DS79" s="59" t="e">
        <f t="shared" si="71"/>
        <v>#NUM!</v>
      </c>
      <c r="DT79" s="59">
        <f ca="1">AVERAGE(OFFSET($DS$3,0,0,'Données projet'!$E$14+1,1))-AVERAGE(OFFSET($H$3,0,0,'Données projet'!$E$14+1,1))</f>
        <v>246.11623544660486</v>
      </c>
      <c r="DU79" s="59">
        <f t="shared" si="98"/>
        <v>273.18950868898253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91.652927154455554</v>
      </c>
      <c r="EB79" s="21">
        <f>EXP(-LN(2)/25)*EB78+(1-EXP(-LN(2)/25))/(LN(2)/25)*Calculateur!DW79*Calculateur!DY79*VLOOKUP('Données projet'!$B$14,Paramètres!$A$1:$I$89,3,0)*0.475*44/12</f>
        <v>25.635561929370255</v>
      </c>
      <c r="EC79" s="21">
        <f>EXP(-LN(2)/2)*EC78+(1-EXP(-LN(2)/2))/(LN(2)/2)*DW79*DZ79*VLOOKUP('Données projet'!$B$14,Paramètres!$A$1:$I$89,3,0)*0.475*44/12</f>
        <v>0.12720751135597955</v>
      </c>
      <c r="ED79" s="22">
        <f t="shared" si="72"/>
        <v>117.41569659518179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5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67">
        <f t="shared" si="56"/>
        <v>183.33333333333334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7.2</v>
      </c>
      <c r="N80" s="13">
        <f>IF('Données projet'!$A$36&gt;35,N79+M80-V79,IF(A80&lt;'Données projet'!$A$36,$K$205^A80,IF(A80='Données projet'!$A$36,'Données projet'!$B$36,N79+M80-V79)))</f>
        <v>298.39999999999998</v>
      </c>
      <c r="O80" s="13">
        <f>N80*VLOOKUP('Données projet'!$B$9,Paramètres!$A$1:$I$89,3,0)*VLOOKUP('Données projet'!$B$9,Paramètres!$A$1:$I$89,5,0)</f>
        <v>302.57759999999996</v>
      </c>
      <c r="P80" s="13">
        <f t="shared" si="87"/>
        <v>71.716558091076294</v>
      </c>
      <c r="Q80" s="20">
        <f t="shared" si="54"/>
        <v>651.89565867529109</v>
      </c>
      <c r="R80" s="59">
        <f t="shared" si="55"/>
        <v>921.40581789956332</v>
      </c>
      <c r="S80" s="59">
        <f ca="1">AVERAGE(OFFSET($R$3,0,0,'Données projet'!$E$9+1,1))-AVERAGE(OFFSET($H$3,0,0,'Données projet'!$E$9+1,1))</f>
        <v>538.10210778862256</v>
      </c>
      <c r="T80" s="59">
        <f t="shared" si="88"/>
        <v>399.53300632021399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28.192765789924529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28.192765789924529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7.2</v>
      </c>
      <c r="AI80" s="13">
        <f>IF('Données projet'!$A$62&gt;35,AI79+AH80-AQ79,IF(A80&lt;'Données projet'!$A$62,$AF$205^A80,IF(A80='Données projet'!$A$62,'Données projet'!$B$62,AI79+AH80-AQ79)))</f>
        <v>298.39999999999998</v>
      </c>
      <c r="AJ80" s="13">
        <f>AI80*VLOOKUP('Données projet'!$B$10,Paramètres!$A$1:$I$89,3,0)*VLOOKUP('Données projet'!$B$10,Paramètres!$A$1:$I$89,5,0)</f>
        <v>311.88767999999999</v>
      </c>
      <c r="AK80" s="13">
        <f t="shared" si="89"/>
        <v>73.662913491858973</v>
      </c>
      <c r="AL80" s="20">
        <f t="shared" si="58"/>
        <v>671.50061699832099</v>
      </c>
      <c r="AM80" s="59">
        <f t="shared" si="59"/>
        <v>941.01077622259322</v>
      </c>
      <c r="AN80" s="59">
        <f ca="1">AVERAGE(OFFSET($AM$3,0,0,'Données projet'!$E$10+1,1))-AVERAGE(OFFSET($H$3,0,0,'Données projet'!$E$10+1,1))</f>
        <v>552.26894123675538</v>
      </c>
      <c r="AO80" s="59">
        <f t="shared" si="90"/>
        <v>409.85604950107006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29.060235506537584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29.060235506537584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4.5999999999999996</v>
      </c>
      <c r="BD80" s="12">
        <f>IF('Données projet'!$A$88&gt;35,BD79+BC80-BL79,IF(A80&lt;'Données projet'!$A$88,$BA$205^A80,IF(A80='Données projet'!$A$88,'Données projet'!$B$88,BD79+BC80-BL79)))</f>
        <v>178.2</v>
      </c>
      <c r="BE80" s="13">
        <f>BD80*VLOOKUP('Données projet'!$B$11,Paramètres!$A$1:$I$89,3,0)*VLOOKUP('Données projet'!$B$11,Paramètres!$A$1:$I$89,5,0)</f>
        <v>191.81447999999997</v>
      </c>
      <c r="BF80" s="13">
        <f t="shared" si="91"/>
        <v>47.940886441320977</v>
      </c>
      <c r="BG80" s="20">
        <f t="shared" si="61"/>
        <v>417.57392988530063</v>
      </c>
      <c r="BH80" s="59">
        <f t="shared" si="62"/>
        <v>687.08408910957291</v>
      </c>
      <c r="BI80" s="59">
        <f ca="1">AVERAGE(OFFSET($BH$3,0,0,'Données projet'!$E$11+1,1))-AVERAGE(OFFSET($H$3,0,0,'Données projet'!$E$11+1,1))</f>
        <v>361.24725625563468</v>
      </c>
      <c r="BJ80" s="59">
        <f t="shared" si="92"/>
        <v>186.0840067781198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13.409021240311816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13.409021240311816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6</v>
      </c>
      <c r="BY80" s="12">
        <f>IF('Données projet'!$A$114&gt;35,BY79+BX80-CG79,IF(A80&lt;'Données projet'!$A$114,$BV$205^A80,IF(A80='Données projet'!$A$114,'Données projet'!$B$114,BY79+BX80-CG79)))</f>
        <v>242.99999999999989</v>
      </c>
      <c r="BZ80" s="13">
        <f>BY80*VLOOKUP('Données projet'!$B$12,Paramètres!$A$1:$I$89,3,0)*VLOOKUP('Données projet'!$B$12,Paramètres!$A$1:$I$89,5,0)</f>
        <v>163.00439999999992</v>
      </c>
      <c r="CA80" s="13">
        <f t="shared" si="93"/>
        <v>41.519430766049126</v>
      </c>
      <c r="CB80" s="20">
        <f t="shared" si="64"/>
        <v>356.21233858420209</v>
      </c>
      <c r="CC80" s="59">
        <f t="shared" si="65"/>
        <v>625.72249780847437</v>
      </c>
      <c r="CD80" s="59">
        <f ca="1">AVERAGE(OFFSET($CC$3,0,0,'Données projet'!$E$12+1,1))-AVERAGE(OFFSET($H$3,0,0,'Données projet'!$E$12+1,1))</f>
        <v>323.91378047319455</v>
      </c>
      <c r="CE80" s="59">
        <f t="shared" si="94"/>
        <v>212.89889176380288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17.240960617684618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17.240960617684618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>
        <f>CT80*VLOOKUP('Données projet'!$B$13,Paramètres!$A$1:$I$89,3,0)*VLOOKUP('Données projet'!$B$13,Paramètres!$A$1:$I$89,5,0)</f>
        <v>0</v>
      </c>
      <c r="CV80" s="13" t="e">
        <f t="shared" si="95"/>
        <v>#NUM!</v>
      </c>
      <c r="CW80" s="20" t="e">
        <f t="shared" si="67"/>
        <v>#NUM!</v>
      </c>
      <c r="CX80" s="59" t="e">
        <f t="shared" si="68"/>
        <v>#NUM!</v>
      </c>
      <c r="CY80" s="59">
        <f ca="1">AVERAGE(OFFSET($CX$3,0,0,'Données projet'!$E$13+1,1))-AVERAGE(OFFSET($H$3,0,0,'Données projet'!$E$13+1,1))</f>
        <v>356.07880667298025</v>
      </c>
      <c r="CZ80" s="59">
        <f t="shared" si="96"/>
        <v>396.05161661639659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130.96772304788087</v>
      </c>
      <c r="DG80" s="21">
        <f>EXP(-LN(2)/25)*DG79+(1-EXP(-LN(2)/25))/(LN(2)/25)*Calculateur!DB80*Calculateur!DD80*VLOOKUP('Données projet'!$B$13,Paramètres!$A$1:$I$89,3,0)*0.475*44/12</f>
        <v>27.451718488797741</v>
      </c>
      <c r="DH80" s="21">
        <f>EXP(-LN(2)/2)*DH79+(1-EXP(-LN(2)/2))/(LN(2)/2)*DB80*DE80*VLOOKUP('Données projet'!$B$13,Paramètres!$A$1:$I$89,3,0)*0.475*44/12</f>
        <v>9.4662672759756733E-2</v>
      </c>
      <c r="DI80" s="22">
        <f t="shared" si="69"/>
        <v>158.51410420943839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>
        <f>DO80*VLOOKUP('Données projet'!$B$14,Paramètres!$A$1:$I$89,3,0)*VLOOKUP('Données projet'!$B$14,Paramètres!$A$1:$I$89,5,0)</f>
        <v>0</v>
      </c>
      <c r="DQ80" s="13" t="e">
        <f t="shared" si="97"/>
        <v>#NUM!</v>
      </c>
      <c r="DR80" s="20" t="e">
        <f t="shared" si="70"/>
        <v>#NUM!</v>
      </c>
      <c r="DS80" s="59" t="e">
        <f t="shared" si="71"/>
        <v>#NUM!</v>
      </c>
      <c r="DT80" s="59">
        <f ca="1">AVERAGE(OFFSET($DS$3,0,0,'Données projet'!$E$14+1,1))-AVERAGE(OFFSET($H$3,0,0,'Données projet'!$E$14+1,1))</f>
        <v>246.11623544660486</v>
      </c>
      <c r="DU80" s="59">
        <f t="shared" si="98"/>
        <v>273.18950868898253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89.85566915572231</v>
      </c>
      <c r="EB80" s="21">
        <f>EXP(-LN(2)/25)*EB79+(1-EXP(-LN(2)/25))/(LN(2)/25)*Calculateur!DW80*Calculateur!DY80*VLOOKUP('Données projet'!$B$14,Paramètres!$A$1:$I$89,3,0)*0.475*44/12</f>
        <v>24.934556140296014</v>
      </c>
      <c r="EC80" s="21">
        <f>EXP(-LN(2)/2)*EC79+(1-EXP(-LN(2)/2))/(LN(2)/2)*DW80*DZ80*VLOOKUP('Données projet'!$B$14,Paramètres!$A$1:$I$89,3,0)*0.475*44/12</f>
        <v>8.994929389767789E-2</v>
      </c>
      <c r="ED80" s="22">
        <f t="shared" si="72"/>
        <v>114.880174589916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5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67">
        <f t="shared" si="56"/>
        <v>183.33333333333334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7.2</v>
      </c>
      <c r="N81" s="13">
        <f>IF('Données projet'!$A$36&gt;35,N80+M81-V80,IF(A81&lt;'Données projet'!$A$36,$K$205^A81,IF(A81='Données projet'!$A$36,'Données projet'!$B$36,N80+M81-V80)))</f>
        <v>305.59999999999997</v>
      </c>
      <c r="O81" s="13">
        <f>N81*VLOOKUP('Données projet'!$B$9,Paramètres!$A$1:$I$89,3,0)*VLOOKUP('Données projet'!$B$9,Paramètres!$A$1:$I$89,5,0)</f>
        <v>309.8784</v>
      </c>
      <c r="P81" s="13">
        <f t="shared" si="87"/>
        <v>73.243434672131556</v>
      </c>
      <c r="Q81" s="20">
        <f t="shared" si="54"/>
        <v>667.27052872062904</v>
      </c>
      <c r="R81" s="59">
        <f t="shared" si="55"/>
        <v>937.19396675505527</v>
      </c>
      <c r="S81" s="59">
        <f ca="1">AVERAGE(OFFSET($R$3,0,0,'Données projet'!$E$9+1,1))-AVERAGE(OFFSET($H$3,0,0,'Données projet'!$E$9+1,1))</f>
        <v>538.10210778862256</v>
      </c>
      <c r="T81" s="59">
        <f t="shared" si="88"/>
        <v>399.53300632021399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27.639922848673287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27.639922848673287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7.2</v>
      </c>
      <c r="AI81" s="13">
        <f>IF('Données projet'!$A$62&gt;35,AI80+AH81-AQ80,IF(A81&lt;'Données projet'!$A$62,$AF$205^A81,IF(A81='Données projet'!$A$62,'Données projet'!$B$62,AI80+AH81-AQ80)))</f>
        <v>305.59999999999997</v>
      </c>
      <c r="AJ81" s="13">
        <f>AI81*VLOOKUP('Données projet'!$B$10,Paramètres!$A$1:$I$89,3,0)*VLOOKUP('Données projet'!$B$10,Paramètres!$A$1:$I$89,5,0)</f>
        <v>319.41311999999999</v>
      </c>
      <c r="AK81" s="13">
        <f t="shared" si="89"/>
        <v>75.231228822332341</v>
      </c>
      <c r="AL81" s="20">
        <f t="shared" si="58"/>
        <v>687.33890753222886</v>
      </c>
      <c r="AM81" s="59">
        <f t="shared" si="59"/>
        <v>957.26234556665509</v>
      </c>
      <c r="AN81" s="59">
        <f ca="1">AVERAGE(OFFSET($AM$3,0,0,'Données projet'!$E$10+1,1))-AVERAGE(OFFSET($H$3,0,0,'Données projet'!$E$10+1,1))</f>
        <v>552.26894123675538</v>
      </c>
      <c r="AO81" s="59">
        <f t="shared" si="90"/>
        <v>409.85604950107006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28.490382013247842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28.490382013247842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4.5999999999999996</v>
      </c>
      <c r="BD81" s="12">
        <f>IF('Données projet'!$A$88&gt;35,BD80+BC81-BL80,IF(A81&lt;'Données projet'!$A$88,$BA$205^A81,IF(A81='Données projet'!$A$88,'Données projet'!$B$88,BD80+BC81-BL80)))</f>
        <v>182.79999999999998</v>
      </c>
      <c r="BE81" s="13">
        <f>BD81*VLOOKUP('Données projet'!$B$11,Paramètres!$A$1:$I$89,3,0)*VLOOKUP('Données projet'!$B$11,Paramètres!$A$1:$I$89,5,0)</f>
        <v>196.76591999999997</v>
      </c>
      <c r="BF81" s="13">
        <f t="shared" si="91"/>
        <v>49.03274186547759</v>
      </c>
      <c r="BG81" s="20">
        <f t="shared" si="61"/>
        <v>428.09933608237338</v>
      </c>
      <c r="BH81" s="59">
        <f t="shared" si="62"/>
        <v>698.02277411679961</v>
      </c>
      <c r="BI81" s="59">
        <f ca="1">AVERAGE(OFFSET($BH$3,0,0,'Données projet'!$E$11+1,1))-AVERAGE(OFFSET($H$3,0,0,'Données projet'!$E$11+1,1))</f>
        <v>361.24725625563468</v>
      </c>
      <c r="BJ81" s="59">
        <f t="shared" si="92"/>
        <v>186.0840067781198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13.146078512484678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13.146078512484678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6</v>
      </c>
      <c r="BY81" s="12">
        <f>IF('Données projet'!$A$114&gt;35,BY80+BX81-CG80,IF(A81&lt;'Données projet'!$A$114,$BV$205^A81,IF(A81='Données projet'!$A$114,'Données projet'!$B$114,BY80+BX81-CG80)))</f>
        <v>248.99999999999989</v>
      </c>
      <c r="BZ81" s="13">
        <f>BY81*VLOOKUP('Données projet'!$B$12,Paramètres!$A$1:$I$89,3,0)*VLOOKUP('Données projet'!$B$12,Paramètres!$A$1:$I$89,5,0)</f>
        <v>167.02919999999992</v>
      </c>
      <c r="CA81" s="13">
        <f t="shared" si="93"/>
        <v>42.423982056168619</v>
      </c>
      <c r="CB81" s="20">
        <f t="shared" si="64"/>
        <v>364.7976254144935</v>
      </c>
      <c r="CC81" s="59">
        <f t="shared" si="65"/>
        <v>634.72106344891972</v>
      </c>
      <c r="CD81" s="59">
        <f ca="1">AVERAGE(OFFSET($CC$3,0,0,'Données projet'!$E$12+1,1))-AVERAGE(OFFSET($H$3,0,0,'Données projet'!$E$12+1,1))</f>
        <v>323.91378047319455</v>
      </c>
      <c r="CE81" s="59">
        <f t="shared" si="94"/>
        <v>212.89889176380288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16.902875895919436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16.902875895919436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>
        <f>CT81*VLOOKUP('Données projet'!$B$13,Paramètres!$A$1:$I$89,3,0)*VLOOKUP('Données projet'!$B$13,Paramètres!$A$1:$I$89,5,0)</f>
        <v>0</v>
      </c>
      <c r="CV81" s="13" t="e">
        <f t="shared" si="95"/>
        <v>#NUM!</v>
      </c>
      <c r="CW81" s="20" t="e">
        <f t="shared" si="67"/>
        <v>#NUM!</v>
      </c>
      <c r="CX81" s="59" t="e">
        <f t="shared" si="68"/>
        <v>#NUM!</v>
      </c>
      <c r="CY81" s="59">
        <f ca="1">AVERAGE(OFFSET($CX$3,0,0,'Données projet'!$E$13+1,1))-AVERAGE(OFFSET($H$3,0,0,'Données projet'!$E$13+1,1))</f>
        <v>356.07880667298025</v>
      </c>
      <c r="CZ81" s="59">
        <f t="shared" si="96"/>
        <v>396.05161661639659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128.39952588133525</v>
      </c>
      <c r="DG81" s="21">
        <f>EXP(-LN(2)/25)*DG80+(1-EXP(-LN(2)/25))/(LN(2)/25)*Calculateur!DB81*Calculateur!DD81*VLOOKUP('Données projet'!$B$13,Paramètres!$A$1:$I$89,3,0)*0.475*44/12</f>
        <v>26.701049803098435</v>
      </c>
      <c r="DH81" s="21">
        <f>EXP(-LN(2)/2)*DH80+(1-EXP(-LN(2)/2))/(LN(2)/2)*DB81*DE81*VLOOKUP('Données projet'!$B$13,Paramètres!$A$1:$I$89,3,0)*0.475*44/12</f>
        <v>6.6936617833667056E-2</v>
      </c>
      <c r="DI81" s="22">
        <f t="shared" si="69"/>
        <v>155.16751230226737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>
        <f>DO81*VLOOKUP('Données projet'!$B$14,Paramètres!$A$1:$I$89,3,0)*VLOOKUP('Données projet'!$B$14,Paramètres!$A$1:$I$89,5,0)</f>
        <v>0</v>
      </c>
      <c r="DQ81" s="13" t="e">
        <f t="shared" si="97"/>
        <v>#NUM!</v>
      </c>
      <c r="DR81" s="20" t="e">
        <f t="shared" si="70"/>
        <v>#NUM!</v>
      </c>
      <c r="DS81" s="59" t="e">
        <f t="shared" si="71"/>
        <v>#NUM!</v>
      </c>
      <c r="DT81" s="59">
        <f ca="1">AVERAGE(OFFSET($DS$3,0,0,'Données projet'!$E$14+1,1))-AVERAGE(OFFSET($H$3,0,0,'Données projet'!$E$14+1,1))</f>
        <v>246.11623544660486</v>
      </c>
      <c r="DU81" s="59">
        <f t="shared" si="98"/>
        <v>273.18950868898253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88.093654290125087</v>
      </c>
      <c r="EB81" s="21">
        <f>EXP(-LN(2)/25)*EB80+(1-EXP(-LN(2)/25))/(LN(2)/25)*Calculateur!DW81*Calculateur!DY81*VLOOKUP('Données projet'!$B$14,Paramètres!$A$1:$I$89,3,0)*0.475*44/12</f>
        <v>24.2527193913883</v>
      </c>
      <c r="EC81" s="21">
        <f>EXP(-LN(2)/2)*EC80+(1-EXP(-LN(2)/2))/(LN(2)/2)*DW81*DZ81*VLOOKUP('Données projet'!$B$14,Paramètres!$A$1:$I$89,3,0)*0.475*44/12</f>
        <v>6.3603755677989773E-2</v>
      </c>
      <c r="ED81" s="22">
        <f t="shared" si="72"/>
        <v>112.40997743719137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5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67">
        <f t="shared" si="56"/>
        <v>183.33333333333334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7.2</v>
      </c>
      <c r="N82" s="13">
        <f>IF('Données projet'!$A$36&gt;35,N81+M82-V81,IF(A82&lt;'Données projet'!$A$36,$K$205^A82,IF(A82='Données projet'!$A$36,'Données projet'!$B$36,N81+M82-V81)))</f>
        <v>312.79999999999995</v>
      </c>
      <c r="O82" s="13">
        <f>N82*VLOOKUP('Données projet'!$B$9,Paramètres!$A$1:$I$89,3,0)*VLOOKUP('Données projet'!$B$9,Paramètres!$A$1:$I$89,5,0)</f>
        <v>317.17919999999998</v>
      </c>
      <c r="P82" s="13">
        <f t="shared" si="87"/>
        <v>74.766129261581426</v>
      </c>
      <c r="Q82" s="20">
        <f t="shared" si="54"/>
        <v>682.63811513058749</v>
      </c>
      <c r="R82" s="59">
        <f t="shared" si="55"/>
        <v>952.9676625117645</v>
      </c>
      <c r="S82" s="59">
        <f ca="1">AVERAGE(OFFSET($R$3,0,0,'Données projet'!$E$9+1,1))-AVERAGE(OFFSET($H$3,0,0,'Données projet'!$E$9+1,1))</f>
        <v>538.10210778862256</v>
      </c>
      <c r="T82" s="59">
        <f t="shared" si="88"/>
        <v>399.53300632021399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27.097920820299084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27.097920820299084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7.2</v>
      </c>
      <c r="AI82" s="13">
        <f>IF('Données projet'!$A$62&gt;35,AI81+AH82-AQ81,IF(A82&lt;'Données projet'!$A$62,$AF$205^A82,IF(A82='Données projet'!$A$62,'Données projet'!$B$62,AI81+AH82-AQ81)))</f>
        <v>312.79999999999995</v>
      </c>
      <c r="AJ82" s="13">
        <f>AI82*VLOOKUP('Données projet'!$B$10,Paramètres!$A$1:$I$89,3,0)*VLOOKUP('Données projet'!$B$10,Paramètres!$A$1:$I$89,5,0)</f>
        <v>326.93856</v>
      </c>
      <c r="AK82" s="13">
        <f t="shared" si="89"/>
        <v>76.795248663813325</v>
      </c>
      <c r="AL82" s="20">
        <f t="shared" si="58"/>
        <v>703.1697167561415</v>
      </c>
      <c r="AM82" s="59">
        <f t="shared" si="59"/>
        <v>973.49926413731851</v>
      </c>
      <c r="AN82" s="59">
        <f ca="1">AVERAGE(OFFSET($AM$3,0,0,'Données projet'!$E$10+1,1))-AVERAGE(OFFSET($H$3,0,0,'Données projet'!$E$10+1,1))</f>
        <v>552.26894123675538</v>
      </c>
      <c r="AO82" s="59">
        <f t="shared" si="90"/>
        <v>409.85604950107006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27.931702999385202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27.931702999385202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4.5999999999999996</v>
      </c>
      <c r="BD82" s="12">
        <f>IF('Données projet'!$A$88&gt;35,BD81+BC82-BL81,IF(A82&lt;'Données projet'!$A$88,$BA$205^A82,IF(A82='Données projet'!$A$88,'Données projet'!$B$88,BD81+BC82-BL81)))</f>
        <v>187.39999999999998</v>
      </c>
      <c r="BE82" s="13">
        <f>BD82*VLOOKUP('Données projet'!$B$11,Paramètres!$A$1:$I$89,3,0)*VLOOKUP('Données projet'!$B$11,Paramètres!$A$1:$I$89,5,0)</f>
        <v>201.71735999999999</v>
      </c>
      <c r="BF82" s="13">
        <f t="shared" si="91"/>
        <v>50.121403455877136</v>
      </c>
      <c r="BG82" s="20">
        <f t="shared" si="61"/>
        <v>438.61917968565263</v>
      </c>
      <c r="BH82" s="59">
        <f t="shared" si="62"/>
        <v>708.94872706682963</v>
      </c>
      <c r="BI82" s="59">
        <f ca="1">AVERAGE(OFFSET($BH$3,0,0,'Données projet'!$E$11+1,1))-AVERAGE(OFFSET($H$3,0,0,'Données projet'!$E$11+1,1))</f>
        <v>361.24725625563468</v>
      </c>
      <c r="BJ82" s="59">
        <f t="shared" si="92"/>
        <v>186.0840067781198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12.888291931171002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12.888291931171002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6</v>
      </c>
      <c r="BY82" s="12">
        <f>IF('Données projet'!$A$114&gt;35,BY81+BX82-CG81,IF(A82&lt;'Données projet'!$A$114,$BV$205^A82,IF(A82='Données projet'!$A$114,'Données projet'!$B$114,BY81+BX82-CG81)))</f>
        <v>254.99999999999989</v>
      </c>
      <c r="BZ82" s="13">
        <f>BY82*VLOOKUP('Données projet'!$B$12,Paramètres!$A$1:$I$89,3,0)*VLOOKUP('Données projet'!$B$12,Paramètres!$A$1:$I$89,5,0)</f>
        <v>171.05399999999992</v>
      </c>
      <c r="CA82" s="13">
        <f t="shared" si="93"/>
        <v>43.325999538979005</v>
      </c>
      <c r="CB82" s="20">
        <f t="shared" si="64"/>
        <v>373.37849919705491</v>
      </c>
      <c r="CC82" s="59">
        <f t="shared" si="65"/>
        <v>643.70804657823192</v>
      </c>
      <c r="CD82" s="59">
        <f ca="1">AVERAGE(OFFSET($CC$3,0,0,'Données projet'!$E$12+1,1))-AVERAGE(OFFSET($H$3,0,0,'Données projet'!$E$12+1,1))</f>
        <v>323.91378047319455</v>
      </c>
      <c r="CE82" s="59">
        <f t="shared" si="94"/>
        <v>212.89889176380288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16.57142080933675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16.57142080933675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>
        <f>CT82*VLOOKUP('Données projet'!$B$13,Paramètres!$A$1:$I$89,3,0)*VLOOKUP('Données projet'!$B$13,Paramètres!$A$1:$I$89,5,0)</f>
        <v>0</v>
      </c>
      <c r="CV82" s="13" t="e">
        <f t="shared" si="95"/>
        <v>#NUM!</v>
      </c>
      <c r="CW82" s="20" t="e">
        <f t="shared" si="67"/>
        <v>#NUM!</v>
      </c>
      <c r="CX82" s="59" t="e">
        <f t="shared" si="68"/>
        <v>#NUM!</v>
      </c>
      <c r="CY82" s="59">
        <f ca="1">AVERAGE(OFFSET($CX$3,0,0,'Données projet'!$E$13+1,1))-AVERAGE(OFFSET($H$3,0,0,'Données projet'!$E$13+1,1))</f>
        <v>356.07880667298025</v>
      </c>
      <c r="CZ82" s="59">
        <f t="shared" si="96"/>
        <v>396.05161661639659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125.88168949477999</v>
      </c>
      <c r="DG82" s="21">
        <f>EXP(-LN(2)/25)*DG81+(1-EXP(-LN(2)/25))/(LN(2)/25)*Calculateur!DB82*Calculateur!DD82*VLOOKUP('Données projet'!$B$13,Paramètres!$A$1:$I$89,3,0)*0.475*44/12</f>
        <v>25.970908192085524</v>
      </c>
      <c r="DH82" s="21">
        <f>EXP(-LN(2)/2)*DH81+(1-EXP(-LN(2)/2))/(LN(2)/2)*DB82*DE82*VLOOKUP('Données projet'!$B$13,Paramètres!$A$1:$I$89,3,0)*0.475*44/12</f>
        <v>4.7331336379878367E-2</v>
      </c>
      <c r="DI82" s="22">
        <f t="shared" si="69"/>
        <v>151.89992902324539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>
        <f>DO82*VLOOKUP('Données projet'!$B$14,Paramètres!$A$1:$I$89,3,0)*VLOOKUP('Données projet'!$B$14,Paramètres!$A$1:$I$89,5,0)</f>
        <v>0</v>
      </c>
      <c r="DQ82" s="13" t="e">
        <f t="shared" si="97"/>
        <v>#NUM!</v>
      </c>
      <c r="DR82" s="20" t="e">
        <f t="shared" si="70"/>
        <v>#NUM!</v>
      </c>
      <c r="DS82" s="59" t="e">
        <f t="shared" si="71"/>
        <v>#NUM!</v>
      </c>
      <c r="DT82" s="59">
        <f ca="1">AVERAGE(OFFSET($DS$3,0,0,'Données projet'!$E$14+1,1))-AVERAGE(OFFSET($H$3,0,0,'Données projet'!$E$14+1,1))</f>
        <v>246.11623544660486</v>
      </c>
      <c r="DU82" s="59">
        <f t="shared" si="98"/>
        <v>273.18950868898253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86.366191461319275</v>
      </c>
      <c r="EB82" s="21">
        <f>EXP(-LN(2)/25)*EB81+(1-EXP(-LN(2)/25))/(LN(2)/25)*Calculateur!DW82*Calculateur!DY82*VLOOKUP('Données projet'!$B$14,Paramètres!$A$1:$I$89,3,0)*0.475*44/12</f>
        <v>23.589527504235704</v>
      </c>
      <c r="EC82" s="21">
        <f>EXP(-LN(2)/2)*EC81+(1-EXP(-LN(2)/2))/(LN(2)/2)*DW82*DZ82*VLOOKUP('Données projet'!$B$14,Paramètres!$A$1:$I$89,3,0)*0.475*44/12</f>
        <v>4.4974646948838945E-2</v>
      </c>
      <c r="ED82" s="22">
        <f t="shared" si="72"/>
        <v>110.00069361250382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5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67">
        <f t="shared" si="56"/>
        <v>183.33333333333334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320</v>
      </c>
      <c r="L83" s="12">
        <f>VLOOKUP(A83,'Données projet'!$A$35:$I$55,9,0)</f>
        <v>7.2</v>
      </c>
      <c r="M83" s="12">
        <f t="array" ref="M83">INDEX(L:L,MIN(IF(ISNUMBER(L83:L279),ROW(L83:L279),"")))</f>
        <v>7.2</v>
      </c>
      <c r="N83" s="13">
        <f>IF('Données projet'!$A$36&gt;35,N82+M83-V82,IF(A83&lt;'Données projet'!$A$36,$K$205^A83,IF(A83='Données projet'!$A$36,'Données projet'!$B$36,N82+M83-V82)))</f>
        <v>319.99999999999994</v>
      </c>
      <c r="O83" s="13">
        <f>N83*VLOOKUP('Données projet'!$B$9,Paramètres!$A$1:$I$89,3,0)*VLOOKUP('Données projet'!$B$9,Paramètres!$A$1:$I$89,5,0)</f>
        <v>324.47999999999996</v>
      </c>
      <c r="P83" s="13">
        <f t="shared" si="87"/>
        <v>76.284749200165507</v>
      </c>
      <c r="Q83" s="20">
        <f t="shared" si="54"/>
        <v>697.99860485695478</v>
      </c>
      <c r="R83" s="59">
        <f t="shared" si="55"/>
        <v>968.72721649564096</v>
      </c>
      <c r="S83" s="59">
        <f ca="1">AVERAGE(OFFSET($R$3,0,0,'Données projet'!$E$9+1,1))-AVERAGE(OFFSET($H$3,0,0,'Données projet'!$E$9+1,1))</f>
        <v>538.10210778862256</v>
      </c>
      <c r="T83" s="59">
        <f t="shared" si="88"/>
        <v>399.53300632021399</v>
      </c>
      <c r="U83" s="15">
        <f>IF(ISNA(VLOOKUP(A83,'Données projet'!$A$35:$I$55,3,0)),0,VLOOKUP(A83,'Données projet'!$A$35:$I$55,3,0))</f>
        <v>13</v>
      </c>
      <c r="V83" s="15">
        <f>IF(ISNA(VLOOKUP(A83,'Données projet'!$A$35:$I$55,4,0)),0,VLOOKUP(A83,'Données projet'!$A$35:$I$55,4,0))</f>
        <v>28</v>
      </c>
      <c r="W83" s="16">
        <f>IF(ISNA(VLOOKUP(A83,'Données projet'!$A$35:$I$55,5,0)),0%,VLOOKUP(A83,'Données projet'!$A$35:$I$55,5,0)*VLOOKUP('Données projet'!$B$9,Paramètres!$A$1:$I$89,7,0))</f>
        <v>0.25800000000000001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34.664267995163186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34.664267995163186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320</v>
      </c>
      <c r="AG83" s="12">
        <f>VLOOKUP(A83,'Données projet'!$A$61:$I$81,9,0)</f>
        <v>7.2</v>
      </c>
      <c r="AH83" s="12">
        <f t="array" ref="AH83">INDEX(AG:AG,MIN(IF(ISNUMBER(AG83:AG279),ROW(AG83:AG279),"")))</f>
        <v>7.2</v>
      </c>
      <c r="AI83" s="13">
        <f>IF('Données projet'!$A$62&gt;35,AI82+AH83-AQ82,IF(A83&lt;'Données projet'!$A$62,$AF$205^A83,IF(A83='Données projet'!$A$62,'Données projet'!$B$62,AI82+AH83-AQ82)))</f>
        <v>319.99999999999994</v>
      </c>
      <c r="AJ83" s="13">
        <f>AI83*VLOOKUP('Données projet'!$B$10,Paramètres!$A$1:$I$89,3,0)*VLOOKUP('Données projet'!$B$10,Paramètres!$A$1:$I$89,5,0)</f>
        <v>334.464</v>
      </c>
      <c r="AK83" s="13">
        <f t="shared" si="89"/>
        <v>78.355083270221414</v>
      </c>
      <c r="AL83" s="20">
        <f t="shared" si="58"/>
        <v>718.99323669563557</v>
      </c>
      <c r="AM83" s="59">
        <f t="shared" si="59"/>
        <v>989.72184833432175</v>
      </c>
      <c r="AN83" s="59">
        <f ca="1">AVERAGE(OFFSET($AM$3,0,0,'Données projet'!$E$10+1,1))-AVERAGE(OFFSET($H$3,0,0,'Données projet'!$E$10+1,1))</f>
        <v>552.26894123675538</v>
      </c>
      <c r="AO83" s="59">
        <f t="shared" si="90"/>
        <v>409.85604950107006</v>
      </c>
      <c r="AP83" s="15">
        <f>IF(ISNA(VLOOKUP(A83,'Données projet'!$A$61:$I$81,3,0)),0,VLOOKUP(A83,'Données projet'!$A$61:$I$81,3,0))</f>
        <v>13</v>
      </c>
      <c r="AQ83" s="15">
        <f>IF(ISNA(VLOOKUP(A83,'Données projet'!$A$61:$I$81,4,0)),0,VLOOKUP(A83,'Données projet'!$A$61:$I$81,4,0))</f>
        <v>28</v>
      </c>
      <c r="AR83" s="16">
        <f>IF(ISNA(VLOOKUP(A83,'Données projet'!$A$61:$I$81,5,0)),0%,VLOOKUP(A83,'Données projet'!$A$61:$I$81,5,0)*VLOOKUP('Données projet'!$B$10,Paramètres!$A$1:$I$89,7,0))</f>
        <v>0.25800000000000001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35.730860856552809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35.730860856552809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192</v>
      </c>
      <c r="BB83" s="12">
        <f>VLOOKUP(A83,'Données projet'!$A$87:$I$107,9,0)</f>
        <v>4.5999999999999996</v>
      </c>
      <c r="BC83" s="12">
        <f t="array" ref="BC83">INDEX(BB:BB,MIN(IF(ISNUMBER(BB83:BB279),ROW(BB83:BB279),"")))</f>
        <v>4.5999999999999996</v>
      </c>
      <c r="BD83" s="12">
        <f>IF('Données projet'!$A$88&gt;35,BD82+BC83-BL82,IF(A83&lt;'Données projet'!$A$88,$BA$205^A83,IF(A83='Données projet'!$A$88,'Données projet'!$B$88,BD82+BC83-BL82)))</f>
        <v>191.99999999999997</v>
      </c>
      <c r="BE83" s="13">
        <f>BD83*VLOOKUP('Données projet'!$B$11,Paramètres!$A$1:$I$89,3,0)*VLOOKUP('Données projet'!$B$11,Paramètres!$A$1:$I$89,5,0)</f>
        <v>206.66879999999995</v>
      </c>
      <c r="BF83" s="13">
        <f t="shared" si="91"/>
        <v>51.206958627992705</v>
      </c>
      <c r="BG83" s="20">
        <f t="shared" si="61"/>
        <v>449.1336129437538</v>
      </c>
      <c r="BH83" s="59">
        <f t="shared" si="62"/>
        <v>719.86222458243992</v>
      </c>
      <c r="BI83" s="59">
        <f ca="1">AVERAGE(OFFSET($BH$3,0,0,'Données projet'!$E$11+1,1))-AVERAGE(OFFSET($H$3,0,0,'Données projet'!$E$11+1,1))</f>
        <v>361.24725625563468</v>
      </c>
      <c r="BJ83" s="59">
        <f t="shared" si="92"/>
        <v>186.0840067781198</v>
      </c>
      <c r="BK83" s="15">
        <f>IF(ISNA(VLOOKUP(A83,'Données projet'!$A$87:$I$107,3,0)),0,VLOOKUP(A83,'Données projet'!$A$87:$I$107,3,0))</f>
        <v>12</v>
      </c>
      <c r="BL83" s="21">
        <f>IF(ISNA(VLOOKUP(A83,'Données projet'!$A$87:$I$107,4,0)),0,VLOOKUP(A83,'Données projet'!$A$87:$I$107,4,0))</f>
        <v>14</v>
      </c>
      <c r="BM83" s="16">
        <f>IF(ISNA(VLOOKUP(A83,'Données projet'!$A$87:$I$107,5,0)),0%,VLOOKUP(A83,'Données projet'!$A$87:$I$107,5,0)*VLOOKUP('Données projet'!$B$11,Paramètres!$A$1:$I$89,7,0))</f>
        <v>0.215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16.217244620235693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16.217244620235693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261</v>
      </c>
      <c r="BW83" s="12">
        <f>VLOOKUP(A83,'Données projet'!$A$113:$I$133,9,0)</f>
        <v>6</v>
      </c>
      <c r="BX83" s="12">
        <f t="array" ref="BX83">INDEX(BW:BW,MIN(IF(ISNUMBER(BW83:BW279),ROW(BW83:BW279),"")))</f>
        <v>6</v>
      </c>
      <c r="BY83" s="12">
        <f>IF('Données projet'!$A$114&gt;35,BY82+BX83-CG82,IF(A83&lt;'Données projet'!$A$114,$BV$205^A83,IF(A83='Données projet'!$A$114,'Données projet'!$B$114,BY82+BX83-CG82)))</f>
        <v>260.99999999999989</v>
      </c>
      <c r="BZ83" s="13">
        <f>BY83*VLOOKUP('Données projet'!$B$12,Paramètres!$A$1:$I$89,3,0)*VLOOKUP('Données projet'!$B$12,Paramètres!$A$1:$I$89,5,0)</f>
        <v>175.07879999999992</v>
      </c>
      <c r="CA83" s="13">
        <f t="shared" si="93"/>
        <v>44.225549694464867</v>
      </c>
      <c r="CB83" s="20">
        <f t="shared" si="64"/>
        <v>381.95507571785947</v>
      </c>
      <c r="CC83" s="59">
        <f t="shared" si="65"/>
        <v>652.68368735654553</v>
      </c>
      <c r="CD83" s="59">
        <f ca="1">AVERAGE(OFFSET($CC$3,0,0,'Données projet'!$E$12+1,1))-AVERAGE(OFFSET($H$3,0,0,'Données projet'!$E$12+1,1))</f>
        <v>323.91378047319455</v>
      </c>
      <c r="CE83" s="59">
        <f t="shared" si="94"/>
        <v>212.89889176380288</v>
      </c>
      <c r="CF83" s="15">
        <f>IF(ISNA(VLOOKUP(A83,'Données projet'!$A$113:$I$133,3,0)),0,VLOOKUP(A83,'Données projet'!$A$113:$I$133,3,0))</f>
        <v>13</v>
      </c>
      <c r="CG83" s="15">
        <f>IF(ISNA(VLOOKUP(A83,'Données projet'!$A$113:$I$133,4,0)),0,VLOOKUP(A83,'Données projet'!$A$113:$I$133,4,0))</f>
        <v>21</v>
      </c>
      <c r="CH83" s="16">
        <f>IF(ISNA(VLOOKUP(A83,'Données projet'!$A$113:$I$133,5,0)),0%,VLOOKUP(A83,'Données projet'!$A$113:$I$133,5,0)*VLOOKUP('Données projet'!$B$12,Paramètres!$A$1:$I$89,7,0))</f>
        <v>0.318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21.198533120119023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21.198533120119023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>
        <f>CT83*VLOOKUP('Données projet'!$B$13,Paramètres!$A$1:$I$89,3,0)*VLOOKUP('Données projet'!$B$13,Paramètres!$A$1:$I$89,5,0)</f>
        <v>0</v>
      </c>
      <c r="CV83" s="13" t="e">
        <f t="shared" si="95"/>
        <v>#NUM!</v>
      </c>
      <c r="CW83" s="20" t="e">
        <f t="shared" si="67"/>
        <v>#NUM!</v>
      </c>
      <c r="CX83" s="59" t="e">
        <f t="shared" si="68"/>
        <v>#NUM!</v>
      </c>
      <c r="CY83" s="59">
        <f ca="1">AVERAGE(OFFSET($CX$3,0,0,'Données projet'!$E$13+1,1))-AVERAGE(OFFSET($H$3,0,0,'Données projet'!$E$13+1,1))</f>
        <v>356.07880667298025</v>
      </c>
      <c r="CZ83" s="59">
        <f t="shared" si="96"/>
        <v>396.05161661639659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123.41322634403653</v>
      </c>
      <c r="DG83" s="21">
        <f>EXP(-LN(2)/25)*DG82+(1-EXP(-LN(2)/25))/(LN(2)/25)*Calculateur!DB83*Calculateur!DD83*VLOOKUP('Données projet'!$B$13,Paramètres!$A$1:$I$89,3,0)*0.475*44/12</f>
        <v>25.260732341822241</v>
      </c>
      <c r="DH83" s="21">
        <f>EXP(-LN(2)/2)*DH82+(1-EXP(-LN(2)/2))/(LN(2)/2)*DB83*DE83*VLOOKUP('Données projet'!$B$13,Paramètres!$A$1:$I$89,3,0)*0.475*44/12</f>
        <v>3.3468308916833528E-2</v>
      </c>
      <c r="DI83" s="22">
        <f t="shared" si="69"/>
        <v>148.7074269947756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>
        <f>DO83*VLOOKUP('Données projet'!$B$14,Paramètres!$A$1:$I$89,3,0)*VLOOKUP('Données projet'!$B$14,Paramètres!$A$1:$I$89,5,0)</f>
        <v>0</v>
      </c>
      <c r="DQ83" s="13" t="e">
        <f t="shared" si="97"/>
        <v>#NUM!</v>
      </c>
      <c r="DR83" s="20" t="e">
        <f t="shared" si="70"/>
        <v>#NUM!</v>
      </c>
      <c r="DS83" s="59" t="e">
        <f t="shared" si="71"/>
        <v>#NUM!</v>
      </c>
      <c r="DT83" s="59">
        <f ca="1">AVERAGE(OFFSET($DS$3,0,0,'Données projet'!$E$14+1,1))-AVERAGE(OFFSET($H$3,0,0,'Données projet'!$E$14+1,1))</f>
        <v>246.11623544660486</v>
      </c>
      <c r="DU83" s="59">
        <f t="shared" si="98"/>
        <v>273.18950868898253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84.672603124938064</v>
      </c>
      <c r="EB83" s="21">
        <f>EXP(-LN(2)/25)*EB82+(1-EXP(-LN(2)/25))/(LN(2)/25)*Calculateur!DW83*Calculateur!DY83*VLOOKUP('Données projet'!$B$14,Paramètres!$A$1:$I$89,3,0)*0.475*44/12</f>
        <v>22.944470634113042</v>
      </c>
      <c r="EC83" s="21">
        <f>EXP(-LN(2)/2)*EC82+(1-EXP(-LN(2)/2))/(LN(2)/2)*DW83*DZ83*VLOOKUP('Données projet'!$B$14,Paramètres!$A$1:$I$89,3,0)*0.475*44/12</f>
        <v>3.1801877838994887E-2</v>
      </c>
      <c r="ED83" s="22">
        <f t="shared" si="72"/>
        <v>107.64887563689011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5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67">
        <f t="shared" si="56"/>
        <v>183.33333333333334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6.8</v>
      </c>
      <c r="N84" s="13">
        <f>IF('Données projet'!$A$36&gt;35,N83+M84-V83,IF(A84&lt;'Données projet'!$A$36,$K$205^A84,IF(A84='Données projet'!$A$36,'Données projet'!$B$36,N83+M84-V83)))</f>
        <v>298.79999999999995</v>
      </c>
      <c r="O84" s="13">
        <f>N84*VLOOKUP('Données projet'!$B$9,Paramètres!$A$1:$I$89,3,0)*VLOOKUP('Données projet'!$B$9,Paramètres!$A$1:$I$89,5,0)</f>
        <v>302.98319999999995</v>
      </c>
      <c r="P84" s="13">
        <f t="shared" si="87"/>
        <v>71.801496173397709</v>
      </c>
      <c r="Q84" s="20">
        <f t="shared" si="54"/>
        <v>652.75001250200091</v>
      </c>
      <c r="R84" s="59">
        <f t="shared" si="55"/>
        <v>923.87076552550229</v>
      </c>
      <c r="S84" s="59">
        <f ca="1">AVERAGE(OFFSET($R$3,0,0,'Données projet'!$E$9+1,1))-AVERAGE(OFFSET($H$3,0,0,'Données projet'!$E$9+1,1))</f>
        <v>538.10210778862256</v>
      </c>
      <c r="T84" s="59">
        <f t="shared" si="88"/>
        <v>399.53300632021399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33.984522842893803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33.984522842893803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6.8</v>
      </c>
      <c r="AI84" s="13">
        <f>IF('Données projet'!$A$62&gt;35,AI83+AH84-AQ83,IF(A84&lt;'Données projet'!$A$62,$AF$205^A84,IF(A84='Données projet'!$A$62,'Données projet'!$B$62,AI83+AH84-AQ83)))</f>
        <v>298.79999999999995</v>
      </c>
      <c r="AJ84" s="13">
        <f>AI84*VLOOKUP('Données projet'!$B$10,Paramètres!$A$1:$I$89,3,0)*VLOOKUP('Données projet'!$B$10,Paramètres!$A$1:$I$89,5,0)</f>
        <v>312.30575999999996</v>
      </c>
      <c r="AK84" s="13">
        <f t="shared" si="89"/>
        <v>73.750156755851933</v>
      </c>
      <c r="AL84" s="20">
        <f t="shared" si="58"/>
        <v>672.38072168310873</v>
      </c>
      <c r="AM84" s="59">
        <f t="shared" si="59"/>
        <v>943.50147470661022</v>
      </c>
      <c r="AN84" s="59">
        <f ca="1">AVERAGE(OFFSET($AM$3,0,0,'Données projet'!$E$10+1,1))-AVERAGE(OFFSET($H$3,0,0,'Données projet'!$E$10+1,1))</f>
        <v>552.26894123675538</v>
      </c>
      <c r="AO84" s="59">
        <f t="shared" si="90"/>
        <v>409.85604950107006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35.030200468828987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35.030200468828987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4.4000000000000004</v>
      </c>
      <c r="BD84" s="12">
        <f>IF('Données projet'!$A$88&gt;35,BD83+BC84-BL83,IF(A84&lt;'Données projet'!$A$88,$BA$205^A84,IF(A84='Données projet'!$A$88,'Données projet'!$B$88,BD83+BC84-BL83)))</f>
        <v>182.39999999999998</v>
      </c>
      <c r="BE84" s="13">
        <f>BD84*VLOOKUP('Données projet'!$B$11,Paramètres!$A$1:$I$89,3,0)*VLOOKUP('Données projet'!$B$11,Paramètres!$A$1:$I$89,5,0)</f>
        <v>196.33535999999998</v>
      </c>
      <c r="BF84" s="13">
        <f t="shared" si="91"/>
        <v>48.937925995037986</v>
      </c>
      <c r="BG84" s="20">
        <f t="shared" si="61"/>
        <v>427.18430644135782</v>
      </c>
      <c r="BH84" s="59">
        <f t="shared" si="62"/>
        <v>698.30505946485926</v>
      </c>
      <c r="BI84" s="59">
        <f ca="1">AVERAGE(OFFSET($BH$3,0,0,'Données projet'!$E$11+1,1))-AVERAGE(OFFSET($H$3,0,0,'Données projet'!$E$11+1,1))</f>
        <v>361.24725625563468</v>
      </c>
      <c r="BJ84" s="59">
        <f t="shared" si="92"/>
        <v>186.0840067781198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15.899234344775381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15.899234344775381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5.8</v>
      </c>
      <c r="BY84" s="12">
        <f>IF('Données projet'!$A$114&gt;35,BY83+BX84-CG83,IF(A84&lt;'Données projet'!$A$114,$BV$205^A84,IF(A84='Données projet'!$A$114,'Données projet'!$B$114,BY83+BX84-CG83)))</f>
        <v>245.7999999999999</v>
      </c>
      <c r="BZ84" s="13">
        <f>BY84*VLOOKUP('Données projet'!$B$12,Paramètres!$A$1:$I$89,3,0)*VLOOKUP('Données projet'!$B$12,Paramètres!$A$1:$I$89,5,0)</f>
        <v>164.88263999999995</v>
      </c>
      <c r="CA84" s="13">
        <f t="shared" si="93"/>
        <v>41.941874385207427</v>
      </c>
      <c r="CB84" s="20">
        <f t="shared" si="64"/>
        <v>360.21936255423617</v>
      </c>
      <c r="CC84" s="59">
        <f t="shared" si="65"/>
        <v>631.34011557773761</v>
      </c>
      <c r="CD84" s="59">
        <f ca="1">AVERAGE(OFFSET($CC$3,0,0,'Données projet'!$E$12+1,1))-AVERAGE(OFFSET($H$3,0,0,'Données projet'!$E$12+1,1))</f>
        <v>323.91378047319455</v>
      </c>
      <c r="CE84" s="59">
        <f t="shared" si="94"/>
        <v>212.89889176380288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20.782842815461979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20.782842815461979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>
        <f>CT84*VLOOKUP('Données projet'!$B$13,Paramètres!$A$1:$I$89,3,0)*VLOOKUP('Données projet'!$B$13,Paramètres!$A$1:$I$89,5,0)</f>
        <v>0</v>
      </c>
      <c r="CV84" s="13" t="e">
        <f t="shared" si="95"/>
        <v>#NUM!</v>
      </c>
      <c r="CW84" s="20" t="e">
        <f t="shared" si="67"/>
        <v>#NUM!</v>
      </c>
      <c r="CX84" s="59" t="e">
        <f t="shared" si="68"/>
        <v>#NUM!</v>
      </c>
      <c r="CY84" s="59">
        <f ca="1">AVERAGE(OFFSET($CX$3,0,0,'Données projet'!$E$13+1,1))-AVERAGE(OFFSET($H$3,0,0,'Données projet'!$E$13+1,1))</f>
        <v>356.07880667298025</v>
      </c>
      <c r="CZ84" s="59">
        <f t="shared" si="96"/>
        <v>396.05161661639659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120.9931682500653</v>
      </c>
      <c r="DG84" s="21">
        <f>EXP(-LN(2)/25)*DG83+(1-EXP(-LN(2)/25))/(LN(2)/25)*Calculateur!DB84*Calculateur!DD84*VLOOKUP('Données projet'!$B$13,Paramètres!$A$1:$I$89,3,0)*0.475*44/12</f>
        <v>24.569976287530931</v>
      </c>
      <c r="DH84" s="21">
        <f>EXP(-LN(2)/2)*DH83+(1-EXP(-LN(2)/2))/(LN(2)/2)*DB84*DE84*VLOOKUP('Données projet'!$B$13,Paramètres!$A$1:$I$89,3,0)*0.475*44/12</f>
        <v>2.3665668189939183E-2</v>
      </c>
      <c r="DI84" s="22">
        <f t="shared" si="69"/>
        <v>145.58681020578618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>
        <f>DO84*VLOOKUP('Données projet'!$B$14,Paramètres!$A$1:$I$89,3,0)*VLOOKUP('Données projet'!$B$14,Paramètres!$A$1:$I$89,5,0)</f>
        <v>0</v>
      </c>
      <c r="DQ84" s="13" t="e">
        <f t="shared" si="97"/>
        <v>#NUM!</v>
      </c>
      <c r="DR84" s="20" t="e">
        <f t="shared" si="70"/>
        <v>#NUM!</v>
      </c>
      <c r="DS84" s="59" t="e">
        <f t="shared" si="71"/>
        <v>#NUM!</v>
      </c>
      <c r="DT84" s="59">
        <f ca="1">AVERAGE(OFFSET($DS$3,0,0,'Données projet'!$E$14+1,1))-AVERAGE(OFFSET($H$3,0,0,'Données projet'!$E$14+1,1))</f>
        <v>246.11623544660486</v>
      </c>
      <c r="DU84" s="59">
        <f t="shared" si="98"/>
        <v>273.18950868898253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83.012225022846394</v>
      </c>
      <c r="EB84" s="21">
        <f>EXP(-LN(2)/25)*EB83+(1-EXP(-LN(2)/25))/(LN(2)/25)*Calculateur!DW84*Calculateur!DY84*VLOOKUP('Données projet'!$B$14,Paramètres!$A$1:$I$89,3,0)*0.475*44/12</f>
        <v>22.317052878025951</v>
      </c>
      <c r="EC84" s="21">
        <f>EXP(-LN(2)/2)*EC83+(1-EXP(-LN(2)/2))/(LN(2)/2)*DW84*DZ84*VLOOKUP('Données projet'!$B$14,Paramètres!$A$1:$I$89,3,0)*0.475*44/12</f>
        <v>2.2487323474419472E-2</v>
      </c>
      <c r="ED84" s="22">
        <f t="shared" si="72"/>
        <v>105.35176522434676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5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67">
        <f t="shared" si="56"/>
        <v>183.33333333333334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6.8</v>
      </c>
      <c r="N85" s="13">
        <f>IF('Données projet'!$A$36&gt;35,N84+M85-V84,IF(A85&lt;'Données projet'!$A$36,$K$205^A85,IF(A85='Données projet'!$A$36,'Données projet'!$B$36,N84+M85-V84)))</f>
        <v>305.59999999999997</v>
      </c>
      <c r="O85" s="13">
        <f>N85*VLOOKUP('Données projet'!$B$9,Paramètres!$A$1:$I$89,3,0)*VLOOKUP('Données projet'!$B$9,Paramètres!$A$1:$I$89,5,0)</f>
        <v>309.8784</v>
      </c>
      <c r="P85" s="13">
        <f t="shared" si="87"/>
        <v>73.243434672131556</v>
      </c>
      <c r="Q85" s="20">
        <f t="shared" si="54"/>
        <v>667.27052872062904</v>
      </c>
      <c r="R85" s="59">
        <f t="shared" si="55"/>
        <v>938.77662035261608</v>
      </c>
      <c r="S85" s="59">
        <f ca="1">AVERAGE(OFFSET($R$3,0,0,'Données projet'!$E$9+1,1))-AVERAGE(OFFSET($H$3,0,0,'Données projet'!$E$9+1,1))</f>
        <v>538.10210778862256</v>
      </c>
      <c r="T85" s="59">
        <f t="shared" si="88"/>
        <v>399.53300632021399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33.318107078456819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33.318107078456819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6.8</v>
      </c>
      <c r="AI85" s="13">
        <f>IF('Données projet'!$A$62&gt;35,AI84+AH85-AQ84,IF(A85&lt;'Données projet'!$A$62,$AF$205^A85,IF(A85='Données projet'!$A$62,'Données projet'!$B$62,AI84+AH85-AQ84)))</f>
        <v>305.59999999999997</v>
      </c>
      <c r="AJ85" s="13">
        <f>AI85*VLOOKUP('Données projet'!$B$10,Paramètres!$A$1:$I$89,3,0)*VLOOKUP('Données projet'!$B$10,Paramètres!$A$1:$I$89,5,0)</f>
        <v>319.41311999999999</v>
      </c>
      <c r="AK85" s="13">
        <f t="shared" si="89"/>
        <v>75.231228822332341</v>
      </c>
      <c r="AL85" s="20">
        <f t="shared" si="58"/>
        <v>687.33890753222886</v>
      </c>
      <c r="AM85" s="59">
        <f t="shared" si="59"/>
        <v>958.84499916421589</v>
      </c>
      <c r="AN85" s="59">
        <f ca="1">AVERAGE(OFFSET($AM$3,0,0,'Données projet'!$E$10+1,1))-AVERAGE(OFFSET($H$3,0,0,'Données projet'!$E$10+1,1))</f>
        <v>552.26894123675538</v>
      </c>
      <c r="AO85" s="59">
        <f t="shared" si="90"/>
        <v>409.85604950107006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34.343279603947785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34.343279603947785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4.4000000000000004</v>
      </c>
      <c r="BD85" s="12">
        <f>IF('Données projet'!$A$88&gt;35,BD84+BC85-BL84,IF(A85&lt;'Données projet'!$A$88,$BA$205^A85,IF(A85='Données projet'!$A$88,'Données projet'!$B$88,BD84+BC85-BL84)))</f>
        <v>186.79999999999998</v>
      </c>
      <c r="BE85" s="13">
        <f>BD85*VLOOKUP('Données projet'!$B$11,Paramètres!$A$1:$I$89,3,0)*VLOOKUP('Données projet'!$B$11,Paramètres!$A$1:$I$89,5,0)</f>
        <v>201.07151999999996</v>
      </c>
      <c r="BF85" s="13">
        <f t="shared" si="91"/>
        <v>49.97958210772665</v>
      </c>
      <c r="BG85" s="20">
        <f t="shared" si="61"/>
        <v>437.24733617095717</v>
      </c>
      <c r="BH85" s="59">
        <f t="shared" si="62"/>
        <v>708.7534278029442</v>
      </c>
      <c r="BI85" s="59">
        <f ca="1">AVERAGE(OFFSET($BH$3,0,0,'Données projet'!$E$11+1,1))-AVERAGE(OFFSET($H$3,0,0,'Données projet'!$E$11+1,1))</f>
        <v>361.24725625563468</v>
      </c>
      <c r="BJ85" s="59">
        <f t="shared" si="92"/>
        <v>186.0840067781198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15.58746005684973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15.58746005684973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5.8</v>
      </c>
      <c r="BY85" s="12">
        <f>IF('Données projet'!$A$114&gt;35,BY84+BX85-CG84,IF(A85&lt;'Données projet'!$A$114,$BV$205^A85,IF(A85='Données projet'!$A$114,'Données projet'!$B$114,BY84+BX85-CG84)))</f>
        <v>251.59999999999991</v>
      </c>
      <c r="BZ85" s="13">
        <f>BY85*VLOOKUP('Données projet'!$B$12,Paramètres!$A$1:$I$89,3,0)*VLOOKUP('Données projet'!$B$12,Paramètres!$A$1:$I$89,5,0)</f>
        <v>168.77327999999994</v>
      </c>
      <c r="CA85" s="13">
        <f t="shared" si="93"/>
        <v>42.815163417148412</v>
      </c>
      <c r="CB85" s="20">
        <f t="shared" si="64"/>
        <v>368.51653895153339</v>
      </c>
      <c r="CC85" s="59">
        <f t="shared" si="65"/>
        <v>640.02263058352037</v>
      </c>
      <c r="CD85" s="59">
        <f ca="1">AVERAGE(OFFSET($CC$3,0,0,'Données projet'!$E$12+1,1))-AVERAGE(OFFSET($H$3,0,0,'Données projet'!$E$12+1,1))</f>
        <v>323.91378047319455</v>
      </c>
      <c r="CE85" s="59">
        <f t="shared" si="94"/>
        <v>212.89889176380288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20.375303944133208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20.375303944133208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>
        <f>CT85*VLOOKUP('Données projet'!$B$13,Paramètres!$A$1:$I$89,3,0)*VLOOKUP('Données projet'!$B$13,Paramètres!$A$1:$I$89,5,0)</f>
        <v>0</v>
      </c>
      <c r="CV85" s="13" t="e">
        <f t="shared" si="95"/>
        <v>#NUM!</v>
      </c>
      <c r="CW85" s="20" t="e">
        <f t="shared" si="67"/>
        <v>#NUM!</v>
      </c>
      <c r="CX85" s="59" t="e">
        <f t="shared" si="68"/>
        <v>#NUM!</v>
      </c>
      <c r="CY85" s="59">
        <f ca="1">AVERAGE(OFFSET($CX$3,0,0,'Données projet'!$E$13+1,1))-AVERAGE(OFFSET($H$3,0,0,'Données projet'!$E$13+1,1))</f>
        <v>356.07880667298025</v>
      </c>
      <c r="CZ85" s="59">
        <f t="shared" si="96"/>
        <v>396.05161661639659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118.62056601922714</v>
      </c>
      <c r="DG85" s="21">
        <f>EXP(-LN(2)/25)*DG84+(1-EXP(-LN(2)/25))/(LN(2)/25)*Calculateur!DB85*Calculateur!DD85*VLOOKUP('Données projet'!$B$13,Paramètres!$A$1:$I$89,3,0)*0.475*44/12</f>
        <v>23.898108993869499</v>
      </c>
      <c r="DH85" s="21">
        <f>EXP(-LN(2)/2)*DH84+(1-EXP(-LN(2)/2))/(LN(2)/2)*DB85*DE85*VLOOKUP('Données projet'!$B$13,Paramètres!$A$1:$I$89,3,0)*0.475*44/12</f>
        <v>1.6734154458416764E-2</v>
      </c>
      <c r="DI85" s="22">
        <f t="shared" si="69"/>
        <v>142.53540916755506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>
        <f>DO85*VLOOKUP('Données projet'!$B$14,Paramètres!$A$1:$I$89,3,0)*VLOOKUP('Données projet'!$B$14,Paramètres!$A$1:$I$89,5,0)</f>
        <v>0</v>
      </c>
      <c r="DQ85" s="13" t="e">
        <f t="shared" si="97"/>
        <v>#NUM!</v>
      </c>
      <c r="DR85" s="20" t="e">
        <f t="shared" si="70"/>
        <v>#NUM!</v>
      </c>
      <c r="DS85" s="59" t="e">
        <f t="shared" si="71"/>
        <v>#NUM!</v>
      </c>
      <c r="DT85" s="59">
        <f ca="1">AVERAGE(OFFSET($DS$3,0,0,'Données projet'!$E$14+1,1))-AVERAGE(OFFSET($H$3,0,0,'Données projet'!$E$14+1,1))</f>
        <v>246.11623544660486</v>
      </c>
      <c r="DU85" s="59">
        <f t="shared" si="98"/>
        <v>273.18950868898253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81.384405922606106</v>
      </c>
      <c r="EB85" s="21">
        <f>EXP(-LN(2)/25)*EB84+(1-EXP(-LN(2)/25))/(LN(2)/25)*Calculateur!DW85*Calculateur!DY85*VLOOKUP('Données projet'!$B$14,Paramètres!$A$1:$I$89,3,0)*0.475*44/12</f>
        <v>21.706791893473525</v>
      </c>
      <c r="EC85" s="21">
        <f>EXP(-LN(2)/2)*EC84+(1-EXP(-LN(2)/2))/(LN(2)/2)*DW85*DZ85*VLOOKUP('Données projet'!$B$14,Paramètres!$A$1:$I$89,3,0)*0.475*44/12</f>
        <v>1.5900938919497443E-2</v>
      </c>
      <c r="ED85" s="22">
        <f t="shared" si="72"/>
        <v>103.10709875499913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5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67">
        <f t="shared" si="56"/>
        <v>183.33333333333334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6.8</v>
      </c>
      <c r="N86" s="13">
        <f>IF('Données projet'!$A$36&gt;35,N85+M86-V85,IF(A86&lt;'Données projet'!$A$36,$K$205^A86,IF(A86='Données projet'!$A$36,'Données projet'!$B$36,N85+M86-V85)))</f>
        <v>312.39999999999998</v>
      </c>
      <c r="O86" s="13">
        <f>N86*VLOOKUP('Données projet'!$B$9,Paramètres!$A$1:$I$89,3,0)*VLOOKUP('Données projet'!$B$9,Paramètres!$A$1:$I$89,5,0)</f>
        <v>316.77359999999999</v>
      </c>
      <c r="P86" s="13">
        <f t="shared" si="87"/>
        <v>74.681642981668006</v>
      </c>
      <c r="Q86" s="20">
        <f t="shared" si="54"/>
        <v>681.78454819307171</v>
      </c>
      <c r="R86" s="59">
        <f t="shared" si="55"/>
        <v>953.66929367017519</v>
      </c>
      <c r="S86" s="59">
        <f ca="1">AVERAGE(OFFSET($R$3,0,0,'Données projet'!$E$9+1,1))-AVERAGE(OFFSET($H$3,0,0,'Données projet'!$E$9+1,1))</f>
        <v>538.10210778862256</v>
      </c>
      <c r="T86" s="59">
        <f t="shared" si="88"/>
        <v>399.53300632021399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32.664759320686962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32.664759320686962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6.8</v>
      </c>
      <c r="AI86" s="13">
        <f>IF('Données projet'!$A$62&gt;35,AI85+AH86-AQ85,IF(A86&lt;'Données projet'!$A$62,$AF$205^A86,IF(A86='Données projet'!$A$62,'Données projet'!$B$62,AI85+AH86-AQ85)))</f>
        <v>312.39999999999998</v>
      </c>
      <c r="AJ86" s="13">
        <f>AI86*VLOOKUP('Données projet'!$B$10,Paramètres!$A$1:$I$89,3,0)*VLOOKUP('Données projet'!$B$10,Paramètres!$A$1:$I$89,5,0)</f>
        <v>326.52048000000002</v>
      </c>
      <c r="AK86" s="13">
        <f t="shared" si="89"/>
        <v>76.708469463944212</v>
      </c>
      <c r="AL86" s="20">
        <f t="shared" si="58"/>
        <v>702.29042031636936</v>
      </c>
      <c r="AM86" s="59">
        <f t="shared" si="59"/>
        <v>974.17516579347284</v>
      </c>
      <c r="AN86" s="59">
        <f ca="1">AVERAGE(OFFSET($AM$3,0,0,'Données projet'!$E$10+1,1))-AVERAGE(OFFSET($H$3,0,0,'Données projet'!$E$10+1,1))</f>
        <v>552.26894123675538</v>
      </c>
      <c r="AO86" s="59">
        <f t="shared" si="90"/>
        <v>409.85604950107006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33.669828838246552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33.669828838246552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4.4000000000000004</v>
      </c>
      <c r="BD86" s="12">
        <f>IF('Données projet'!$A$88&gt;35,BD85+BC86-BL85,IF(A86&lt;'Données projet'!$A$88,$BA$205^A86,IF(A86='Données projet'!$A$88,'Données projet'!$B$88,BD85+BC86-BL85)))</f>
        <v>191.2</v>
      </c>
      <c r="BE86" s="13">
        <f>BD86*VLOOKUP('Données projet'!$B$11,Paramètres!$A$1:$I$89,3,0)*VLOOKUP('Données projet'!$B$11,Paramètres!$A$1:$I$89,5,0)</f>
        <v>205.80767999999995</v>
      </c>
      <c r="BF86" s="13">
        <f t="shared" si="91"/>
        <v>51.018385886479962</v>
      </c>
      <c r="BG86" s="20">
        <f t="shared" si="61"/>
        <v>447.30539808561917</v>
      </c>
      <c r="BH86" s="59">
        <f t="shared" si="62"/>
        <v>719.1901435627226</v>
      </c>
      <c r="BI86" s="59">
        <f ca="1">AVERAGE(OFFSET($BH$3,0,0,'Données projet'!$E$11+1,1))-AVERAGE(OFFSET($H$3,0,0,'Données projet'!$E$11+1,1))</f>
        <v>361.24725625563468</v>
      </c>
      <c r="BJ86" s="59">
        <f t="shared" si="92"/>
        <v>186.0840067781198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15.281799472546762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15.281799472546762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5.8</v>
      </c>
      <c r="BY86" s="12">
        <f>IF('Données projet'!$A$114&gt;35,BY85+BX86-CG85,IF(A86&lt;'Données projet'!$A$114,$BV$205^A86,IF(A86='Données projet'!$A$114,'Données projet'!$B$114,BY85+BX86-CG85)))</f>
        <v>257.39999999999992</v>
      </c>
      <c r="BZ86" s="13">
        <f>BY86*VLOOKUP('Données projet'!$B$12,Paramètres!$A$1:$I$89,3,0)*VLOOKUP('Données projet'!$B$12,Paramètres!$A$1:$I$89,5,0)</f>
        <v>172.66391999999993</v>
      </c>
      <c r="CA86" s="13">
        <f t="shared" si="93"/>
        <v>43.686112068665423</v>
      </c>
      <c r="CB86" s="20">
        <f t="shared" si="64"/>
        <v>376.80963918625883</v>
      </c>
      <c r="CC86" s="59">
        <f t="shared" si="65"/>
        <v>648.69438466336237</v>
      </c>
      <c r="CD86" s="59">
        <f ca="1">AVERAGE(OFFSET($CC$3,0,0,'Données projet'!$E$12+1,1))-AVERAGE(OFFSET($H$3,0,0,'Données projet'!$E$12+1,1))</f>
        <v>323.91378047319455</v>
      </c>
      <c r="CE86" s="59">
        <f t="shared" si="94"/>
        <v>212.89889176380288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19.975756661497027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19.975756661497027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>
        <f>CT86*VLOOKUP('Données projet'!$B$13,Paramètres!$A$1:$I$89,3,0)*VLOOKUP('Données projet'!$B$13,Paramètres!$A$1:$I$89,5,0)</f>
        <v>0</v>
      </c>
      <c r="CV86" s="13" t="e">
        <f t="shared" si="95"/>
        <v>#NUM!</v>
      </c>
      <c r="CW86" s="20" t="e">
        <f t="shared" si="67"/>
        <v>#NUM!</v>
      </c>
      <c r="CX86" s="59" t="e">
        <f t="shared" si="68"/>
        <v>#NUM!</v>
      </c>
      <c r="CY86" s="59">
        <f ca="1">AVERAGE(OFFSET($CX$3,0,0,'Données projet'!$E$13+1,1))-AVERAGE(OFFSET($H$3,0,0,'Données projet'!$E$13+1,1))</f>
        <v>356.07880667298025</v>
      </c>
      <c r="CZ86" s="59">
        <f t="shared" si="96"/>
        <v>396.05161661639659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116.29448907099126</v>
      </c>
      <c r="DG86" s="21">
        <f>EXP(-LN(2)/25)*DG85+(1-EXP(-LN(2)/25))/(LN(2)/25)*Calculateur!DB86*Calculateur!DD86*VLOOKUP('Données projet'!$B$13,Paramètres!$A$1:$I$89,3,0)*0.475*44/12</f>
        <v>23.244613946685206</v>
      </c>
      <c r="DH86" s="21">
        <f>EXP(-LN(2)/2)*DH85+(1-EXP(-LN(2)/2))/(LN(2)/2)*DB86*DE86*VLOOKUP('Données projet'!$B$13,Paramètres!$A$1:$I$89,3,0)*0.475*44/12</f>
        <v>1.1832834094969592E-2</v>
      </c>
      <c r="DI86" s="22">
        <f t="shared" si="69"/>
        <v>139.55093585177144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>
        <f>DO86*VLOOKUP('Données projet'!$B$14,Paramètres!$A$1:$I$89,3,0)*VLOOKUP('Données projet'!$B$14,Paramètres!$A$1:$I$89,5,0)</f>
        <v>0</v>
      </c>
      <c r="DQ86" s="13" t="e">
        <f t="shared" si="97"/>
        <v>#NUM!</v>
      </c>
      <c r="DR86" s="20" t="e">
        <f t="shared" si="70"/>
        <v>#NUM!</v>
      </c>
      <c r="DS86" s="59" t="e">
        <f t="shared" si="71"/>
        <v>#NUM!</v>
      </c>
      <c r="DT86" s="59">
        <f ca="1">AVERAGE(OFFSET($DS$3,0,0,'Données projet'!$E$14+1,1))-AVERAGE(OFFSET($H$3,0,0,'Données projet'!$E$14+1,1))</f>
        <v>246.11623544660486</v>
      </c>
      <c r="DU86" s="59">
        <f t="shared" si="98"/>
        <v>273.18950868898253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79.788507362049913</v>
      </c>
      <c r="EB86" s="21">
        <f>EXP(-LN(2)/25)*EB85+(1-EXP(-LN(2)/25))/(LN(2)/25)*Calculateur!DW86*Calculateur!DY86*VLOOKUP('Données projet'!$B$14,Paramètres!$A$1:$I$89,3,0)*0.475*44/12</f>
        <v>21.113218527635919</v>
      </c>
      <c r="EC86" s="21">
        <f>EXP(-LN(2)/2)*EC85+(1-EXP(-LN(2)/2))/(LN(2)/2)*DW86*DZ86*VLOOKUP('Données projet'!$B$14,Paramètres!$A$1:$I$89,3,0)*0.475*44/12</f>
        <v>1.1243661737209736E-2</v>
      </c>
      <c r="ED86" s="22">
        <f t="shared" si="72"/>
        <v>100.91296955142305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5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67">
        <f t="shared" si="56"/>
        <v>183.33333333333334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6.8</v>
      </c>
      <c r="N87" s="13">
        <f>IF('Données projet'!$A$36&gt;35,N86+M87-V86,IF(A87&lt;'Données projet'!$A$36,$K$205^A87,IF(A87='Données projet'!$A$36,'Données projet'!$B$36,N86+M87-V86)))</f>
        <v>319.2</v>
      </c>
      <c r="O87" s="13">
        <f>N87*VLOOKUP('Données projet'!$B$9,Paramètres!$A$1:$I$89,3,0)*VLOOKUP('Données projet'!$B$9,Paramètres!$A$1:$I$89,5,0)</f>
        <v>323.66879999999998</v>
      </c>
      <c r="P87" s="13">
        <f t="shared" si="87"/>
        <v>76.11621164769852</v>
      </c>
      <c r="Q87" s="20">
        <f t="shared" si="54"/>
        <v>696.29222861974165</v>
      </c>
      <c r="R87" s="59">
        <f t="shared" si="55"/>
        <v>968.54905914429196</v>
      </c>
      <c r="S87" s="59">
        <f ca="1">AVERAGE(OFFSET($R$3,0,0,'Données projet'!$E$9+1,1))-AVERAGE(OFFSET($H$3,0,0,'Données projet'!$E$9+1,1))</f>
        <v>538.10210778862256</v>
      </c>
      <c r="T87" s="59">
        <f t="shared" si="88"/>
        <v>399.53300632021399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32.024223313944191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32.024223313944191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6.8</v>
      </c>
      <c r="AI87" s="13">
        <f>IF('Données projet'!$A$62&gt;35,AI86+AH87-AQ86,IF(A87&lt;'Données projet'!$A$62,$AF$205^A87,IF(A87='Données projet'!$A$62,'Données projet'!$B$62,AI86+AH87-AQ86)))</f>
        <v>319.2</v>
      </c>
      <c r="AJ87" s="13">
        <f>AI87*VLOOKUP('Données projet'!$B$10,Paramètres!$A$1:$I$89,3,0)*VLOOKUP('Données projet'!$B$10,Paramètres!$A$1:$I$89,5,0)</f>
        <v>333.62783999999999</v>
      </c>
      <c r="AK87" s="13">
        <f t="shared" si="89"/>
        <v>78.181971683748671</v>
      </c>
      <c r="AL87" s="20">
        <f t="shared" si="58"/>
        <v>717.23542201586213</v>
      </c>
      <c r="AM87" s="59">
        <f t="shared" si="59"/>
        <v>989.49225254041244</v>
      </c>
      <c r="AN87" s="59">
        <f ca="1">AVERAGE(OFFSET($AM$3,0,0,'Données projet'!$E$10+1,1))-AVERAGE(OFFSET($H$3,0,0,'Données projet'!$E$10+1,1))</f>
        <v>552.26894123675538</v>
      </c>
      <c r="AO87" s="59">
        <f t="shared" si="90"/>
        <v>409.85604950107006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33.009584031296313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33.009584031296313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4.4000000000000004</v>
      </c>
      <c r="BD87" s="12">
        <f>IF('Données projet'!$A$88&gt;35,BD86+BC87-BL86,IF(A87&lt;'Données projet'!$A$88,$BA$205^A87,IF(A87='Données projet'!$A$88,'Données projet'!$B$88,BD86+BC87-BL86)))</f>
        <v>195.6</v>
      </c>
      <c r="BE87" s="13">
        <f>BD87*VLOOKUP('Données projet'!$B$11,Paramètres!$A$1:$I$89,3,0)*VLOOKUP('Données projet'!$B$11,Paramètres!$A$1:$I$89,5,0)</f>
        <v>210.54384000000002</v>
      </c>
      <c r="BF87" s="13">
        <f t="shared" si="91"/>
        <v>52.054410526216479</v>
      </c>
      <c r="BG87" s="20">
        <f t="shared" si="61"/>
        <v>457.35861966649367</v>
      </c>
      <c r="BH87" s="59">
        <f t="shared" si="62"/>
        <v>729.61545019104392</v>
      </c>
      <c r="BI87" s="59">
        <f ca="1">AVERAGE(OFFSET($BH$3,0,0,'Données projet'!$E$11+1,1))-AVERAGE(OFFSET($H$3,0,0,'Données projet'!$E$11+1,1))</f>
        <v>361.24725625563468</v>
      </c>
      <c r="BJ87" s="59">
        <f t="shared" si="92"/>
        <v>186.0840067781198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14.982132705867429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14.982132705867429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5.8</v>
      </c>
      <c r="BY87" s="12">
        <f>IF('Données projet'!$A$114&gt;35,BY86+BX87-CG86,IF(A87&lt;'Données projet'!$A$114,$BV$205^A87,IF(A87='Données projet'!$A$114,'Données projet'!$B$114,BY86+BX87-CG86)))</f>
        <v>263.19999999999993</v>
      </c>
      <c r="BZ87" s="13">
        <f>BY87*VLOOKUP('Données projet'!$B$12,Paramètres!$A$1:$I$89,3,0)*VLOOKUP('Données projet'!$B$12,Paramètres!$A$1:$I$89,5,0)</f>
        <v>176.55455999999995</v>
      </c>
      <c r="CA87" s="13">
        <f t="shared" si="93"/>
        <v>44.554779146969786</v>
      </c>
      <c r="CB87" s="20">
        <f t="shared" si="64"/>
        <v>385.09876568097229</v>
      </c>
      <c r="CC87" s="59">
        <f t="shared" si="65"/>
        <v>657.3555962055226</v>
      </c>
      <c r="CD87" s="59">
        <f ca="1">AVERAGE(OFFSET($CC$3,0,0,'Données projet'!$E$12+1,1))-AVERAGE(OFFSET($H$3,0,0,'Données projet'!$E$12+1,1))</f>
        <v>323.91378047319455</v>
      </c>
      <c r="CE87" s="59">
        <f t="shared" si="94"/>
        <v>212.89889176380288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19.584044257373563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19.584044257373563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>
        <f>CT87*VLOOKUP('Données projet'!$B$13,Paramètres!$A$1:$I$89,3,0)*VLOOKUP('Données projet'!$B$13,Paramètres!$A$1:$I$89,5,0)</f>
        <v>0</v>
      </c>
      <c r="CV87" s="13" t="e">
        <f t="shared" si="95"/>
        <v>#NUM!</v>
      </c>
      <c r="CW87" s="20" t="e">
        <f t="shared" si="67"/>
        <v>#NUM!</v>
      </c>
      <c r="CX87" s="59" t="e">
        <f t="shared" si="68"/>
        <v>#NUM!</v>
      </c>
      <c r="CY87" s="59">
        <f ca="1">AVERAGE(OFFSET($CX$3,0,0,'Données projet'!$E$13+1,1))-AVERAGE(OFFSET($H$3,0,0,'Données projet'!$E$13+1,1))</f>
        <v>356.07880667298025</v>
      </c>
      <c r="CZ87" s="59">
        <f t="shared" si="96"/>
        <v>396.05161661639659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114.01402507294344</v>
      </c>
      <c r="DG87" s="21">
        <f>EXP(-LN(2)/25)*DG86+(1-EXP(-LN(2)/25))/(LN(2)/25)*Calculateur!DB87*Calculateur!DD87*VLOOKUP('Données projet'!$B$13,Paramètres!$A$1:$I$89,3,0)*0.475*44/12</f>
        <v>22.608988755931978</v>
      </c>
      <c r="DH87" s="21">
        <f>EXP(-LN(2)/2)*DH86+(1-EXP(-LN(2)/2))/(LN(2)/2)*DB87*DE87*VLOOKUP('Données projet'!$B$13,Paramètres!$A$1:$I$89,3,0)*0.475*44/12</f>
        <v>8.367077229208382E-3</v>
      </c>
      <c r="DI87" s="22">
        <f t="shared" si="69"/>
        <v>136.63138090610462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>
        <f>DO87*VLOOKUP('Données projet'!$B$14,Paramètres!$A$1:$I$89,3,0)*VLOOKUP('Données projet'!$B$14,Paramètres!$A$1:$I$89,5,0)</f>
        <v>0</v>
      </c>
      <c r="DQ87" s="13" t="e">
        <f t="shared" si="97"/>
        <v>#NUM!</v>
      </c>
      <c r="DR87" s="20" t="e">
        <f t="shared" si="70"/>
        <v>#NUM!</v>
      </c>
      <c r="DS87" s="59" t="e">
        <f t="shared" si="71"/>
        <v>#NUM!</v>
      </c>
      <c r="DT87" s="59">
        <f ca="1">AVERAGE(OFFSET($DS$3,0,0,'Données projet'!$E$14+1,1))-AVERAGE(OFFSET($H$3,0,0,'Données projet'!$E$14+1,1))</f>
        <v>246.11623544660486</v>
      </c>
      <c r="DU87" s="59">
        <f t="shared" si="98"/>
        <v>273.18950868898253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78.223903398864223</v>
      </c>
      <c r="EB87" s="21">
        <f>EXP(-LN(2)/25)*EB86+(1-EXP(-LN(2)/25))/(LN(2)/25)*Calculateur!DW87*Calculateur!DY87*VLOOKUP('Données projet'!$B$14,Paramètres!$A$1:$I$89,3,0)*0.475*44/12</f>
        <v>20.535876456701807</v>
      </c>
      <c r="EC87" s="21">
        <f>EXP(-LN(2)/2)*EC86+(1-EXP(-LN(2)/2))/(LN(2)/2)*DW87*DZ87*VLOOKUP('Données projet'!$B$14,Paramètres!$A$1:$I$89,3,0)*0.475*44/12</f>
        <v>7.9504694597487217E-3</v>
      </c>
      <c r="ED87" s="22">
        <f t="shared" si="72"/>
        <v>98.767730325025767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5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67">
        <f t="shared" si="56"/>
        <v>183.33333333333334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>
        <f>VLOOKUP(A88,'Données projet'!$A$35:$I$55,2,0)</f>
        <v>326</v>
      </c>
      <c r="L88" s="12">
        <f>VLOOKUP(A88,'Données projet'!$A$35:$I$55,9,0)</f>
        <v>6.8</v>
      </c>
      <c r="M88" s="12">
        <f t="array" ref="M88">INDEX(L:L,MIN(IF(ISNUMBER(L88:L284),ROW(L88:L284),"")))</f>
        <v>6.8</v>
      </c>
      <c r="N88" s="13">
        <f>IF('Données projet'!$A$36&gt;35,N87+M88-V87,IF(A88&lt;'Données projet'!$A$36,$K$205^A88,IF(A88='Données projet'!$A$36,'Données projet'!$B$36,N87+M88-V87)))</f>
        <v>326</v>
      </c>
      <c r="O88" s="13">
        <f>N88*VLOOKUP('Données projet'!$B$9,Paramètres!$A$1:$I$89,3,0)*VLOOKUP('Données projet'!$B$9,Paramètres!$A$1:$I$89,5,0)</f>
        <v>330.56400000000002</v>
      </c>
      <c r="P88" s="13">
        <f t="shared" si="87"/>
        <v>77.547227137682853</v>
      </c>
      <c r="Q88" s="20">
        <f t="shared" si="54"/>
        <v>710.79372059813102</v>
      </c>
      <c r="R88" s="59">
        <f t="shared" si="55"/>
        <v>983.41618132641247</v>
      </c>
      <c r="S88" s="59">
        <f ca="1">AVERAGE(OFFSET($R$3,0,0,'Données projet'!$E$9+1,1))-AVERAGE(OFFSET($H$3,0,0,'Données projet'!$E$9+1,1))</f>
        <v>538.10210778862256</v>
      </c>
      <c r="T88" s="59">
        <f t="shared" si="88"/>
        <v>399.53300632021399</v>
      </c>
      <c r="U88" s="15">
        <f>IF(ISNA(VLOOKUP(A88,'Données projet'!$A$35:$I$55,3,0)),0,VLOOKUP(A88,'Données projet'!$A$35:$I$55,3,0))</f>
        <v>14</v>
      </c>
      <c r="V88" s="15">
        <f>IF(ISNA(VLOOKUP(A88,'Données projet'!$A$35:$I$55,4,0)),0,VLOOKUP(A88,'Données projet'!$A$35:$I$55,4,0))</f>
        <v>28</v>
      </c>
      <c r="W88" s="16">
        <f>IF(ISNA(VLOOKUP(A88,'Données projet'!$A$35:$I$55,5,0)),0%,VLOOKUP(A88,'Données projet'!$A$35:$I$55,5,0)*VLOOKUP('Données projet'!$B$9,Paramètres!$A$1:$I$89,7,0))</f>
        <v>0.25800000000000001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39.493968701655731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39.493968701655731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>
        <f>VLOOKUP(A88,'Données projet'!$A$61:$I$81,2,0)</f>
        <v>326</v>
      </c>
      <c r="AG88" s="12">
        <f>VLOOKUP(A88,'Données projet'!$A$61:$I$81,9,0)</f>
        <v>6.8</v>
      </c>
      <c r="AH88" s="12">
        <f t="array" ref="AH88">INDEX(AG:AG,MIN(IF(ISNUMBER(AG88:AG284),ROW(AG88:AG284),"")))</f>
        <v>6.8</v>
      </c>
      <c r="AI88" s="13">
        <f>IF('Données projet'!$A$62&gt;35,AI87+AH88-AQ87,IF(A88&lt;'Données projet'!$A$62,$AF$205^A88,IF(A88='Données projet'!$A$62,'Données projet'!$B$62,AI87+AH88-AQ87)))</f>
        <v>326</v>
      </c>
      <c r="AJ88" s="13">
        <f>AI88*VLOOKUP('Données projet'!$B$10,Paramètres!$A$1:$I$89,3,0)*VLOOKUP('Données projet'!$B$10,Paramètres!$A$1:$I$89,5,0)</f>
        <v>340.73520000000002</v>
      </c>
      <c r="AK88" s="13">
        <f t="shared" si="89"/>
        <v>79.651824295893803</v>
      </c>
      <c r="AL88" s="20">
        <f t="shared" si="58"/>
        <v>732.17406731534845</v>
      </c>
      <c r="AM88" s="59">
        <f t="shared" si="59"/>
        <v>1004.7965280436299</v>
      </c>
      <c r="AN88" s="59">
        <f ca="1">AVERAGE(OFFSET($AM$3,0,0,'Données projet'!$E$10+1,1))-AVERAGE(OFFSET($H$3,0,0,'Données projet'!$E$10+1,1))</f>
        <v>552.26894123675538</v>
      </c>
      <c r="AO88" s="59">
        <f t="shared" si="90"/>
        <v>409.85604950107006</v>
      </c>
      <c r="AP88" s="15">
        <f>IF(ISNA(VLOOKUP(A88,'Données projet'!$A$61:$I$81,3,0)),0,VLOOKUP(A88,'Données projet'!$A$61:$I$81,3,0))</f>
        <v>14</v>
      </c>
      <c r="AQ88" s="15">
        <f>IF(ISNA(VLOOKUP(A88,'Données projet'!$A$61:$I$81,4,0)),0,VLOOKUP(A88,'Données projet'!$A$61:$I$81,4,0))</f>
        <v>28</v>
      </c>
      <c r="AR88" s="16">
        <f>IF(ISNA(VLOOKUP(A88,'Données projet'!$A$61:$I$81,5,0)),0%,VLOOKUP(A88,'Données projet'!$A$61:$I$81,5,0)*VLOOKUP('Données projet'!$B$10,Paramètres!$A$1:$I$89,7,0))</f>
        <v>0.25800000000000001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40.709167738629745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40.709167738629745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>
        <f>VLOOKUP(A88,'Données projet'!$A$87:$I$107,2,0)</f>
        <v>200</v>
      </c>
      <c r="BB88" s="12">
        <f>VLOOKUP(A88,'Données projet'!$A$87:$I$107,9,0)</f>
        <v>4.4000000000000004</v>
      </c>
      <c r="BC88" s="12">
        <f t="array" ref="BC88">INDEX(BB:BB,MIN(IF(ISNUMBER(BB88:BB284),ROW(BB88:BB284),"")))</f>
        <v>4.4000000000000004</v>
      </c>
      <c r="BD88" s="12">
        <f>IF('Données projet'!$A$88&gt;35,BD87+BC88-BL87,IF(A88&lt;'Données projet'!$A$88,$BA$205^A88,IF(A88='Données projet'!$A$88,'Données projet'!$B$88,BD87+BC88-BL87)))</f>
        <v>200</v>
      </c>
      <c r="BE88" s="13">
        <f>BD88*VLOOKUP('Données projet'!$B$11,Paramètres!$A$1:$I$89,3,0)*VLOOKUP('Données projet'!$B$11,Paramètres!$A$1:$I$89,5,0)</f>
        <v>215.28</v>
      </c>
      <c r="BF88" s="13">
        <f t="shared" si="91"/>
        <v>53.087725740853138</v>
      </c>
      <c r="BG88" s="20">
        <f t="shared" si="61"/>
        <v>467.40712233198587</v>
      </c>
      <c r="BH88" s="59">
        <f t="shared" si="62"/>
        <v>740.02958306026744</v>
      </c>
      <c r="BI88" s="59">
        <f ca="1">AVERAGE(OFFSET($BH$3,0,0,'Données projet'!$E$11+1,1))-AVERAGE(OFFSET($H$3,0,0,'Données projet'!$E$11+1,1))</f>
        <v>361.24725625563468</v>
      </c>
      <c r="BJ88" s="59">
        <f t="shared" si="92"/>
        <v>186.0840067781198</v>
      </c>
      <c r="BK88" s="15">
        <f>IF(ISNA(VLOOKUP(A88,'Données projet'!$A$87:$I$107,3,0)),0,VLOOKUP(A88,'Données projet'!$A$87:$I$107,3,0))</f>
        <v>13</v>
      </c>
      <c r="BL88" s="15">
        <f>IF(ISNA(VLOOKUP(A88,'Données projet'!$A$87:$I$107,4,0)),0,VLOOKUP(A88,'Données projet'!$A$87:$I$107,4,0))</f>
        <v>14</v>
      </c>
      <c r="BM88" s="16">
        <f>IF(ISNA(VLOOKUP(A88,'Données projet'!$A$87:$I$107,5,0)),0%,VLOOKUP(A88,'Données projet'!$A$87:$I$107,5,0)*VLOOKUP('Données projet'!$B$11,Paramètres!$A$1:$I$89,7,0))</f>
        <v>0.25800000000000001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18.98636330100771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18.98636330100771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>
        <f>VLOOKUP(A88,'Données projet'!$A$113:$I$133,2,0)</f>
        <v>269</v>
      </c>
      <c r="BW88" s="12">
        <f>VLOOKUP(A88,'Données projet'!$A$113:$I$133,9,0)</f>
        <v>5.8</v>
      </c>
      <c r="BX88" s="12">
        <f t="array" ref="BX88">INDEX(BW:BW,MIN(IF(ISNUMBER(BW88:BW284),ROW(BW88:BW284),"")))</f>
        <v>5.8</v>
      </c>
      <c r="BY88" s="12">
        <f>IF('Données projet'!$A$114&gt;35,BY87+BX88-CG87,IF(A88&lt;'Données projet'!$A$114,$BV$205^A88,IF(A88='Données projet'!$A$114,'Données projet'!$B$114,BY87+BX88-CG87)))</f>
        <v>268.99999999999994</v>
      </c>
      <c r="BZ88" s="13">
        <f>BY88*VLOOKUP('Données projet'!$B$12,Paramètres!$A$1:$I$89,3,0)*VLOOKUP('Données projet'!$B$12,Paramètres!$A$1:$I$89,5,0)</f>
        <v>180.44519999999997</v>
      </c>
      <c r="CA88" s="13">
        <f t="shared" si="93"/>
        <v>45.421220719470305</v>
      </c>
      <c r="CB88" s="20">
        <f t="shared" si="64"/>
        <v>393.38401608641078</v>
      </c>
      <c r="CC88" s="59">
        <f t="shared" si="65"/>
        <v>666.00647681469229</v>
      </c>
      <c r="CD88" s="59">
        <f ca="1">AVERAGE(OFFSET($CC$3,0,0,'Données projet'!$E$12+1,1))-AVERAGE(OFFSET($H$3,0,0,'Données projet'!$E$12+1,1))</f>
        <v>323.91378047319455</v>
      </c>
      <c r="CE88" s="59">
        <f t="shared" si="94"/>
        <v>212.89889176380288</v>
      </c>
      <c r="CF88" s="15">
        <f>IF(ISNA(VLOOKUP(A88,'Données projet'!$A$113:$I$133,3,0)),0,VLOOKUP(A88,'Données projet'!$A$113:$I$133,3,0))</f>
        <v>14</v>
      </c>
      <c r="CG88" s="15">
        <f>IF(ISNA(VLOOKUP(A88,'Données projet'!$A$113:$I$133,4,0)),0,VLOOKUP(A88,'Données projet'!$A$113:$I$133,4,0))</f>
        <v>21</v>
      </c>
      <c r="CH88" s="16">
        <f>IF(ISNA(VLOOKUP(A88,'Données projet'!$A$113:$I$133,5,0)),0%,VLOOKUP(A88,'Données projet'!$A$113:$I$133,5,0)*VLOOKUP('Données projet'!$B$12,Paramètres!$A$1:$I$89,7,0))</f>
        <v>0.318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24.1520808598587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24.1520808598587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>
        <f>CT88*VLOOKUP('Données projet'!$B$13,Paramètres!$A$1:$I$89,3,0)*VLOOKUP('Données projet'!$B$13,Paramètres!$A$1:$I$89,5,0)</f>
        <v>0</v>
      </c>
      <c r="CV88" s="13" t="e">
        <f t="shared" si="95"/>
        <v>#NUM!</v>
      </c>
      <c r="CW88" s="20" t="e">
        <f t="shared" si="67"/>
        <v>#NUM!</v>
      </c>
      <c r="CX88" s="59" t="e">
        <f t="shared" si="68"/>
        <v>#NUM!</v>
      </c>
      <c r="CY88" s="59">
        <f ca="1">AVERAGE(OFFSET($CX$3,0,0,'Données projet'!$E$13+1,1))-AVERAGE(OFFSET($H$3,0,0,'Données projet'!$E$13+1,1))</f>
        <v>356.07880667298025</v>
      </c>
      <c r="CZ88" s="59">
        <f t="shared" si="96"/>
        <v>396.05161661639659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111.77827958295164</v>
      </c>
      <c r="DG88" s="21">
        <f>EXP(-LN(2)/25)*DG87+(1-EXP(-LN(2)/25))/(LN(2)/25)*Calculateur!DB88*Calculateur!DD88*VLOOKUP('Données projet'!$B$13,Paramètres!$A$1:$I$89,3,0)*0.475*44/12</f>
        <v>21.990744769445975</v>
      </c>
      <c r="DH88" s="21">
        <f>EXP(-LN(2)/2)*DH87+(1-EXP(-LN(2)/2))/(LN(2)/2)*DB88*DE88*VLOOKUP('Données projet'!$B$13,Paramètres!$A$1:$I$89,3,0)*0.475*44/12</f>
        <v>5.9164170474847958E-3</v>
      </c>
      <c r="DI88" s="22">
        <f t="shared" si="69"/>
        <v>133.7749407694451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>
        <f>DO88*VLOOKUP('Données projet'!$B$14,Paramètres!$A$1:$I$89,3,0)*VLOOKUP('Données projet'!$B$14,Paramètres!$A$1:$I$89,5,0)</f>
        <v>0</v>
      </c>
      <c r="DQ88" s="13" t="e">
        <f t="shared" si="97"/>
        <v>#NUM!</v>
      </c>
      <c r="DR88" s="20" t="e">
        <f t="shared" si="70"/>
        <v>#NUM!</v>
      </c>
      <c r="DS88" s="59" t="e">
        <f t="shared" si="71"/>
        <v>#NUM!</v>
      </c>
      <c r="DT88" s="59">
        <f ca="1">AVERAGE(OFFSET($DS$3,0,0,'Données projet'!$E$14+1,1))-AVERAGE(OFFSET($H$3,0,0,'Données projet'!$E$14+1,1))</f>
        <v>246.11623544660486</v>
      </c>
      <c r="DU88" s="59">
        <f t="shared" si="98"/>
        <v>273.18950868898253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76.68998036508242</v>
      </c>
      <c r="EB88" s="21">
        <f>EXP(-LN(2)/25)*EB87+(1-EXP(-LN(2)/25))/(LN(2)/25)*Calculateur!DW88*Calculateur!DY88*VLOOKUP('Données projet'!$B$14,Paramètres!$A$1:$I$89,3,0)*0.475*44/12</f>
        <v>19.97432183505849</v>
      </c>
      <c r="EC88" s="21">
        <f>EXP(-LN(2)/2)*EC87+(1-EXP(-LN(2)/2))/(LN(2)/2)*DW88*DZ88*VLOOKUP('Données projet'!$B$14,Paramètres!$A$1:$I$89,3,0)*0.475*44/12</f>
        <v>5.6218308686048681E-3</v>
      </c>
      <c r="ED88" s="22">
        <f t="shared" si="72"/>
        <v>96.669924031009515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5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67">
        <f t="shared" si="56"/>
        <v>183.33333333333334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6.4</v>
      </c>
      <c r="N89" s="13">
        <f>IF('Données projet'!$A$36&gt;35,N88+M89-V88,IF(A89&lt;'Données projet'!$A$36,$K$205^A89,IF(A89='Données projet'!$A$36,'Données projet'!$B$36,N88+M89-V88)))</f>
        <v>304.39999999999998</v>
      </c>
      <c r="O89" s="13">
        <f>N89*VLOOKUP('Données projet'!$B$9,Paramètres!$A$1:$I$89,3,0)*VLOOKUP('Données projet'!$B$9,Paramètres!$A$1:$I$89,5,0)</f>
        <v>308.66159999999996</v>
      </c>
      <c r="P89" s="13">
        <f t="shared" si="87"/>
        <v>72.98924863505313</v>
      </c>
      <c r="Q89" s="20">
        <f t="shared" si="54"/>
        <v>664.70856137271744</v>
      </c>
      <c r="R89" s="59">
        <f t="shared" si="55"/>
        <v>937.69030943812209</v>
      </c>
      <c r="S89" s="59">
        <f ca="1">AVERAGE(OFFSET($R$3,0,0,'Données projet'!$E$9+1,1))-AVERAGE(OFFSET($H$3,0,0,'Données projet'!$E$9+1,1))</f>
        <v>538.10210778862256</v>
      </c>
      <c r="T89" s="59">
        <f t="shared" si="88"/>
        <v>399.53300632021399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38.719516064358587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38.719516064358587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6.4</v>
      </c>
      <c r="AI89" s="13">
        <f>IF('Données projet'!$A$62&gt;35,AI88+AH89-AQ88,IF(A89&lt;'Données projet'!$A$62,$AF$205^A89,IF(A89='Données projet'!$A$62,'Données projet'!$B$62,AI88+AH89-AQ88)))</f>
        <v>304.39999999999998</v>
      </c>
      <c r="AJ89" s="13">
        <f>AI89*VLOOKUP('Données projet'!$B$10,Paramètres!$A$1:$I$89,3,0)*VLOOKUP('Données projet'!$B$10,Paramètres!$A$1:$I$89,5,0)</f>
        <v>318.15888000000001</v>
      </c>
      <c r="AK89" s="13">
        <f t="shared" si="89"/>
        <v>74.970144289575373</v>
      </c>
      <c r="AL89" s="20">
        <f t="shared" si="58"/>
        <v>684.69971730434372</v>
      </c>
      <c r="AM89" s="59">
        <f t="shared" si="59"/>
        <v>957.68146536974837</v>
      </c>
      <c r="AN89" s="59">
        <f ca="1">AVERAGE(OFFSET($AM$3,0,0,'Données projet'!$E$10+1,1))-AVERAGE(OFFSET($H$3,0,0,'Données projet'!$E$10+1,1))</f>
        <v>552.26894123675538</v>
      </c>
      <c r="AO89" s="59">
        <f t="shared" si="90"/>
        <v>409.85604950107006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39.910885789415765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39.910885789415765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4.2</v>
      </c>
      <c r="BD89" s="12">
        <f>IF('Données projet'!$A$88&gt;35,BD88+BC89-BL88,IF(A89&lt;'Données projet'!$A$88,$BA$205^A89,IF(A89='Données projet'!$A$88,'Données projet'!$B$88,BD88+BC89-BL88)))</f>
        <v>190.2</v>
      </c>
      <c r="BE89" s="13">
        <f>BD89*VLOOKUP('Données projet'!$B$11,Paramètres!$A$1:$I$89,3,0)*VLOOKUP('Données projet'!$B$11,Paramètres!$A$1:$I$89,5,0)</f>
        <v>204.73127999999997</v>
      </c>
      <c r="BF89" s="13">
        <f t="shared" si="91"/>
        <v>50.782540726679308</v>
      </c>
      <c r="BG89" s="20">
        <f t="shared" si="61"/>
        <v>445.01990443229971</v>
      </c>
      <c r="BH89" s="59">
        <f t="shared" si="62"/>
        <v>718.00165249770441</v>
      </c>
      <c r="BI89" s="59">
        <f ca="1">AVERAGE(OFFSET($BH$3,0,0,'Données projet'!$E$11+1,1))-AVERAGE(OFFSET($H$3,0,0,'Données projet'!$E$11+1,1))</f>
        <v>361.24725625563468</v>
      </c>
      <c r="BJ89" s="59">
        <f t="shared" si="92"/>
        <v>186.0840067781198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18.614052297213078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18.614052297213078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5.4</v>
      </c>
      <c r="BY89" s="12">
        <f>IF('Données projet'!$A$114&gt;35,BY88+BX89-CG88,IF(A89&lt;'Données projet'!$A$114,$BV$205^A89,IF(A89='Données projet'!$A$114,'Données projet'!$B$114,BY88+BX89-CG88)))</f>
        <v>253.39999999999992</v>
      </c>
      <c r="BZ89" s="13">
        <f>BY89*VLOOKUP('Données projet'!$B$12,Paramètres!$A$1:$I$89,3,0)*VLOOKUP('Données projet'!$B$12,Paramètres!$A$1:$I$89,5,0)</f>
        <v>169.98071999999993</v>
      </c>
      <c r="CA89" s="13">
        <f t="shared" si="93"/>
        <v>43.085705478170858</v>
      </c>
      <c r="CB89" s="20">
        <f t="shared" si="64"/>
        <v>371.09069104114747</v>
      </c>
      <c r="CC89" s="59">
        <f t="shared" si="65"/>
        <v>644.07243910655211</v>
      </c>
      <c r="CD89" s="59">
        <f ca="1">AVERAGE(OFFSET($CC$3,0,0,'Données projet'!$E$12+1,1))-AVERAGE(OFFSET($H$3,0,0,'Données projet'!$E$12+1,1))</f>
        <v>323.91378047319455</v>
      </c>
      <c r="CE89" s="59">
        <f t="shared" si="94"/>
        <v>212.89889176380288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23.678473285511597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23.678473285511597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>
        <f>CT89*VLOOKUP('Données projet'!$B$13,Paramètres!$A$1:$I$89,3,0)*VLOOKUP('Données projet'!$B$13,Paramètres!$A$1:$I$89,5,0)</f>
        <v>0</v>
      </c>
      <c r="CV89" s="13" t="e">
        <f t="shared" si="95"/>
        <v>#NUM!</v>
      </c>
      <c r="CW89" s="20" t="e">
        <f t="shared" si="67"/>
        <v>#NUM!</v>
      </c>
      <c r="CX89" s="59" t="e">
        <f t="shared" si="68"/>
        <v>#NUM!</v>
      </c>
      <c r="CY89" s="59">
        <f ca="1">AVERAGE(OFFSET($CX$3,0,0,'Données projet'!$E$13+1,1))-AVERAGE(OFFSET($H$3,0,0,'Données projet'!$E$13+1,1))</f>
        <v>356.07880667298025</v>
      </c>
      <c r="CZ89" s="59">
        <f t="shared" si="96"/>
        <v>396.05161661639659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109.58637569834849</v>
      </c>
      <c r="DG89" s="21">
        <f>EXP(-LN(2)/25)*DG88+(1-EXP(-LN(2)/25))/(LN(2)/25)*Calculateur!DB89*Calculateur!DD89*VLOOKUP('Données projet'!$B$13,Paramètres!$A$1:$I$89,3,0)*0.475*44/12</f>
        <v>21.389406697282467</v>
      </c>
      <c r="DH89" s="21">
        <f>EXP(-LN(2)/2)*DH88+(1-EXP(-LN(2)/2))/(LN(2)/2)*DB89*DE89*VLOOKUP('Données projet'!$B$13,Paramètres!$A$1:$I$89,3,0)*0.475*44/12</f>
        <v>4.183538614604191E-3</v>
      </c>
      <c r="DI89" s="22">
        <f t="shared" si="69"/>
        <v>130.97996593424557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>
        <f>DO89*VLOOKUP('Données projet'!$B$14,Paramètres!$A$1:$I$89,3,0)*VLOOKUP('Données projet'!$B$14,Paramètres!$A$1:$I$89,5,0)</f>
        <v>0</v>
      </c>
      <c r="DQ89" s="13" t="e">
        <f t="shared" si="97"/>
        <v>#NUM!</v>
      </c>
      <c r="DR89" s="20" t="e">
        <f t="shared" si="70"/>
        <v>#NUM!</v>
      </c>
      <c r="DS89" s="59" t="e">
        <f t="shared" si="71"/>
        <v>#NUM!</v>
      </c>
      <c r="DT89" s="59">
        <f ca="1">AVERAGE(OFFSET($DS$3,0,0,'Données projet'!$E$14+1,1))-AVERAGE(OFFSET($H$3,0,0,'Données projet'!$E$14+1,1))</f>
        <v>246.11623544660486</v>
      </c>
      <c r="DU89" s="59">
        <f t="shared" si="98"/>
        <v>273.18950868898253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75.186136626392397</v>
      </c>
      <c r="EB89" s="21">
        <f>EXP(-LN(2)/25)*EB88+(1-EXP(-LN(2)/25))/(LN(2)/25)*Calculateur!DW89*Calculateur!DY89*VLOOKUP('Données projet'!$B$14,Paramètres!$A$1:$I$89,3,0)*0.475*44/12</f>
        <v>19.428122954074883</v>
      </c>
      <c r="EC89" s="21">
        <f>EXP(-LN(2)/2)*EC88+(1-EXP(-LN(2)/2))/(LN(2)/2)*DW89*DZ89*VLOOKUP('Données projet'!$B$14,Paramètres!$A$1:$I$89,3,0)*0.475*44/12</f>
        <v>3.9752347298743608E-3</v>
      </c>
      <c r="ED89" s="22">
        <f t="shared" si="72"/>
        <v>94.618234815197155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5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67">
        <f t="shared" si="56"/>
        <v>183.33333333333334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6.4</v>
      </c>
      <c r="N90" s="13">
        <f>IF('Données projet'!$A$36&gt;35,N89+M90-V89,IF(A90&lt;'Données projet'!$A$36,$K$205^A90,IF(A90='Données projet'!$A$36,'Données projet'!$B$36,N89+M90-V89)))</f>
        <v>310.79999999999995</v>
      </c>
      <c r="O90" s="13">
        <f>N90*VLOOKUP('Données projet'!$B$9,Paramètres!$A$1:$I$89,3,0)*VLOOKUP('Données projet'!$B$9,Paramètres!$A$1:$I$89,5,0)</f>
        <v>315.15119999999996</v>
      </c>
      <c r="P90" s="13">
        <f t="shared" si="87"/>
        <v>74.343571754005879</v>
      </c>
      <c r="Q90" s="20">
        <f t="shared" si="54"/>
        <v>678.37006080489357</v>
      </c>
      <c r="R90" s="59">
        <f t="shared" si="55"/>
        <v>951.7048633753684</v>
      </c>
      <c r="S90" s="59">
        <f ca="1">AVERAGE(OFFSET($R$3,0,0,'Données projet'!$E$9+1,1))-AVERAGE(OFFSET($H$3,0,0,'Données projet'!$E$9+1,1))</f>
        <v>538.10210778862256</v>
      </c>
      <c r="T90" s="59">
        <f t="shared" si="88"/>
        <v>399.53300632021399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37.960249970909373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37.960249970909373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6.4</v>
      </c>
      <c r="AI90" s="13">
        <f>IF('Données projet'!$A$62&gt;35,AI89+AH90-AQ89,IF(A90&lt;'Données projet'!$A$62,$AF$205^A90,IF(A90='Données projet'!$A$62,'Données projet'!$B$62,AI89+AH90-AQ89)))</f>
        <v>310.79999999999995</v>
      </c>
      <c r="AJ90" s="13">
        <f>AI90*VLOOKUP('Données projet'!$B$10,Paramètres!$A$1:$I$89,3,0)*VLOOKUP('Données projet'!$B$10,Paramètres!$A$1:$I$89,5,0)</f>
        <v>324.84816000000001</v>
      </c>
      <c r="AK90" s="13">
        <f t="shared" si="89"/>
        <v>76.361223133944165</v>
      </c>
      <c r="AL90" s="20">
        <f t="shared" si="58"/>
        <v>698.77300895828603</v>
      </c>
      <c r="AM90" s="59">
        <f t="shared" si="59"/>
        <v>972.10781152876086</v>
      </c>
      <c r="AN90" s="59">
        <f ca="1">AVERAGE(OFFSET($AM$3,0,0,'Données projet'!$E$10+1,1))-AVERAGE(OFFSET($H$3,0,0,'Données projet'!$E$10+1,1))</f>
        <v>552.26894123675538</v>
      </c>
      <c r="AO90" s="59">
        <f t="shared" si="90"/>
        <v>409.85604950107006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39.128257662321957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39.128257662321957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4.2</v>
      </c>
      <c r="BD90" s="12">
        <f>IF('Données projet'!$A$88&gt;35,BD89+BC90-BL89,IF(A90&lt;'Données projet'!$A$88,$BA$205^A90,IF(A90='Données projet'!$A$88,'Données projet'!$B$88,BD89+BC90-BL89)))</f>
        <v>194.39999999999998</v>
      </c>
      <c r="BE90" s="13">
        <f>BD90*VLOOKUP('Données projet'!$B$11,Paramètres!$A$1:$I$89,3,0)*VLOOKUP('Données projet'!$B$11,Paramètres!$A$1:$I$89,5,0)</f>
        <v>209.25215999999995</v>
      </c>
      <c r="BF90" s="13">
        <f t="shared" si="91"/>
        <v>51.772129927379012</v>
      </c>
      <c r="BG90" s="20">
        <f t="shared" si="61"/>
        <v>454.61730495685168</v>
      </c>
      <c r="BH90" s="59">
        <f t="shared" si="62"/>
        <v>727.95210752732646</v>
      </c>
      <c r="BI90" s="59">
        <f ca="1">AVERAGE(OFFSET($BH$3,0,0,'Données projet'!$E$11+1,1))-AVERAGE(OFFSET($H$3,0,0,'Données projet'!$E$11+1,1))</f>
        <v>361.24725625563468</v>
      </c>
      <c r="BJ90" s="59">
        <f t="shared" si="92"/>
        <v>186.0840067781198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18.249042085115573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18.249042085115573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5.4</v>
      </c>
      <c r="BY90" s="12">
        <f>IF('Données projet'!$A$114&gt;35,BY89+BX90-CG89,IF(A90&lt;'Données projet'!$A$114,$BV$205^A90,IF(A90='Données projet'!$A$114,'Données projet'!$B$114,BY89+BX90-CG89)))</f>
        <v>258.7999999999999</v>
      </c>
      <c r="BZ90" s="13">
        <f>BY90*VLOOKUP('Données projet'!$B$12,Paramètres!$A$1:$I$89,3,0)*VLOOKUP('Données projet'!$B$12,Paramètres!$A$1:$I$89,5,0)</f>
        <v>173.60303999999994</v>
      </c>
      <c r="CA90" s="13">
        <f t="shared" si="93"/>
        <v>43.895997056101073</v>
      </c>
      <c r="CB90" s="20">
        <f t="shared" si="64"/>
        <v>378.81082287270925</v>
      </c>
      <c r="CC90" s="59">
        <f t="shared" si="65"/>
        <v>652.14562544318414</v>
      </c>
      <c r="CD90" s="59">
        <f ca="1">AVERAGE(OFFSET($CC$3,0,0,'Données projet'!$E$12+1,1))-AVERAGE(OFFSET($H$3,0,0,'Données projet'!$E$12+1,1))</f>
        <v>323.91378047319455</v>
      </c>
      <c r="CE90" s="59">
        <f t="shared" si="94"/>
        <v>212.89889176380288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23.214152866825344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23.214152866825344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>
        <f>CT90*VLOOKUP('Données projet'!$B$13,Paramètres!$A$1:$I$89,3,0)*VLOOKUP('Données projet'!$B$13,Paramètres!$A$1:$I$89,5,0)</f>
        <v>0</v>
      </c>
      <c r="CV90" s="13" t="e">
        <f t="shared" si="95"/>
        <v>#NUM!</v>
      </c>
      <c r="CW90" s="20" t="e">
        <f t="shared" si="67"/>
        <v>#NUM!</v>
      </c>
      <c r="CX90" s="59" t="e">
        <f t="shared" si="68"/>
        <v>#NUM!</v>
      </c>
      <c r="CY90" s="59">
        <f ca="1">AVERAGE(OFFSET($CX$3,0,0,'Données projet'!$E$13+1,1))-AVERAGE(OFFSET($H$3,0,0,'Données projet'!$E$13+1,1))</f>
        <v>356.07880667298025</v>
      </c>
      <c r="CZ90" s="59">
        <f t="shared" si="96"/>
        <v>396.05161661639659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107.43745371199304</v>
      </c>
      <c r="DG90" s="21">
        <f>EXP(-LN(2)/25)*DG89+(1-EXP(-LN(2)/25))/(LN(2)/25)*Calculateur!DB90*Calculateur!DD90*VLOOKUP('Données projet'!$B$13,Paramètres!$A$1:$I$89,3,0)*0.475*44/12</f>
        <v>20.804512246325267</v>
      </c>
      <c r="DH90" s="21">
        <f>EXP(-LN(2)/2)*DH89+(1-EXP(-LN(2)/2))/(LN(2)/2)*DB90*DE90*VLOOKUP('Données projet'!$B$13,Paramètres!$A$1:$I$89,3,0)*0.475*44/12</f>
        <v>2.9582085237423979E-3</v>
      </c>
      <c r="DI90" s="22">
        <f t="shared" si="69"/>
        <v>128.24492416684205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>
        <f>DO90*VLOOKUP('Données projet'!$B$14,Paramètres!$A$1:$I$89,3,0)*VLOOKUP('Données projet'!$B$14,Paramètres!$A$1:$I$89,5,0)</f>
        <v>0</v>
      </c>
      <c r="DQ90" s="13" t="e">
        <f t="shared" si="97"/>
        <v>#NUM!</v>
      </c>
      <c r="DR90" s="20" t="e">
        <f t="shared" si="70"/>
        <v>#NUM!</v>
      </c>
      <c r="DS90" s="59" t="e">
        <f t="shared" si="71"/>
        <v>#NUM!</v>
      </c>
      <c r="DT90" s="59">
        <f ca="1">AVERAGE(OFFSET($DS$3,0,0,'Données projet'!$E$14+1,1))-AVERAGE(OFFSET($H$3,0,0,'Données projet'!$E$14+1,1))</f>
        <v>246.11623544660486</v>
      </c>
      <c r="DU90" s="59">
        <f t="shared" si="98"/>
        <v>273.18950868898253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73.711782346163986</v>
      </c>
      <c r="EB90" s="21">
        <f>EXP(-LN(2)/25)*EB89+(1-EXP(-LN(2)/25))/(LN(2)/25)*Calculateur!DW90*Calculateur!DY90*VLOOKUP('Données projet'!$B$14,Paramètres!$A$1:$I$89,3,0)*0.475*44/12</f>
        <v>18.896859910215124</v>
      </c>
      <c r="EC90" s="21">
        <f>EXP(-LN(2)/2)*EC89+(1-EXP(-LN(2)/2))/(LN(2)/2)*DW90*DZ90*VLOOKUP('Données projet'!$B$14,Paramètres!$A$1:$I$89,3,0)*0.475*44/12</f>
        <v>2.8109154343024341E-3</v>
      </c>
      <c r="ED90" s="22">
        <f t="shared" si="72"/>
        <v>92.611453171813409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5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67">
        <f t="shared" si="56"/>
        <v>183.33333333333334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6.4</v>
      </c>
      <c r="N91" s="13">
        <f>IF('Données projet'!$A$36&gt;35,N90+M91-V90,IF(A91&lt;'Données projet'!$A$36,$K$205^A91,IF(A91='Données projet'!$A$36,'Données projet'!$B$36,N90+M91-V90)))</f>
        <v>317.19999999999993</v>
      </c>
      <c r="O91" s="13">
        <f>N91*VLOOKUP('Données projet'!$B$9,Paramètres!$A$1:$I$89,3,0)*VLOOKUP('Données projet'!$B$9,Paramètres!$A$1:$I$89,5,0)</f>
        <v>321.64079999999996</v>
      </c>
      <c r="P91" s="13">
        <f t="shared" si="87"/>
        <v>75.694652325793228</v>
      </c>
      <c r="Q91" s="20">
        <f t="shared" si="54"/>
        <v>692.02591280075649</v>
      </c>
      <c r="R91" s="59">
        <f t="shared" si="55"/>
        <v>965.70764516995018</v>
      </c>
      <c r="S91" s="59">
        <f ca="1">AVERAGE(OFFSET($R$3,0,0,'Données projet'!$E$9+1,1))-AVERAGE(OFFSET($H$3,0,0,'Données projet'!$E$9+1,1))</f>
        <v>538.10210778862256</v>
      </c>
      <c r="T91" s="59">
        <f t="shared" si="88"/>
        <v>399.53300632021399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37.215872622446106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37.215872622446106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6.4</v>
      </c>
      <c r="AI91" s="13">
        <f>IF('Données projet'!$A$62&gt;35,AI90+AH91-AQ90,IF(A91&lt;'Données projet'!$A$62,$AF$205^A91,IF(A91='Données projet'!$A$62,'Données projet'!$B$62,AI90+AH91-AQ90)))</f>
        <v>317.19999999999993</v>
      </c>
      <c r="AJ91" s="13">
        <f>AI91*VLOOKUP('Données projet'!$B$10,Paramètres!$A$1:$I$89,3,0)*VLOOKUP('Données projet'!$B$10,Paramètres!$A$1:$I$89,5,0)</f>
        <v>331.53743999999995</v>
      </c>
      <c r="AK91" s="13">
        <f t="shared" si="89"/>
        <v>77.748971429863658</v>
      </c>
      <c r="AL91" s="20">
        <f t="shared" si="58"/>
        <v>712.84049990701249</v>
      </c>
      <c r="AM91" s="59">
        <f t="shared" si="59"/>
        <v>986.52223227620618</v>
      </c>
      <c r="AN91" s="59">
        <f ca="1">AVERAGE(OFFSET($AM$3,0,0,'Données projet'!$E$10+1,1))-AVERAGE(OFFSET($H$3,0,0,'Données projet'!$E$10+1,1))</f>
        <v>552.26894123675538</v>
      </c>
      <c r="AO91" s="59">
        <f t="shared" si="90"/>
        <v>409.85604950107006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38.360976395444439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38.360976395444439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4.2</v>
      </c>
      <c r="BD91" s="12">
        <f>IF('Données projet'!$A$88&gt;35,BD90+BC91-BL90,IF(A91&lt;'Données projet'!$A$88,$BA$205^A91,IF(A91='Données projet'!$A$88,'Données projet'!$B$88,BD90+BC91-BL90)))</f>
        <v>198.59999999999997</v>
      </c>
      <c r="BE91" s="13">
        <f>BD91*VLOOKUP('Données projet'!$B$11,Paramètres!$A$1:$I$89,3,0)*VLOOKUP('Données projet'!$B$11,Paramètres!$A$1:$I$89,5,0)</f>
        <v>213.77303999999995</v>
      </c>
      <c r="BF91" s="13">
        <f t="shared" si="91"/>
        <v>52.759233416703239</v>
      </c>
      <c r="BG91" s="20">
        <f t="shared" si="61"/>
        <v>464.21037620075805</v>
      </c>
      <c r="BH91" s="59">
        <f t="shared" si="62"/>
        <v>737.89210856995169</v>
      </c>
      <c r="BI91" s="59">
        <f ca="1">AVERAGE(OFFSET($BH$3,0,0,'Données projet'!$E$11+1,1))-AVERAGE(OFFSET($H$3,0,0,'Données projet'!$E$11+1,1))</f>
        <v>361.24725625563468</v>
      </c>
      <c r="BJ91" s="59">
        <f t="shared" si="92"/>
        <v>186.0840067781198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17.891189500643051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17.891189500643051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5.4</v>
      </c>
      <c r="BY91" s="12">
        <f>IF('Données projet'!$A$114&gt;35,BY90+BX91-CG90,IF(A91&lt;'Données projet'!$A$114,$BV$205^A91,IF(A91='Données projet'!$A$114,'Données projet'!$B$114,BY90+BX91-CG90)))</f>
        <v>264.19999999999987</v>
      </c>
      <c r="BZ91" s="13">
        <f>BY91*VLOOKUP('Données projet'!$B$12,Paramètres!$A$1:$I$89,3,0)*VLOOKUP('Données projet'!$B$12,Paramètres!$A$1:$I$89,5,0)</f>
        <v>177.22535999999991</v>
      </c>
      <c r="CA91" s="13">
        <f t="shared" si="93"/>
        <v>44.70432287710112</v>
      </c>
      <c r="CB91" s="20">
        <f t="shared" si="64"/>
        <v>386.5275310109509</v>
      </c>
      <c r="CC91" s="59">
        <f t="shared" si="65"/>
        <v>660.20926338014465</v>
      </c>
      <c r="CD91" s="59">
        <f ca="1">AVERAGE(OFFSET($CC$3,0,0,'Données projet'!$E$12+1,1))-AVERAGE(OFFSET($H$3,0,0,'Données projet'!$E$12+1,1))</f>
        <v>323.91378047319455</v>
      </c>
      <c r="CE91" s="59">
        <f t="shared" si="94"/>
        <v>212.89889176380288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22.758937488342038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22.758937488342038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>
        <f>CT91*VLOOKUP('Données projet'!$B$13,Paramètres!$A$1:$I$89,3,0)*VLOOKUP('Données projet'!$B$13,Paramètres!$A$1:$I$89,5,0)</f>
        <v>0</v>
      </c>
      <c r="CV91" s="13" t="e">
        <f t="shared" si="95"/>
        <v>#NUM!</v>
      </c>
      <c r="CW91" s="20" t="e">
        <f t="shared" si="67"/>
        <v>#NUM!</v>
      </c>
      <c r="CX91" s="59" t="e">
        <f t="shared" si="68"/>
        <v>#NUM!</v>
      </c>
      <c r="CY91" s="59">
        <f ca="1">AVERAGE(OFFSET($CX$3,0,0,'Données projet'!$E$13+1,1))-AVERAGE(OFFSET($H$3,0,0,'Données projet'!$E$13+1,1))</f>
        <v>356.07880667298025</v>
      </c>
      <c r="CZ91" s="59">
        <f t="shared" si="96"/>
        <v>396.05161661639659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105.33067077507704</v>
      </c>
      <c r="DG91" s="21">
        <f>EXP(-LN(2)/25)*DG90+(1-EXP(-LN(2)/25))/(LN(2)/25)*Calculateur!DB91*Calculateur!DD91*VLOOKUP('Données projet'!$B$13,Paramètres!$A$1:$I$89,3,0)*0.475*44/12</f>
        <v>20.235611764887754</v>
      </c>
      <c r="DH91" s="21">
        <f>EXP(-LN(2)/2)*DH90+(1-EXP(-LN(2)/2))/(LN(2)/2)*DB91*DE91*VLOOKUP('Données projet'!$B$13,Paramètres!$A$1:$I$89,3,0)*0.475*44/12</f>
        <v>2.0917693073020955E-3</v>
      </c>
      <c r="DI91" s="22">
        <f t="shared" si="69"/>
        <v>125.56837430927209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>
        <f>DO91*VLOOKUP('Données projet'!$B$14,Paramètres!$A$1:$I$89,3,0)*VLOOKUP('Données projet'!$B$14,Paramètres!$A$1:$I$89,5,0)</f>
        <v>0</v>
      </c>
      <c r="DQ91" s="13" t="e">
        <f t="shared" si="97"/>
        <v>#NUM!</v>
      </c>
      <c r="DR91" s="20" t="e">
        <f t="shared" si="70"/>
        <v>#NUM!</v>
      </c>
      <c r="DS91" s="59" t="e">
        <f t="shared" si="71"/>
        <v>#NUM!</v>
      </c>
      <c r="DT91" s="59">
        <f ca="1">AVERAGE(OFFSET($DS$3,0,0,'Données projet'!$E$14+1,1))-AVERAGE(OFFSET($H$3,0,0,'Données projet'!$E$14+1,1))</f>
        <v>246.11623544660486</v>
      </c>
      <c r="DU91" s="59">
        <f t="shared" si="98"/>
        <v>273.18950868898253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72.266339254103528</v>
      </c>
      <c r="EB91" s="21">
        <f>EXP(-LN(2)/25)*EB90+(1-EXP(-LN(2)/25))/(LN(2)/25)*Calculateur!DW91*Calculateur!DY91*VLOOKUP('Données projet'!$B$14,Paramètres!$A$1:$I$89,3,0)*0.475*44/12</f>
        <v>18.380124282227619</v>
      </c>
      <c r="EC91" s="21">
        <f>EXP(-LN(2)/2)*EC90+(1-EXP(-LN(2)/2))/(LN(2)/2)*DW91*DZ91*VLOOKUP('Données projet'!$B$14,Paramètres!$A$1:$I$89,3,0)*0.475*44/12</f>
        <v>1.9876173649371804E-3</v>
      </c>
      <c r="ED91" s="22">
        <f t="shared" si="72"/>
        <v>90.648451153696072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5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67">
        <f t="shared" si="56"/>
        <v>183.33333333333334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6.4</v>
      </c>
      <c r="N92" s="13">
        <f>IF('Données projet'!$A$36&gt;35,N91+M92-V91,IF(A92&lt;'Données projet'!$A$36,$K$205^A92,IF(A92='Données projet'!$A$36,'Données projet'!$B$36,N91+M92-V91)))</f>
        <v>323.59999999999991</v>
      </c>
      <c r="O92" s="13">
        <f>N92*VLOOKUP('Données projet'!$B$9,Paramètres!$A$1:$I$89,3,0)*VLOOKUP('Données projet'!$B$9,Paramètres!$A$1:$I$89,5,0)</f>
        <v>328.13039999999995</v>
      </c>
      <c r="P92" s="13">
        <f t="shared" si="87"/>
        <v>77.042563313388285</v>
      </c>
      <c r="Q92" s="20">
        <f t="shared" si="54"/>
        <v>705.67624443748446</v>
      </c>
      <c r="R92" s="59">
        <f t="shared" si="55"/>
        <v>979.6988881490081</v>
      </c>
      <c r="S92" s="59">
        <f ca="1">AVERAGE(OFFSET($R$3,0,0,'Données projet'!$E$9+1,1))-AVERAGE(OFFSET($H$3,0,0,'Données projet'!$E$9+1,1))</f>
        <v>538.10210778862256</v>
      </c>
      <c r="T92" s="59">
        <f t="shared" si="88"/>
        <v>399.53300632021399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36.486092059760857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36.486092059760857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6.4</v>
      </c>
      <c r="AI92" s="13">
        <f>IF('Données projet'!$A$62&gt;35,AI91+AH92-AQ91,IF(A92&lt;'Données projet'!$A$62,$AF$205^A92,IF(A92='Données projet'!$A$62,'Données projet'!$B$62,AI91+AH92-AQ91)))</f>
        <v>323.59999999999991</v>
      </c>
      <c r="AJ92" s="13">
        <f>AI92*VLOOKUP('Données projet'!$B$10,Paramètres!$A$1:$I$89,3,0)*VLOOKUP('Données projet'!$B$10,Paramètres!$A$1:$I$89,5,0)</f>
        <v>338.22671999999994</v>
      </c>
      <c r="AK92" s="13">
        <f t="shared" si="89"/>
        <v>79.133464120489521</v>
      </c>
      <c r="AL92" s="20">
        <f t="shared" si="58"/>
        <v>726.90232067651914</v>
      </c>
      <c r="AM92" s="59">
        <f t="shared" si="59"/>
        <v>1000.9249643880428</v>
      </c>
      <c r="AN92" s="59">
        <f ca="1">AVERAGE(OFFSET($AM$3,0,0,'Données projet'!$E$10+1,1))-AVERAGE(OFFSET($H$3,0,0,'Données projet'!$E$10+1,1))</f>
        <v>552.26894123675538</v>
      </c>
      <c r="AO92" s="59">
        <f t="shared" si="90"/>
        <v>409.85604950107006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37.608741046215023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37.608741046215023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4.2</v>
      </c>
      <c r="BD92" s="12">
        <f>IF('Données projet'!$A$88&gt;35,BD91+BC92-BL91,IF(A92&lt;'Données projet'!$A$88,$BA$205^A92,IF(A92='Données projet'!$A$88,'Données projet'!$B$88,BD91+BC92-BL91)))</f>
        <v>202.79999999999995</v>
      </c>
      <c r="BE92" s="13">
        <f>BD92*VLOOKUP('Données projet'!$B$11,Paramètres!$A$1:$I$89,3,0)*VLOOKUP('Données projet'!$B$11,Paramètres!$A$1:$I$89,5,0)</f>
        <v>218.29391999999996</v>
      </c>
      <c r="BF92" s="13">
        <f t="shared" si="91"/>
        <v>53.743909818122162</v>
      </c>
      <c r="BG92" s="20">
        <f t="shared" si="61"/>
        <v>473.79922026656277</v>
      </c>
      <c r="BH92" s="59">
        <f t="shared" si="62"/>
        <v>747.82186397808641</v>
      </c>
      <c r="BI92" s="59">
        <f ca="1">AVERAGE(OFFSET($BH$3,0,0,'Données projet'!$E$11+1,1))-AVERAGE(OFFSET($H$3,0,0,'Données projet'!$E$11+1,1))</f>
        <v>361.24725625563468</v>
      </c>
      <c r="BJ92" s="59">
        <f t="shared" si="92"/>
        <v>186.0840067781198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17.540354187083512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17.540354187083512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5.4</v>
      </c>
      <c r="BY92" s="12">
        <f>IF('Données projet'!$A$114&gt;35,BY91+BX92-CG91,IF(A92&lt;'Données projet'!$A$114,$BV$205^A92,IF(A92='Données projet'!$A$114,'Données projet'!$B$114,BY91+BX92-CG91)))</f>
        <v>269.59999999999985</v>
      </c>
      <c r="BZ92" s="13">
        <f>BY92*VLOOKUP('Données projet'!$B$12,Paramètres!$A$1:$I$89,3,0)*VLOOKUP('Données projet'!$B$12,Paramètres!$A$1:$I$89,5,0)</f>
        <v>180.84767999999991</v>
      </c>
      <c r="CA92" s="13">
        <f t="shared" si="93"/>
        <v>45.510727749125792</v>
      </c>
      <c r="CB92" s="20">
        <f t="shared" si="64"/>
        <v>394.24089349639394</v>
      </c>
      <c r="CC92" s="59">
        <f t="shared" si="65"/>
        <v>668.26353720791758</v>
      </c>
      <c r="CD92" s="59">
        <f ca="1">AVERAGE(OFFSET($CC$3,0,0,'Données projet'!$E$12+1,1))-AVERAGE(OFFSET($H$3,0,0,'Données projet'!$E$12+1,1))</f>
        <v>323.91378047319455</v>
      </c>
      <c r="CE92" s="59">
        <f t="shared" si="94"/>
        <v>212.89889176380288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22.312648605776825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22.312648605776825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>
        <f>CT92*VLOOKUP('Données projet'!$B$13,Paramètres!$A$1:$I$89,3,0)*VLOOKUP('Données projet'!$B$13,Paramètres!$A$1:$I$89,5,0)</f>
        <v>0</v>
      </c>
      <c r="CV92" s="13" t="e">
        <f t="shared" si="95"/>
        <v>#NUM!</v>
      </c>
      <c r="CW92" s="20" t="e">
        <f t="shared" si="67"/>
        <v>#NUM!</v>
      </c>
      <c r="CX92" s="59" t="e">
        <f t="shared" si="68"/>
        <v>#NUM!</v>
      </c>
      <c r="CY92" s="59">
        <f ca="1">AVERAGE(OFFSET($CX$3,0,0,'Données projet'!$E$13+1,1))-AVERAGE(OFFSET($H$3,0,0,'Données projet'!$E$13+1,1))</f>
        <v>356.07880667298025</v>
      </c>
      <c r="CZ92" s="59">
        <f t="shared" si="96"/>
        <v>396.05161661639659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103.26520056654324</v>
      </c>
      <c r="DG92" s="21">
        <f>EXP(-LN(2)/25)*DG91+(1-EXP(-LN(2)/25))/(LN(2)/25)*Calculateur!DB92*Calculateur!DD92*VLOOKUP('Données projet'!$B$13,Paramètres!$A$1:$I$89,3,0)*0.475*44/12</f>
        <v>19.682267897032325</v>
      </c>
      <c r="DH92" s="21">
        <f>EXP(-LN(2)/2)*DH91+(1-EXP(-LN(2)/2))/(LN(2)/2)*DB92*DE92*VLOOKUP('Données projet'!$B$13,Paramètres!$A$1:$I$89,3,0)*0.475*44/12</f>
        <v>1.479104261871199E-3</v>
      </c>
      <c r="DI92" s="22">
        <f t="shared" si="69"/>
        <v>122.94894756783745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>
        <f>DO92*VLOOKUP('Données projet'!$B$14,Paramètres!$A$1:$I$89,3,0)*VLOOKUP('Données projet'!$B$14,Paramètres!$A$1:$I$89,5,0)</f>
        <v>0</v>
      </c>
      <c r="DQ92" s="13" t="e">
        <f t="shared" si="97"/>
        <v>#NUM!</v>
      </c>
      <c r="DR92" s="20" t="e">
        <f t="shared" si="70"/>
        <v>#NUM!</v>
      </c>
      <c r="DS92" s="59" t="e">
        <f t="shared" si="71"/>
        <v>#NUM!</v>
      </c>
      <c r="DT92" s="59">
        <f ca="1">AVERAGE(OFFSET($DS$3,0,0,'Données projet'!$E$14+1,1))-AVERAGE(OFFSET($H$3,0,0,'Données projet'!$E$14+1,1))</f>
        <v>246.11623544660486</v>
      </c>
      <c r="DU92" s="59">
        <f t="shared" si="98"/>
        <v>273.18950868898253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70.849240419445152</v>
      </c>
      <c r="EB92" s="21">
        <f>EXP(-LN(2)/25)*EB91+(1-EXP(-LN(2)/25))/(LN(2)/25)*Calculateur!DW92*Calculateur!DY92*VLOOKUP('Données projet'!$B$14,Paramètres!$A$1:$I$89,3,0)*0.475*44/12</f>
        <v>17.877518817161377</v>
      </c>
      <c r="EC92" s="21">
        <f>EXP(-LN(2)/2)*EC91+(1-EXP(-LN(2)/2))/(LN(2)/2)*DW92*DZ92*VLOOKUP('Données projet'!$B$14,Paramètres!$A$1:$I$89,3,0)*0.475*44/12</f>
        <v>1.405457717151217E-3</v>
      </c>
      <c r="ED92" s="22">
        <f t="shared" si="72"/>
        <v>88.728164694323681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5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67">
        <f t="shared" si="56"/>
        <v>183.33333333333334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330</v>
      </c>
      <c r="L93" s="12">
        <f>VLOOKUP(A93,'Données projet'!$A$35:$I$55,9,0)</f>
        <v>6.4</v>
      </c>
      <c r="M93" s="12">
        <f t="array" ref="M93">INDEX(L:L,MIN(IF(ISNUMBER(L93:L289),ROW(L93:L289),"")))</f>
        <v>6.4</v>
      </c>
      <c r="N93" s="13">
        <f>IF('Données projet'!$A$36&gt;35,N92+M93-V92,IF(A93&lt;'Données projet'!$A$36,$K$205^A93,IF(A93='Données projet'!$A$36,'Données projet'!$B$36,N92+M93-V92)))</f>
        <v>329.99999999999989</v>
      </c>
      <c r="O93" s="13">
        <f>N93*VLOOKUP('Données projet'!$B$9,Paramètres!$A$1:$I$89,3,0)*VLOOKUP('Données projet'!$B$9,Paramètres!$A$1:$I$89,5,0)</f>
        <v>334.61999999999995</v>
      </c>
      <c r="P93" s="13">
        <f t="shared" si="87"/>
        <v>78.387374628661505</v>
      </c>
      <c r="Q93" s="20">
        <f t="shared" si="54"/>
        <v>719.32117747825203</v>
      </c>
      <c r="R93" s="59">
        <f t="shared" si="55"/>
        <v>993.67881848247976</v>
      </c>
      <c r="S93" s="59">
        <f ca="1">AVERAGE(OFFSET($R$3,0,0,'Données projet'!$E$9+1,1))-AVERAGE(OFFSET($H$3,0,0,'Données projet'!$E$9+1,1))</f>
        <v>538.10210778862256</v>
      </c>
      <c r="T93" s="59">
        <f t="shared" si="88"/>
        <v>399.53300632021399</v>
      </c>
      <c r="U93" s="15">
        <f>IF(ISNA(VLOOKUP(A93,'Données projet'!$A$35:$I$55,3,0)),0,VLOOKUP(A93,'Données projet'!$A$35:$I$55,3,0))</f>
        <v>15</v>
      </c>
      <c r="V93" s="15">
        <f>IF(ISNA(VLOOKUP(A93,'Données projet'!$A$35:$I$55,4,0)),0,VLOOKUP(A93,'Données projet'!$A$35:$I$55,4,0))</f>
        <v>28</v>
      </c>
      <c r="W93" s="16">
        <f>IF(ISNA(VLOOKUP(A93,'Données projet'!$A$35:$I$55,5,0)),0%,VLOOKUP(A93,'Données projet'!$A$35:$I$55,5,0)*VLOOKUP('Données projet'!$B$9,Paramètres!$A$1:$I$89,7,0))</f>
        <v>0.30099999999999999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45.217963068513228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45.217963068513228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330</v>
      </c>
      <c r="AG93" s="12">
        <f>VLOOKUP(A93,'Données projet'!$A$61:$I$81,9,0)</f>
        <v>6.4</v>
      </c>
      <c r="AH93" s="12">
        <f t="array" ref="AH93">INDEX(AG:AG,MIN(IF(ISNUMBER(AG93:AG289),ROW(AG93:AG289),"")))</f>
        <v>6.4</v>
      </c>
      <c r="AI93" s="13">
        <f>IF('Données projet'!$A$62&gt;35,AI92+AH93-AQ92,IF(A93&lt;'Données projet'!$A$62,$AF$205^A93,IF(A93='Données projet'!$A$62,'Données projet'!$B$62,AI92+AH93-AQ92)))</f>
        <v>329.99999999999989</v>
      </c>
      <c r="AJ93" s="13">
        <f>AI93*VLOOKUP('Données projet'!$B$10,Paramètres!$A$1:$I$89,3,0)*VLOOKUP('Données projet'!$B$10,Paramètres!$A$1:$I$89,5,0)</f>
        <v>344.91599999999994</v>
      </c>
      <c r="AK93" s="13">
        <f t="shared" si="89"/>
        <v>80.51477301506921</v>
      </c>
      <c r="AL93" s="20">
        <f t="shared" si="58"/>
        <v>740.9585963345786</v>
      </c>
      <c r="AM93" s="59">
        <f t="shared" si="59"/>
        <v>1015.3162373388063</v>
      </c>
      <c r="AN93" s="59">
        <f ca="1">AVERAGE(OFFSET($AM$3,0,0,'Données projet'!$E$10+1,1))-AVERAGE(OFFSET($H$3,0,0,'Données projet'!$E$10+1,1))</f>
        <v>552.26894123675538</v>
      </c>
      <c r="AO93" s="59">
        <f t="shared" si="90"/>
        <v>409.85604950107006</v>
      </c>
      <c r="AP93" s="15">
        <f>IF(ISNA(VLOOKUP(A93,'Données projet'!$A$61:$I$81,3,0)),0,VLOOKUP(A93,'Données projet'!$A$61:$I$81,3,0))</f>
        <v>15</v>
      </c>
      <c r="AQ93" s="15">
        <f>IF(ISNA(VLOOKUP(A93,'Données projet'!$A$61:$I$81,4,0)),0,VLOOKUP(A93,'Données projet'!$A$61:$I$81,4,0))</f>
        <v>28</v>
      </c>
      <c r="AR93" s="16">
        <f>IF(ISNA(VLOOKUP(A93,'Données projet'!$A$61:$I$81,5,0)),0%,VLOOKUP(A93,'Données projet'!$A$61:$I$81,5,0)*VLOOKUP('Données projet'!$B$10,Paramètres!$A$1:$I$89,7,0))</f>
        <v>0.30099999999999999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46.609285009082853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46.609285009082853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207</v>
      </c>
      <c r="BB93" s="12">
        <f>VLOOKUP(A93,'Données projet'!$A$87:$I$107,9,0)</f>
        <v>4.2</v>
      </c>
      <c r="BC93" s="12">
        <f t="array" ref="BC93">INDEX(BB:BB,MIN(IF(ISNUMBER(BB93:BB289),ROW(BB93:BB289),"")))</f>
        <v>4.2</v>
      </c>
      <c r="BD93" s="12">
        <f>IF('Données projet'!$A$88&gt;35,BD92+BC93-BL92,IF(A93&lt;'Données projet'!$A$88,$BA$205^A93,IF(A93='Données projet'!$A$88,'Données projet'!$B$88,BD92+BC93-BL92)))</f>
        <v>206.99999999999994</v>
      </c>
      <c r="BE93" s="13">
        <f>BD93*VLOOKUP('Données projet'!$B$11,Paramètres!$A$1:$I$89,3,0)*VLOOKUP('Données projet'!$B$11,Paramètres!$A$1:$I$89,5,0)</f>
        <v>222.81479999999993</v>
      </c>
      <c r="BF93" s="13">
        <f t="shared" si="91"/>
        <v>54.726215188137907</v>
      </c>
      <c r="BG93" s="20">
        <f t="shared" si="61"/>
        <v>483.38393478600671</v>
      </c>
      <c r="BH93" s="59">
        <f t="shared" si="62"/>
        <v>757.74157579023438</v>
      </c>
      <c r="BI93" s="59">
        <f ca="1">AVERAGE(OFFSET($BH$3,0,0,'Données projet'!$E$11+1,1))-AVERAGE(OFFSET($H$3,0,0,'Données projet'!$E$11+1,1))</f>
        <v>361.24725625563468</v>
      </c>
      <c r="BJ93" s="59">
        <f t="shared" si="92"/>
        <v>186.0840067781198</v>
      </c>
      <c r="BK93" s="15">
        <f>IF(ISNA(VLOOKUP(A93,'Données projet'!$A$87:$I$107,3,0)),0,VLOOKUP(A93,'Données projet'!$A$87:$I$107,3,0))</f>
        <v>14</v>
      </c>
      <c r="BL93" s="15">
        <f>IF(ISNA(VLOOKUP(A93,'Données projet'!$A$87:$I$107,4,0)),0,VLOOKUP(A93,'Données projet'!$A$87:$I$107,4,0))</f>
        <v>14</v>
      </c>
      <c r="BM93" s="16">
        <f>IF(ISNA(VLOOKUP(A93,'Données projet'!$A$87:$I$107,5,0)),0%,VLOOKUP(A93,'Données projet'!$A$87:$I$107,5,0)*VLOOKUP('Données projet'!$B$11,Paramètres!$A$1:$I$89,7,0))</f>
        <v>0.25800000000000001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21.494419619338174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21.494419619338174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>
        <f>VLOOKUP(A93,'Données projet'!$A$113:$I$133,2,0)</f>
        <v>275</v>
      </c>
      <c r="BW93" s="12">
        <f>VLOOKUP(A93,'Données projet'!$A$113:$I$133,9,0)</f>
        <v>5.4</v>
      </c>
      <c r="BX93" s="12">
        <f t="array" ref="BX93">INDEX(BW:BW,MIN(IF(ISNUMBER(BW93:BW289),ROW(BW93:BW289),"")))</f>
        <v>5.4</v>
      </c>
      <c r="BY93" s="12">
        <f>IF('Données projet'!$A$114&gt;35,BY92+BX93-CG92,IF(A93&lt;'Données projet'!$A$114,$BV$205^A93,IF(A93='Données projet'!$A$114,'Données projet'!$B$114,BY92+BX93-CG92)))</f>
        <v>274.99999999999983</v>
      </c>
      <c r="BZ93" s="13">
        <f>BY93*VLOOKUP('Données projet'!$B$12,Paramètres!$A$1:$I$89,3,0)*VLOOKUP('Données projet'!$B$12,Paramètres!$A$1:$I$89,5,0)</f>
        <v>184.46999999999989</v>
      </c>
      <c r="CA93" s="13">
        <f t="shared" si="93"/>
        <v>46.315254582516552</v>
      </c>
      <c r="CB93" s="20">
        <f t="shared" si="64"/>
        <v>401.95098506454946</v>
      </c>
      <c r="CC93" s="59">
        <f t="shared" si="65"/>
        <v>676.30862606877713</v>
      </c>
      <c r="CD93" s="59">
        <f ca="1">AVERAGE(OFFSET($CC$3,0,0,'Données projet'!$E$12+1,1))-AVERAGE(OFFSET($H$3,0,0,'Données projet'!$E$12+1,1))</f>
        <v>323.91378047319455</v>
      </c>
      <c r="CE93" s="59">
        <f t="shared" si="94"/>
        <v>212.89889176380288</v>
      </c>
      <c r="CF93" s="15">
        <f>IF(ISNA(VLOOKUP(A93,'Données projet'!$A$113:$I$133,3,0)),0,VLOOKUP(A93,'Données projet'!$A$113:$I$133,3,0))</f>
        <v>15</v>
      </c>
      <c r="CG93" s="15">
        <f>IF(ISNA(VLOOKUP(A93,'Données projet'!$A$113:$I$133,4,0)),0,VLOOKUP(A93,'Données projet'!$A$113:$I$133,4,0))</f>
        <v>21</v>
      </c>
      <c r="CH93" s="16">
        <f>IF(ISNA(VLOOKUP(A93,'Données projet'!$A$113:$I$133,5,0)),0%,VLOOKUP(A93,'Données projet'!$A$113:$I$133,5,0)*VLOOKUP('Données projet'!$B$12,Paramètres!$A$1:$I$89,7,0))</f>
        <v>0.371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27.652523568821547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27.652523568821547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>
        <f>CT93*VLOOKUP('Données projet'!$B$13,Paramètres!$A$1:$I$89,3,0)*VLOOKUP('Données projet'!$B$13,Paramètres!$A$1:$I$89,5,0)</f>
        <v>0</v>
      </c>
      <c r="CV93" s="13" t="e">
        <f t="shared" si="95"/>
        <v>#NUM!</v>
      </c>
      <c r="CW93" s="20" t="e">
        <f t="shared" si="67"/>
        <v>#NUM!</v>
      </c>
      <c r="CX93" s="59" t="e">
        <f t="shared" si="68"/>
        <v>#NUM!</v>
      </c>
      <c r="CY93" s="59">
        <f ca="1">AVERAGE(OFFSET($CX$3,0,0,'Données projet'!$E$13+1,1))-AVERAGE(OFFSET($H$3,0,0,'Données projet'!$E$13+1,1))</f>
        <v>356.07880667298025</v>
      </c>
      <c r="CZ93" s="59">
        <f t="shared" si="96"/>
        <v>396.05161661639659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101.24023296898636</v>
      </c>
      <c r="DG93" s="21">
        <f>EXP(-LN(2)/25)*DG92+(1-EXP(-LN(2)/25))/(LN(2)/25)*Calculateur!DB93*Calculateur!DD93*VLOOKUP('Données projet'!$B$13,Paramètres!$A$1:$I$89,3,0)*0.475*44/12</f>
        <v>19.144055246342493</v>
      </c>
      <c r="DH93" s="21">
        <f>EXP(-LN(2)/2)*DH92+(1-EXP(-LN(2)/2))/(LN(2)/2)*DB93*DE93*VLOOKUP('Données projet'!$B$13,Paramètres!$A$1:$I$89,3,0)*0.475*44/12</f>
        <v>1.0458846536510477E-3</v>
      </c>
      <c r="DI93" s="22">
        <f t="shared" si="69"/>
        <v>120.3853340999825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>
        <f>DO93*VLOOKUP('Données projet'!$B$14,Paramètres!$A$1:$I$89,3,0)*VLOOKUP('Données projet'!$B$14,Paramètres!$A$1:$I$89,5,0)</f>
        <v>0</v>
      </c>
      <c r="DQ93" s="13" t="e">
        <f t="shared" si="97"/>
        <v>#NUM!</v>
      </c>
      <c r="DR93" s="20" t="e">
        <f t="shared" si="70"/>
        <v>#NUM!</v>
      </c>
      <c r="DS93" s="59" t="e">
        <f t="shared" si="71"/>
        <v>#NUM!</v>
      </c>
      <c r="DT93" s="59">
        <f ca="1">AVERAGE(OFFSET($DS$3,0,0,'Données projet'!$E$14+1,1))-AVERAGE(OFFSET($H$3,0,0,'Données projet'!$E$14+1,1))</f>
        <v>246.11623544660486</v>
      </c>
      <c r="DU93" s="59">
        <f t="shared" si="98"/>
        <v>273.18950868898253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69.459930028589483</v>
      </c>
      <c r="EB93" s="21">
        <f>EXP(-LN(2)/25)*EB92+(1-EXP(-LN(2)/25))/(LN(2)/25)*Calculateur!DW93*Calculateur!DY93*VLOOKUP('Données projet'!$B$14,Paramètres!$A$1:$I$89,3,0)*0.475*44/12</f>
        <v>17.388657124968244</v>
      </c>
      <c r="EC93" s="21">
        <f>EXP(-LN(2)/2)*EC92+(1-EXP(-LN(2)/2))/(LN(2)/2)*DW93*DZ93*VLOOKUP('Données projet'!$B$14,Paramètres!$A$1:$I$89,3,0)*0.475*44/12</f>
        <v>9.9380868246859021E-4</v>
      </c>
      <c r="ED93" s="22">
        <f t="shared" si="72"/>
        <v>86.849580962240196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5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67">
        <f t="shared" si="56"/>
        <v>183.33333333333334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6.2</v>
      </c>
      <c r="N94" s="13">
        <f>IF('Données projet'!$A$36&gt;35,N93+M94-V93,IF(A94&lt;'Données projet'!$A$36,$K$205^A94,IF(A94='Données projet'!$A$36,'Données projet'!$B$36,N93+M94-V93)))</f>
        <v>308.19999999999987</v>
      </c>
      <c r="O94" s="13">
        <f>N94*VLOOKUP('Données projet'!$B$9,Paramètres!$A$1:$I$89,3,0)*VLOOKUP('Données projet'!$B$9,Paramètres!$A$1:$I$89,5,0)</f>
        <v>312.51479999999992</v>
      </c>
      <c r="P94" s="13">
        <f t="shared" si="87"/>
        <v>73.793773289024969</v>
      </c>
      <c r="Q94" s="20">
        <f t="shared" si="54"/>
        <v>672.82076514505172</v>
      </c>
      <c r="R94" s="59">
        <f t="shared" si="55"/>
        <v>947.50759198789683</v>
      </c>
      <c r="S94" s="59">
        <f ca="1">AVERAGE(OFFSET($R$3,0,0,'Données projet'!$E$9+1,1))-AVERAGE(OFFSET($H$3,0,0,'Données projet'!$E$9+1,1))</f>
        <v>538.10210778862256</v>
      </c>
      <c r="T94" s="59">
        <f t="shared" si="88"/>
        <v>399.53300632021399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44.331266392973831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44.331266392973831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6.2</v>
      </c>
      <c r="AI94" s="13">
        <f>IF('Données projet'!$A$62&gt;35,AI93+AH94-AQ93,IF(A94&lt;'Données projet'!$A$62,$AF$205^A94,IF(A94='Données projet'!$A$62,'Données projet'!$B$62,AI93+AH94-AQ93)))</f>
        <v>308.19999999999987</v>
      </c>
      <c r="AJ94" s="13">
        <f>AI94*VLOOKUP('Données projet'!$B$10,Paramètres!$A$1:$I$89,3,0)*VLOOKUP('Données projet'!$B$10,Paramètres!$A$1:$I$89,5,0)</f>
        <v>322.13063999999986</v>
      </c>
      <c r="AK94" s="13">
        <f t="shared" si="89"/>
        <v>75.796503383835429</v>
      </c>
      <c r="AL94" s="20">
        <f t="shared" si="58"/>
        <v>693.05644139351307</v>
      </c>
      <c r="AM94" s="59">
        <f t="shared" si="59"/>
        <v>967.74326823635806</v>
      </c>
      <c r="AN94" s="59">
        <f ca="1">AVERAGE(OFFSET($AM$3,0,0,'Données projet'!$E$10+1,1))-AVERAGE(OFFSET($H$3,0,0,'Données projet'!$E$10+1,1))</f>
        <v>552.26894123675538</v>
      </c>
      <c r="AO94" s="59">
        <f t="shared" si="90"/>
        <v>409.85604950107006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45.695305358911476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45.695305358911476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3.8</v>
      </c>
      <c r="BD94" s="12">
        <f>IF('Données projet'!$A$88&gt;35,BD93+BC94-BL93,IF(A94&lt;'Données projet'!$A$88,$BA$205^A94,IF(A94='Données projet'!$A$88,'Données projet'!$B$88,BD93+BC94-BL93)))</f>
        <v>196.79999999999995</v>
      </c>
      <c r="BE94" s="13">
        <f>BD94*VLOOKUP('Données projet'!$B$11,Paramètres!$A$1:$I$89,3,0)*VLOOKUP('Données projet'!$B$11,Paramètres!$A$1:$I$89,5,0)</f>
        <v>211.83551999999992</v>
      </c>
      <c r="BF94" s="13">
        <f t="shared" si="91"/>
        <v>52.336489616154928</v>
      </c>
      <c r="BG94" s="20">
        <f t="shared" si="61"/>
        <v>460.09958341480302</v>
      </c>
      <c r="BH94" s="59">
        <f t="shared" si="62"/>
        <v>734.78641025764807</v>
      </c>
      <c r="BI94" s="59">
        <f ca="1">AVERAGE(OFFSET($BH$3,0,0,'Données projet'!$E$11+1,1))-AVERAGE(OFFSET($H$3,0,0,'Données projet'!$E$11+1,1))</f>
        <v>361.24725625563468</v>
      </c>
      <c r="BJ94" s="59">
        <f t="shared" si="92"/>
        <v>186.0840067781198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21.072927160904385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21.072927160904385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7</v>
      </c>
      <c r="BY94" s="12">
        <f>IF('Données projet'!$A$114&gt;35,BY93+BX94-CG93,IF(A94&lt;'Données projet'!$A$114,$BV$205^A94,IF(A94='Données projet'!$A$114,'Données projet'!$B$114,BY93+BX94-CG93)))</f>
        <v>260.99999999999983</v>
      </c>
      <c r="BZ94" s="13">
        <f>BY94*VLOOKUP('Données projet'!$B$12,Paramètres!$A$1:$I$89,3,0)*VLOOKUP('Données projet'!$B$12,Paramètres!$A$1:$I$89,5,0)</f>
        <v>175.07879999999989</v>
      </c>
      <c r="CA94" s="13">
        <f t="shared" si="93"/>
        <v>44.225549694464824</v>
      </c>
      <c r="CB94" s="20">
        <f t="shared" si="64"/>
        <v>381.95507571785942</v>
      </c>
      <c r="CC94" s="59">
        <f t="shared" si="65"/>
        <v>656.64190256070447</v>
      </c>
      <c r="CD94" s="59">
        <f ca="1">AVERAGE(OFFSET($CC$3,0,0,'Données projet'!$E$12+1,1))-AVERAGE(OFFSET($H$3,0,0,'Données projet'!$E$12+1,1))</f>
        <v>323.91378047319455</v>
      </c>
      <c r="CE94" s="59">
        <f t="shared" si="94"/>
        <v>212.89889176380288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27.110274448010916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27.110274448010916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>
        <f>CT94*VLOOKUP('Données projet'!$B$13,Paramètres!$A$1:$I$89,3,0)*VLOOKUP('Données projet'!$B$13,Paramètres!$A$1:$I$89,5,0)</f>
        <v>0</v>
      </c>
      <c r="CV94" s="13" t="e">
        <f t="shared" si="95"/>
        <v>#NUM!</v>
      </c>
      <c r="CW94" s="20" t="e">
        <f t="shared" si="67"/>
        <v>#NUM!</v>
      </c>
      <c r="CX94" s="59" t="e">
        <f t="shared" si="68"/>
        <v>#NUM!</v>
      </c>
      <c r="CY94" s="59">
        <f ca="1">AVERAGE(OFFSET($CX$3,0,0,'Données projet'!$E$13+1,1))-AVERAGE(OFFSET($H$3,0,0,'Données projet'!$E$13+1,1))</f>
        <v>356.07880667298025</v>
      </c>
      <c r="CZ94" s="59">
        <f t="shared" si="96"/>
        <v>396.05161661639659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99.254973750909301</v>
      </c>
      <c r="DG94" s="21">
        <f>EXP(-LN(2)/25)*DG93+(1-EXP(-LN(2)/25))/(LN(2)/25)*Calculateur!DB94*Calculateur!DD94*VLOOKUP('Données projet'!$B$13,Paramètres!$A$1:$I$89,3,0)*0.475*44/12</f>
        <v>18.620560048889146</v>
      </c>
      <c r="DH94" s="21">
        <f>EXP(-LN(2)/2)*DH93+(1-EXP(-LN(2)/2))/(LN(2)/2)*DB94*DE94*VLOOKUP('Données projet'!$B$13,Paramètres!$A$1:$I$89,3,0)*0.475*44/12</f>
        <v>7.3955213093559948E-4</v>
      </c>
      <c r="DI94" s="22">
        <f t="shared" si="69"/>
        <v>117.87627335192938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>
        <f>DO94*VLOOKUP('Données projet'!$B$14,Paramètres!$A$1:$I$89,3,0)*VLOOKUP('Données projet'!$B$14,Paramètres!$A$1:$I$89,5,0)</f>
        <v>0</v>
      </c>
      <c r="DQ94" s="13" t="e">
        <f t="shared" si="97"/>
        <v>#NUM!</v>
      </c>
      <c r="DR94" s="20" t="e">
        <f t="shared" si="70"/>
        <v>#NUM!</v>
      </c>
      <c r="DS94" s="59" t="e">
        <f t="shared" si="71"/>
        <v>#NUM!</v>
      </c>
      <c r="DT94" s="59">
        <f ca="1">AVERAGE(OFFSET($DS$3,0,0,'Données projet'!$E$14+1,1))-AVERAGE(OFFSET($H$3,0,0,'Données projet'!$E$14+1,1))</f>
        <v>246.11623544660486</v>
      </c>
      <c r="DU94" s="59">
        <f t="shared" si="98"/>
        <v>273.18950868898253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68.09786316710283</v>
      </c>
      <c r="EB94" s="21">
        <f>EXP(-LN(2)/25)*EB93+(1-EXP(-LN(2)/25))/(LN(2)/25)*Calculateur!DW94*Calculateur!DY94*VLOOKUP('Données projet'!$B$14,Paramètres!$A$1:$I$89,3,0)*0.475*44/12</f>
        <v>16.913163381456251</v>
      </c>
      <c r="EC94" s="21">
        <f>EXP(-LN(2)/2)*EC93+(1-EXP(-LN(2)/2))/(LN(2)/2)*DW94*DZ94*VLOOKUP('Données projet'!$B$14,Paramètres!$A$1:$I$89,3,0)*0.475*44/12</f>
        <v>7.0272885857560852E-4</v>
      </c>
      <c r="ED94" s="22">
        <f t="shared" si="72"/>
        <v>85.011729277417643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5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67">
        <f t="shared" si="56"/>
        <v>183.33333333333334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6.2</v>
      </c>
      <c r="N95" s="13">
        <f>IF('Données projet'!$A$36&gt;35,N94+M95-V94,IF(A95&lt;'Données projet'!$A$36,$K$205^A95,IF(A95='Données projet'!$A$36,'Données projet'!$B$36,N94+M95-V94)))</f>
        <v>314.39999999999986</v>
      </c>
      <c r="O95" s="13">
        <f>N95*VLOOKUP('Données projet'!$B$9,Paramètres!$A$1:$I$89,3,0)*VLOOKUP('Données projet'!$B$9,Paramètres!$A$1:$I$89,5,0)</f>
        <v>318.80159999999989</v>
      </c>
      <c r="P95" s="13">
        <f t="shared" si="87"/>
        <v>75.103948812522063</v>
      </c>
      <c r="Q95" s="20">
        <f t="shared" si="54"/>
        <v>686.05216418180908</v>
      </c>
      <c r="R95" s="59">
        <f t="shared" si="55"/>
        <v>961.06246622492085</v>
      </c>
      <c r="S95" s="59">
        <f ca="1">AVERAGE(OFFSET($R$3,0,0,'Données projet'!$E$9+1,1))-AVERAGE(OFFSET($H$3,0,0,'Données projet'!$E$9+1,1))</f>
        <v>538.10210778862256</v>
      </c>
      <c r="T95" s="59">
        <f t="shared" si="88"/>
        <v>399.53300632021399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43.461957298410198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43.461957298410198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6.2</v>
      </c>
      <c r="AI95" s="13">
        <f>IF('Données projet'!$A$62&gt;35,AI94+AH95-AQ94,IF(A95&lt;'Données projet'!$A$62,$AF$205^A95,IF(A95='Données projet'!$A$62,'Données projet'!$B$62,AI94+AH95-AQ94)))</f>
        <v>314.39999999999986</v>
      </c>
      <c r="AJ95" s="13">
        <f>AI95*VLOOKUP('Données projet'!$B$10,Paramètres!$A$1:$I$89,3,0)*VLOOKUP('Données projet'!$B$10,Paramètres!$A$1:$I$89,5,0)</f>
        <v>328.6108799999999</v>
      </c>
      <c r="AK95" s="13">
        <f t="shared" si="89"/>
        <v>77.142236486697911</v>
      </c>
      <c r="AL95" s="20">
        <f t="shared" si="58"/>
        <v>706.68667788099856</v>
      </c>
      <c r="AM95" s="59">
        <f t="shared" si="59"/>
        <v>981.69697992411034</v>
      </c>
      <c r="AN95" s="59">
        <f ca="1">AVERAGE(OFFSET($AM$3,0,0,'Données projet'!$E$10+1,1))-AVERAGE(OFFSET($H$3,0,0,'Données projet'!$E$10+1,1))</f>
        <v>552.26894123675538</v>
      </c>
      <c r="AO95" s="59">
        <f t="shared" si="90"/>
        <v>409.85604950107006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44.799248292207423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44.799248292207423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3.8</v>
      </c>
      <c r="BD95" s="12">
        <f>IF('Données projet'!$A$88&gt;35,BD94+BC95-BL94,IF(A95&lt;'Données projet'!$A$88,$BA$205^A95,IF(A95='Données projet'!$A$88,'Données projet'!$B$88,BD94+BC95-BL94)))</f>
        <v>200.59999999999997</v>
      </c>
      <c r="BE95" s="13">
        <f>BD95*VLOOKUP('Données projet'!$B$11,Paramètres!$A$1:$I$89,3,0)*VLOOKUP('Données projet'!$B$11,Paramètres!$A$1:$I$89,5,0)</f>
        <v>215.92583999999994</v>
      </c>
      <c r="BF95" s="13">
        <f t="shared" si="91"/>
        <v>53.22842614105901</v>
      </c>
      <c r="BG95" s="20">
        <f t="shared" si="61"/>
        <v>468.77701352901096</v>
      </c>
      <c r="BH95" s="59">
        <f t="shared" si="62"/>
        <v>743.78731557212268</v>
      </c>
      <c r="BI95" s="59">
        <f ca="1">AVERAGE(OFFSET($BH$3,0,0,'Données projet'!$E$11+1,1))-AVERAGE(OFFSET($H$3,0,0,'Données projet'!$E$11+1,1))</f>
        <v>361.24725625563468</v>
      </c>
      <c r="BJ95" s="59">
        <f t="shared" si="92"/>
        <v>186.0840067781198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20.659699912495469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20.659699912495469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7</v>
      </c>
      <c r="BY95" s="12">
        <f>IF('Données projet'!$A$114&gt;35,BY94+BX95-CG94,IF(A95&lt;'Données projet'!$A$114,$BV$205^A95,IF(A95='Données projet'!$A$114,'Données projet'!$B$114,BY94+BX95-CG94)))</f>
        <v>267.99999999999983</v>
      </c>
      <c r="BZ95" s="13">
        <f>BY95*VLOOKUP('Données projet'!$B$12,Paramètres!$A$1:$I$89,3,0)*VLOOKUP('Données projet'!$B$12,Paramètres!$A$1:$I$89,5,0)</f>
        <v>179.7743999999999</v>
      </c>
      <c r="CA95" s="13">
        <f t="shared" si="93"/>
        <v>45.271990660094779</v>
      </c>
      <c r="CB95" s="20">
        <f t="shared" si="64"/>
        <v>391.95579706633157</v>
      </c>
      <c r="CC95" s="59">
        <f t="shared" si="65"/>
        <v>666.96609910944335</v>
      </c>
      <c r="CD95" s="59">
        <f ca="1">AVERAGE(OFFSET($CC$3,0,0,'Données projet'!$E$12+1,1))-AVERAGE(OFFSET($H$3,0,0,'Données projet'!$E$12+1,1))</f>
        <v>323.91378047319455</v>
      </c>
      <c r="CE95" s="59">
        <f t="shared" si="94"/>
        <v>212.89889176380288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26.578658501720078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26.578658501720078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>
        <f>CT95*VLOOKUP('Données projet'!$B$13,Paramètres!$A$1:$I$89,3,0)*VLOOKUP('Données projet'!$B$13,Paramètres!$A$1:$I$89,5,0)</f>
        <v>0</v>
      </c>
      <c r="CV95" s="13" t="e">
        <f t="shared" si="95"/>
        <v>#NUM!</v>
      </c>
      <c r="CW95" s="20" t="e">
        <f t="shared" si="67"/>
        <v>#NUM!</v>
      </c>
      <c r="CX95" s="59" t="e">
        <f t="shared" si="68"/>
        <v>#NUM!</v>
      </c>
      <c r="CY95" s="59">
        <f ca="1">AVERAGE(OFFSET($CX$3,0,0,'Données projet'!$E$13+1,1))-AVERAGE(OFFSET($H$3,0,0,'Données projet'!$E$13+1,1))</f>
        <v>356.07880667298025</v>
      </c>
      <c r="CZ95" s="59">
        <f t="shared" si="96"/>
        <v>396.05161661639659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97.308644255210169</v>
      </c>
      <c r="DG95" s="21">
        <f>EXP(-LN(2)/25)*DG94+(1-EXP(-LN(2)/25))/(LN(2)/25)*Calculateur!DB95*Calculateur!DD95*VLOOKUP('Données projet'!$B$13,Paramètres!$A$1:$I$89,3,0)*0.475*44/12</f>
        <v>18.111379855139578</v>
      </c>
      <c r="DH95" s="21">
        <f>EXP(-LN(2)/2)*DH94+(1-EXP(-LN(2)/2))/(LN(2)/2)*DB95*DE95*VLOOKUP('Données projet'!$B$13,Paramètres!$A$1:$I$89,3,0)*0.475*44/12</f>
        <v>5.2294232682552387E-4</v>
      </c>
      <c r="DI95" s="22">
        <f t="shared" si="69"/>
        <v>115.42054705267657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>
        <f>DO95*VLOOKUP('Données projet'!$B$14,Paramètres!$A$1:$I$89,3,0)*VLOOKUP('Données projet'!$B$14,Paramètres!$A$1:$I$89,5,0)</f>
        <v>0</v>
      </c>
      <c r="DQ95" s="13" t="e">
        <f t="shared" si="97"/>
        <v>#NUM!</v>
      </c>
      <c r="DR95" s="20" t="e">
        <f t="shared" si="70"/>
        <v>#NUM!</v>
      </c>
      <c r="DS95" s="59" t="e">
        <f t="shared" si="71"/>
        <v>#NUM!</v>
      </c>
      <c r="DT95" s="59">
        <f ca="1">AVERAGE(OFFSET($DS$3,0,0,'Données projet'!$E$14+1,1))-AVERAGE(OFFSET($H$3,0,0,'Données projet'!$E$14+1,1))</f>
        <v>246.11623544660486</v>
      </c>
      <c r="DU95" s="59">
        <f t="shared" si="98"/>
        <v>273.18950868898253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66.76250560599118</v>
      </c>
      <c r="EB95" s="21">
        <f>EXP(-LN(2)/25)*EB94+(1-EXP(-LN(2)/25))/(LN(2)/25)*Calculateur!DW95*Calculateur!DY95*VLOOKUP('Données projet'!$B$14,Paramètres!$A$1:$I$89,3,0)*0.475*44/12</f>
        <v>16.450672039365724</v>
      </c>
      <c r="EC95" s="21">
        <f>EXP(-LN(2)/2)*EC94+(1-EXP(-LN(2)/2))/(LN(2)/2)*DW95*DZ95*VLOOKUP('Données projet'!$B$14,Paramètres!$A$1:$I$89,3,0)*0.475*44/12</f>
        <v>4.969043412342951E-4</v>
      </c>
      <c r="ED95" s="22">
        <f t="shared" si="72"/>
        <v>83.21367454969814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5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67">
        <f t="shared" si="56"/>
        <v>183.33333333333334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6.2</v>
      </c>
      <c r="N96" s="13">
        <f>IF('Données projet'!$A$36&gt;35,N95+M96-V95,IF(A96&lt;'Données projet'!$A$36,$K$205^A96,IF(A96='Données projet'!$A$36,'Données projet'!$B$36,N95+M96-V95)))</f>
        <v>320.59999999999985</v>
      </c>
      <c r="O96" s="13">
        <f>N96*VLOOKUP('Données projet'!$B$9,Paramètres!$A$1:$I$89,3,0)*VLOOKUP('Données projet'!$B$9,Paramètres!$A$1:$I$89,5,0)</f>
        <v>325.08839999999987</v>
      </c>
      <c r="P96" s="13">
        <f t="shared" si="87"/>
        <v>76.411120176279752</v>
      </c>
      <c r="Q96" s="20">
        <f t="shared" si="54"/>
        <v>699.27833097368693</v>
      </c>
      <c r="R96" s="59">
        <f t="shared" si="55"/>
        <v>974.60649664552284</v>
      </c>
      <c r="S96" s="59">
        <f ca="1">AVERAGE(OFFSET($R$3,0,0,'Données projet'!$E$9+1,1))-AVERAGE(OFFSET($H$3,0,0,'Données projet'!$E$9+1,1))</f>
        <v>538.10210778862256</v>
      </c>
      <c r="T96" s="59">
        <f t="shared" si="88"/>
        <v>399.53300632021399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42.609694824964762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42.609694824964762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6.2</v>
      </c>
      <c r="AI96" s="13">
        <f>IF('Données projet'!$A$62&gt;35,AI95+AH96-AQ95,IF(A96&lt;'Données projet'!$A$62,$AF$205^A96,IF(A96='Données projet'!$A$62,'Données projet'!$B$62,AI95+AH96-AQ95)))</f>
        <v>320.59999999999985</v>
      </c>
      <c r="AJ96" s="13">
        <f>AI96*VLOOKUP('Données projet'!$B$10,Paramètres!$A$1:$I$89,3,0)*VLOOKUP('Données projet'!$B$10,Paramètres!$A$1:$I$89,5,0)</f>
        <v>335.09111999999988</v>
      </c>
      <c r="AK96" s="13">
        <f t="shared" si="89"/>
        <v>78.484883898265551</v>
      </c>
      <c r="AL96" s="20">
        <f t="shared" si="58"/>
        <v>720.31154012281229</v>
      </c>
      <c r="AM96" s="59">
        <f t="shared" si="59"/>
        <v>995.63970579464831</v>
      </c>
      <c r="AN96" s="59">
        <f ca="1">AVERAGE(OFFSET($AM$3,0,0,'Données projet'!$E$10+1,1))-AVERAGE(OFFSET($H$3,0,0,'Données projet'!$E$10+1,1))</f>
        <v>552.26894123675538</v>
      </c>
      <c r="AO96" s="59">
        <f t="shared" si="90"/>
        <v>409.85604950107006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43.920762358040591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43.920762358040591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3.8</v>
      </c>
      <c r="BD96" s="12">
        <f>IF('Données projet'!$A$88&gt;35,BD95+BC96-BL95,IF(A96&lt;'Données projet'!$A$88,$BA$205^A96,IF(A96='Données projet'!$A$88,'Données projet'!$B$88,BD95+BC96-BL95)))</f>
        <v>204.39999999999998</v>
      </c>
      <c r="BE96" s="13">
        <f>BD96*VLOOKUP('Données projet'!$B$11,Paramètres!$A$1:$I$89,3,0)*VLOOKUP('Données projet'!$B$11,Paramètres!$A$1:$I$89,5,0)</f>
        <v>220.01615999999996</v>
      </c>
      <c r="BF96" s="13">
        <f t="shared" si="91"/>
        <v>54.118398001737724</v>
      </c>
      <c r="BG96" s="20">
        <f t="shared" si="61"/>
        <v>477.45102185302648</v>
      </c>
      <c r="BH96" s="59">
        <f t="shared" si="62"/>
        <v>752.77918752486244</v>
      </c>
      <c r="BI96" s="59">
        <f ca="1">AVERAGE(OFFSET($BH$3,0,0,'Données projet'!$E$11+1,1))-AVERAGE(OFFSET($H$3,0,0,'Données projet'!$E$11+1,1))</f>
        <v>361.24725625563468</v>
      </c>
      <c r="BJ96" s="59">
        <f t="shared" si="92"/>
        <v>186.0840067781198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20.254575798384117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20.254575798384117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7</v>
      </c>
      <c r="BY96" s="12">
        <f>IF('Données projet'!$A$114&gt;35,BY95+BX96-CG95,IF(A96&lt;'Données projet'!$A$114,$BV$205^A96,IF(A96='Données projet'!$A$114,'Données projet'!$B$114,BY95+BX96-CG95)))</f>
        <v>274.99999999999983</v>
      </c>
      <c r="BZ96" s="13">
        <f>BY96*VLOOKUP('Données projet'!$B$12,Paramètres!$A$1:$I$89,3,0)*VLOOKUP('Données projet'!$B$12,Paramètres!$A$1:$I$89,5,0)</f>
        <v>184.46999999999989</v>
      </c>
      <c r="CA96" s="13">
        <f t="shared" si="93"/>
        <v>46.315254582516552</v>
      </c>
      <c r="CB96" s="20">
        <f t="shared" si="64"/>
        <v>401.95098506454946</v>
      </c>
      <c r="CC96" s="59">
        <f t="shared" si="65"/>
        <v>677.27915073638542</v>
      </c>
      <c r="CD96" s="59">
        <f ca="1">AVERAGE(OFFSET($CC$3,0,0,'Données projet'!$E$12+1,1))-AVERAGE(OFFSET($H$3,0,0,'Données projet'!$E$12+1,1))</f>
        <v>323.91378047319455</v>
      </c>
      <c r="CE96" s="59">
        <f t="shared" si="94"/>
        <v>212.89889176380288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26.057467219882291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26.057467219882291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>
        <f>CT96*VLOOKUP('Données projet'!$B$13,Paramètres!$A$1:$I$89,3,0)*VLOOKUP('Données projet'!$B$13,Paramètres!$A$1:$I$89,5,0)</f>
        <v>0</v>
      </c>
      <c r="CV96" s="13" t="e">
        <f t="shared" si="95"/>
        <v>#NUM!</v>
      </c>
      <c r="CW96" s="20" t="e">
        <f t="shared" si="67"/>
        <v>#NUM!</v>
      </c>
      <c r="CX96" s="59" t="e">
        <f t="shared" si="68"/>
        <v>#NUM!</v>
      </c>
      <c r="CY96" s="59">
        <f ca="1">AVERAGE(OFFSET($CX$3,0,0,'Données projet'!$E$13+1,1))-AVERAGE(OFFSET($H$3,0,0,'Données projet'!$E$13+1,1))</f>
        <v>356.07880667298025</v>
      </c>
      <c r="CZ96" s="59">
        <f t="shared" si="96"/>
        <v>396.05161661639659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95.400481093777927</v>
      </c>
      <c r="DG96" s="21">
        <f>EXP(-LN(2)/25)*DG95+(1-EXP(-LN(2)/25))/(LN(2)/25)*Calculateur!DB96*Calculateur!DD96*VLOOKUP('Données projet'!$B$13,Paramètres!$A$1:$I$89,3,0)*0.475*44/12</f>
        <v>17.616123220564713</v>
      </c>
      <c r="DH96" s="21">
        <f>EXP(-LN(2)/2)*DH95+(1-EXP(-LN(2)/2))/(LN(2)/2)*DB96*DE96*VLOOKUP('Données projet'!$B$13,Paramètres!$A$1:$I$89,3,0)*0.475*44/12</f>
        <v>3.6977606546779974E-4</v>
      </c>
      <c r="DI96" s="22">
        <f t="shared" si="69"/>
        <v>113.01697409040811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>
        <f>DO96*VLOOKUP('Données projet'!$B$14,Paramètres!$A$1:$I$89,3,0)*VLOOKUP('Données projet'!$B$14,Paramètres!$A$1:$I$89,5,0)</f>
        <v>0</v>
      </c>
      <c r="DQ96" s="13" t="e">
        <f t="shared" si="97"/>
        <v>#NUM!</v>
      </c>
      <c r="DR96" s="20" t="e">
        <f t="shared" si="70"/>
        <v>#NUM!</v>
      </c>
      <c r="DS96" s="59" t="e">
        <f t="shared" si="71"/>
        <v>#NUM!</v>
      </c>
      <c r="DT96" s="59">
        <f ca="1">AVERAGE(OFFSET($DS$3,0,0,'Données projet'!$E$14+1,1))-AVERAGE(OFFSET($H$3,0,0,'Données projet'!$E$14+1,1))</f>
        <v>246.11623544660486</v>
      </c>
      <c r="DU96" s="59">
        <f t="shared" si="98"/>
        <v>273.18950868898253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65.453333592165237</v>
      </c>
      <c r="EB96" s="21">
        <f>EXP(-LN(2)/25)*EB95+(1-EXP(-LN(2)/25))/(LN(2)/25)*Calculateur!DW96*Calculateur!DY96*VLOOKUP('Données projet'!$B$14,Paramètres!$A$1:$I$89,3,0)*0.475*44/12</f>
        <v>16.000827547346024</v>
      </c>
      <c r="EC96" s="21">
        <f>EXP(-LN(2)/2)*EC95+(1-EXP(-LN(2)/2))/(LN(2)/2)*DW96*DZ96*VLOOKUP('Données projet'!$B$14,Paramètres!$A$1:$I$89,3,0)*0.475*44/12</f>
        <v>3.5136442928780426E-4</v>
      </c>
      <c r="ED96" s="22">
        <f t="shared" si="72"/>
        <v>81.454512503940549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5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67">
        <f t="shared" si="56"/>
        <v>183.33333333333334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6.2</v>
      </c>
      <c r="N97" s="13">
        <f>IF('Données projet'!$A$36&gt;35,N96+M97-V96,IF(A97&lt;'Données projet'!$A$36,$K$205^A97,IF(A97='Données projet'!$A$36,'Données projet'!$B$36,N96+M97-V96)))</f>
        <v>326.79999999999984</v>
      </c>
      <c r="O97" s="13">
        <f>N97*VLOOKUP('Données projet'!$B$9,Paramètres!$A$1:$I$89,3,0)*VLOOKUP('Données projet'!$B$9,Paramètres!$A$1:$I$89,5,0)</f>
        <v>331.37519999999984</v>
      </c>
      <c r="P97" s="13">
        <f t="shared" si="87"/>
        <v>77.715352174616896</v>
      </c>
      <c r="Q97" s="20">
        <f t="shared" si="54"/>
        <v>712.49937837079085</v>
      </c>
      <c r="R97" s="59">
        <f t="shared" si="55"/>
        <v>988.1398934480294</v>
      </c>
      <c r="S97" s="59">
        <f ca="1">AVERAGE(OFFSET($R$3,0,0,'Données projet'!$E$9+1,1))-AVERAGE(OFFSET($H$3,0,0,'Données projet'!$E$9+1,1))</f>
        <v>538.10210778862256</v>
      </c>
      <c r="T97" s="59">
        <f t="shared" si="88"/>
        <v>399.53300632021399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41.774144698794814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41.774144698794814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6.2</v>
      </c>
      <c r="AI97" s="13">
        <f>IF('Données projet'!$A$62&gt;35,AI96+AH97-AQ96,IF(A97&lt;'Données projet'!$A$62,$AF$205^A97,IF(A97='Données projet'!$A$62,'Données projet'!$B$62,AI96+AH97-AQ96)))</f>
        <v>326.79999999999984</v>
      </c>
      <c r="AJ97" s="13">
        <f>AI97*VLOOKUP('Données projet'!$B$10,Paramètres!$A$1:$I$89,3,0)*VLOOKUP('Données projet'!$B$10,Paramètres!$A$1:$I$89,5,0)</f>
        <v>341.57135999999986</v>
      </c>
      <c r="AK97" s="13">
        <f t="shared" si="89"/>
        <v>79.824512171345944</v>
      </c>
      <c r="AL97" s="20">
        <f t="shared" si="58"/>
        <v>733.9311440317606</v>
      </c>
      <c r="AM97" s="59">
        <f t="shared" si="59"/>
        <v>1009.571659108999</v>
      </c>
      <c r="AN97" s="59">
        <f ca="1">AVERAGE(OFFSET($AM$3,0,0,'Données projet'!$E$10+1,1))-AVERAGE(OFFSET($H$3,0,0,'Données projet'!$E$10+1,1))</f>
        <v>552.26894123675538</v>
      </c>
      <c r="AO97" s="59">
        <f t="shared" si="90"/>
        <v>409.85604950107006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43.059502997219255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43.059502997219255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3.8</v>
      </c>
      <c r="BD97" s="12">
        <f>IF('Données projet'!$A$88&gt;35,BD96+BC97-BL96,IF(A97&lt;'Données projet'!$A$88,$BA$205^A97,IF(A97='Données projet'!$A$88,'Données projet'!$B$88,BD96+BC97-BL96)))</f>
        <v>208.2</v>
      </c>
      <c r="BE97" s="13">
        <f>BD97*VLOOKUP('Données projet'!$B$11,Paramètres!$A$1:$I$89,3,0)*VLOOKUP('Données projet'!$B$11,Paramètres!$A$1:$I$89,5,0)</f>
        <v>224.10647999999998</v>
      </c>
      <c r="BF97" s="13">
        <f t="shared" si="91"/>
        <v>55.006445935422541</v>
      </c>
      <c r="BG97" s="20">
        <f t="shared" si="61"/>
        <v>486.12167933752761</v>
      </c>
      <c r="BH97" s="59">
        <f t="shared" si="62"/>
        <v>761.7621944147661</v>
      </c>
      <c r="BI97" s="59">
        <f ca="1">AVERAGE(OFFSET($BH$3,0,0,'Données projet'!$E$11+1,1))-AVERAGE(OFFSET($H$3,0,0,'Données projet'!$E$11+1,1))</f>
        <v>361.24725625563468</v>
      </c>
      <c r="BJ97" s="59">
        <f t="shared" si="92"/>
        <v>186.0840067781198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19.857395921049179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19.857395921049179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7</v>
      </c>
      <c r="BY97" s="12">
        <f>IF('Données projet'!$A$114&gt;35,BY96+BX97-CG96,IF(A97&lt;'Données projet'!$A$114,$BV$205^A97,IF(A97='Données projet'!$A$114,'Données projet'!$B$114,BY96+BX97-CG96)))</f>
        <v>281.99999999999983</v>
      </c>
      <c r="BZ97" s="13">
        <f>BY97*VLOOKUP('Données projet'!$B$12,Paramètres!$A$1:$I$89,3,0)*VLOOKUP('Données projet'!$B$12,Paramètres!$A$1:$I$89,5,0)</f>
        <v>189.16559999999987</v>
      </c>
      <c r="CA97" s="13">
        <f t="shared" si="93"/>
        <v>47.355431631295232</v>
      </c>
      <c r="CB97" s="20">
        <f t="shared" si="64"/>
        <v>411.940796757839</v>
      </c>
      <c r="CC97" s="59">
        <f t="shared" si="65"/>
        <v>687.58131183507749</v>
      </c>
      <c r="CD97" s="59">
        <f ca="1">AVERAGE(OFFSET($CC$3,0,0,'Données projet'!$E$12+1,1))-AVERAGE(OFFSET($H$3,0,0,'Données projet'!$E$12+1,1))</f>
        <v>323.91378047319455</v>
      </c>
      <c r="CE97" s="59">
        <f t="shared" si="94"/>
        <v>212.89889176380288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25.54649618118605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25.54649618118605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>
        <f>CT97*VLOOKUP('Données projet'!$B$13,Paramètres!$A$1:$I$89,3,0)*VLOOKUP('Données projet'!$B$13,Paramètres!$A$1:$I$89,5,0)</f>
        <v>0</v>
      </c>
      <c r="CV97" s="13" t="e">
        <f t="shared" si="95"/>
        <v>#NUM!</v>
      </c>
      <c r="CW97" s="20" t="e">
        <f t="shared" si="67"/>
        <v>#NUM!</v>
      </c>
      <c r="CX97" s="59" t="e">
        <f t="shared" si="68"/>
        <v>#NUM!</v>
      </c>
      <c r="CY97" s="59">
        <f ca="1">AVERAGE(OFFSET($CX$3,0,0,'Données projet'!$E$13+1,1))-AVERAGE(OFFSET($H$3,0,0,'Données projet'!$E$13+1,1))</f>
        <v>356.07880667298025</v>
      </c>
      <c r="CZ97" s="59">
        <f t="shared" si="96"/>
        <v>396.05161661639659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93.529735848076768</v>
      </c>
      <c r="DG97" s="21">
        <f>EXP(-LN(2)/25)*DG96+(1-EXP(-LN(2)/25))/(LN(2)/25)*Calculateur!DB97*Calculateur!DD97*VLOOKUP('Données projet'!$B$13,Paramètres!$A$1:$I$89,3,0)*0.475*44/12</f>
        <v>17.134409404706712</v>
      </c>
      <c r="DH97" s="21">
        <f>EXP(-LN(2)/2)*DH96+(1-EXP(-LN(2)/2))/(LN(2)/2)*DB97*DE97*VLOOKUP('Données projet'!$B$13,Paramètres!$A$1:$I$89,3,0)*0.475*44/12</f>
        <v>2.6147116341276194E-4</v>
      </c>
      <c r="DI97" s="22">
        <f t="shared" si="69"/>
        <v>110.6644067239469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>
        <f>DO97*VLOOKUP('Données projet'!$B$14,Paramètres!$A$1:$I$89,3,0)*VLOOKUP('Données projet'!$B$14,Paramètres!$A$1:$I$89,5,0)</f>
        <v>0</v>
      </c>
      <c r="DQ97" s="13" t="e">
        <f t="shared" si="97"/>
        <v>#NUM!</v>
      </c>
      <c r="DR97" s="20" t="e">
        <f t="shared" si="70"/>
        <v>#NUM!</v>
      </c>
      <c r="DS97" s="59" t="e">
        <f t="shared" si="71"/>
        <v>#NUM!</v>
      </c>
      <c r="DT97" s="59">
        <f ca="1">AVERAGE(OFFSET($DS$3,0,0,'Données projet'!$E$14+1,1))-AVERAGE(OFFSET($H$3,0,0,'Données projet'!$E$14+1,1))</f>
        <v>246.11623544660486</v>
      </c>
      <c r="DU97" s="59">
        <f t="shared" si="98"/>
        <v>273.18950868898253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64.169833643014343</v>
      </c>
      <c r="EB97" s="21">
        <f>EXP(-LN(2)/25)*EB96+(1-EXP(-LN(2)/25))/(LN(2)/25)*Calculateur!DW97*Calculateur!DY97*VLOOKUP('Données projet'!$B$14,Paramètres!$A$1:$I$89,3,0)*0.475*44/12</f>
        <v>15.563284076616897</v>
      </c>
      <c r="EC97" s="21">
        <f>EXP(-LN(2)/2)*EC96+(1-EXP(-LN(2)/2))/(LN(2)/2)*DW97*DZ97*VLOOKUP('Données projet'!$B$14,Paramètres!$A$1:$I$89,3,0)*0.475*44/12</f>
        <v>2.4845217061714755E-4</v>
      </c>
      <c r="ED97" s="22">
        <f t="shared" si="72"/>
        <v>79.733366171801862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5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67">
        <f t="shared" si="56"/>
        <v>183.33333333333334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>
        <f>VLOOKUP(A98,'Données projet'!$A$35:$I$55,2,0)</f>
        <v>333</v>
      </c>
      <c r="L98" s="12">
        <f>VLOOKUP(A98,'Données projet'!$A$35:$I$55,9,0)</f>
        <v>6.2</v>
      </c>
      <c r="M98" s="12">
        <f t="array" ref="M98">INDEX(L:L,MIN(IF(ISNUMBER(L98:L294),ROW(L98:L294),"")))</f>
        <v>6.2</v>
      </c>
      <c r="N98" s="13">
        <f>IF('Données projet'!$A$36&gt;35,N97+M98-V97,IF(A98&lt;'Données projet'!$A$36,$K$205^A98,IF(A98='Données projet'!$A$36,'Données projet'!$B$36,N97+M98-V97)))</f>
        <v>332.99999999999983</v>
      </c>
      <c r="O98" s="13">
        <f>N98*VLOOKUP('Données projet'!$B$9,Paramètres!$A$1:$I$89,3,0)*VLOOKUP('Données projet'!$B$9,Paramètres!$A$1:$I$89,5,0)</f>
        <v>337.66199999999986</v>
      </c>
      <c r="P98" s="13">
        <f t="shared" si="87"/>
        <v>79.016707002632685</v>
      </c>
      <c r="Q98" s="20">
        <f t="shared" si="54"/>
        <v>725.71541469625163</v>
      </c>
      <c r="R98" s="59">
        <f t="shared" si="55"/>
        <v>1001.6628606150175</v>
      </c>
      <c r="S98" s="59">
        <f ca="1">AVERAGE(OFFSET($R$3,0,0,'Données projet'!$E$9+1,1))-AVERAGE(OFFSET($H$3,0,0,'Données projet'!$E$9+1,1))</f>
        <v>538.10210778862256</v>
      </c>
      <c r="T98" s="59">
        <f t="shared" si="88"/>
        <v>399.53300632021399</v>
      </c>
      <c r="U98" s="15">
        <f>IF(ISNA(VLOOKUP(A98,'Données projet'!$A$35:$I$55,3,0)),0,VLOOKUP(A98,'Données projet'!$A$35:$I$55,3,0))</f>
        <v>16</v>
      </c>
      <c r="V98" s="15">
        <f>IF(ISNA(VLOOKUP(A98,'Données projet'!$A$35:$I$55,4,0)),0,VLOOKUP(A98,'Données projet'!$A$35:$I$55,4,0))</f>
        <v>28</v>
      </c>
      <c r="W98" s="16">
        <f>IF(ISNA(VLOOKUP(A98,'Données projet'!$A$35:$I$55,5,0)),0%,VLOOKUP(A98,'Données projet'!$A$35:$I$55,5,0)*VLOOKUP('Données projet'!$B$9,Paramètres!$A$1:$I$89,7,0))</f>
        <v>0.30099999999999999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50.402320220689354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50.402320220689354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>
        <f>VLOOKUP(A98,'Données projet'!$A$61:$I$81,2,0)</f>
        <v>333</v>
      </c>
      <c r="AG98" s="12">
        <f>VLOOKUP(A98,'Données projet'!$A$61:$I$81,9,0)</f>
        <v>6.2</v>
      </c>
      <c r="AH98" s="12">
        <f t="array" ref="AH98">INDEX(AG:AG,MIN(IF(ISNUMBER(AG98:AG294),ROW(AG98:AG294),"")))</f>
        <v>6.2</v>
      </c>
      <c r="AI98" s="13">
        <f>IF('Données projet'!$A$62&gt;35,AI97+AH98-AQ97,IF(A98&lt;'Données projet'!$A$62,$AF$205^A98,IF(A98='Données projet'!$A$62,'Données projet'!$B$62,AI97+AH98-AQ97)))</f>
        <v>332.99999999999983</v>
      </c>
      <c r="AJ98" s="13">
        <f>AI98*VLOOKUP('Données projet'!$B$10,Paramètres!$A$1:$I$89,3,0)*VLOOKUP('Données projet'!$B$10,Paramètres!$A$1:$I$89,5,0)</f>
        <v>348.05159999999984</v>
      </c>
      <c r="AK98" s="13">
        <f t="shared" si="89"/>
        <v>81.161185188985755</v>
      </c>
      <c r="AL98" s="20">
        <f t="shared" si="58"/>
        <v>747.54560087081654</v>
      </c>
      <c r="AM98" s="59">
        <f t="shared" si="59"/>
        <v>1023.4930467895824</v>
      </c>
      <c r="AN98" s="59">
        <f ca="1">AVERAGE(OFFSET($AM$3,0,0,'Données projet'!$E$10+1,1))-AVERAGE(OFFSET($H$3,0,0,'Données projet'!$E$10+1,1))</f>
        <v>552.26894123675538</v>
      </c>
      <c r="AO98" s="59">
        <f t="shared" si="90"/>
        <v>409.85604950107006</v>
      </c>
      <c r="AP98" s="15">
        <f>IF(ISNA(VLOOKUP(A98,'Données projet'!$A$61:$I$81,3,0)),0,VLOOKUP(A98,'Données projet'!$A$61:$I$81,3,0))</f>
        <v>16</v>
      </c>
      <c r="AQ98" s="15">
        <f>IF(ISNA(VLOOKUP(A98,'Données projet'!$A$61:$I$81,4,0)),0,VLOOKUP(A98,'Données projet'!$A$61:$I$81,4,0))</f>
        <v>28</v>
      </c>
      <c r="AR98" s="16">
        <f>IF(ISNA(VLOOKUP(A98,'Données projet'!$A$61:$I$81,5,0)),0%,VLOOKUP(A98,'Données projet'!$A$61:$I$81,5,0)*VLOOKUP('Données projet'!$B$10,Paramètres!$A$1:$I$89,7,0))</f>
        <v>0.30099999999999999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51.953160842864399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51.953160842864399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>
        <f>VLOOKUP(A98,'Données projet'!$A$87:$I$107,2,0)</f>
        <v>212</v>
      </c>
      <c r="BB98" s="12">
        <f>VLOOKUP(A98,'Données projet'!$A$87:$I$107,9,0)</f>
        <v>3.8</v>
      </c>
      <c r="BC98" s="12">
        <f t="array" ref="BC98">INDEX(BB:BB,MIN(IF(ISNUMBER(BB98:BB294),ROW(BB98:BB294),"")))</f>
        <v>3.8</v>
      </c>
      <c r="BD98" s="12">
        <f>IF('Données projet'!$A$88&gt;35,BD97+BC98-BL97,IF(A98&lt;'Données projet'!$A$88,$BA$205^A98,IF(A98='Données projet'!$A$88,'Données projet'!$B$88,BD97+BC98-BL97)))</f>
        <v>212</v>
      </c>
      <c r="BE98" s="13">
        <f>BD98*VLOOKUP('Données projet'!$B$11,Paramètres!$A$1:$I$89,3,0)*VLOOKUP('Données projet'!$B$11,Paramètres!$A$1:$I$89,5,0)</f>
        <v>228.1968</v>
      </c>
      <c r="BF98" s="13">
        <f t="shared" si="91"/>
        <v>55.892609107162002</v>
      </c>
      <c r="BG98" s="20">
        <f t="shared" si="61"/>
        <v>494.78905419497386</v>
      </c>
      <c r="BH98" s="59">
        <f t="shared" si="62"/>
        <v>770.73650011373979</v>
      </c>
      <c r="BI98" s="59">
        <f ca="1">AVERAGE(OFFSET($BH$3,0,0,'Données projet'!$E$11+1,1))-AVERAGE(OFFSET($H$3,0,0,'Données projet'!$E$11+1,1))</f>
        <v>361.24725625563468</v>
      </c>
      <c r="BJ98" s="59">
        <f t="shared" si="92"/>
        <v>186.0840067781198</v>
      </c>
      <c r="BK98" s="15">
        <f>IF(ISNA(VLOOKUP(A98,'Données projet'!$A$87:$I$107,3,0)),0,VLOOKUP(A98,'Données projet'!$A$87:$I$107,3,0))</f>
        <v>15</v>
      </c>
      <c r="BL98" s="15">
        <f>IF(ISNA(VLOOKUP(A98,'Données projet'!$A$87:$I$107,4,0)),0,VLOOKUP(A98,'Données projet'!$A$87:$I$107,4,0))</f>
        <v>14</v>
      </c>
      <c r="BM98" s="16">
        <f>IF(ISNA(VLOOKUP(A98,'Données projet'!$A$87:$I$107,5,0)),0%,VLOOKUP(A98,'Données projet'!$A$87:$I$107,5,0)*VLOOKUP('Données projet'!$B$11,Paramètres!$A$1:$I$89,7,0))</f>
        <v>0.30099999999999999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24.482362424707308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24.482362424707308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>
        <f>VLOOKUP(A98,'Données projet'!$A$113:$I$133,2,0)</f>
        <v>289</v>
      </c>
      <c r="BW98" s="12">
        <f>VLOOKUP(A98,'Données projet'!$A$113:$I$133,9,0)</f>
        <v>7</v>
      </c>
      <c r="BX98" s="12">
        <f t="array" ref="BX98">INDEX(BW:BW,MIN(IF(ISNUMBER(BW98:BW294),ROW(BW98:BW294),"")))</f>
        <v>7</v>
      </c>
      <c r="BY98" s="12">
        <f>IF('Données projet'!$A$114&gt;35,BY97+BX98-CG97,IF(A98&lt;'Données projet'!$A$114,$BV$205^A98,IF(A98='Données projet'!$A$114,'Données projet'!$B$114,BY97+BX98-CG97)))</f>
        <v>288.99999999999983</v>
      </c>
      <c r="BZ98" s="13">
        <f>BY98*VLOOKUP('Données projet'!$B$12,Paramètres!$A$1:$I$89,3,0)*VLOOKUP('Données projet'!$B$12,Paramètres!$A$1:$I$89,5,0)</f>
        <v>193.86119999999988</v>
      </c>
      <c r="CA98" s="13">
        <f t="shared" si="93"/>
        <v>48.392607244332538</v>
      </c>
      <c r="CB98" s="20">
        <f t="shared" si="64"/>
        <v>421.92538095054562</v>
      </c>
      <c r="CC98" s="59">
        <f t="shared" si="65"/>
        <v>697.87282686931155</v>
      </c>
      <c r="CD98" s="59">
        <f ca="1">AVERAGE(OFFSET($CC$3,0,0,'Données projet'!$E$12+1,1))-AVERAGE(OFFSET($H$3,0,0,'Données projet'!$E$12+1,1))</f>
        <v>323.91378047319455</v>
      </c>
      <c r="CE98" s="59">
        <f t="shared" si="94"/>
        <v>212.89889176380288</v>
      </c>
      <c r="CF98" s="15">
        <f>IF(ISNA(VLOOKUP(A98,'Données projet'!$A$113:$I$133,3,0)),0,VLOOKUP(A98,'Données projet'!$A$113:$I$133,3,0))</f>
        <v>16</v>
      </c>
      <c r="CG98" s="15">
        <f>IF(ISNA(VLOOKUP(A98,'Données projet'!$A$113:$I$133,4,0)),0,VLOOKUP(A98,'Données projet'!$A$113:$I$133,4,0))</f>
        <v>21</v>
      </c>
      <c r="CH98" s="16">
        <f>IF(ISNA(VLOOKUP(A98,'Données projet'!$A$113:$I$133,5,0)),0%,VLOOKUP(A98,'Données projet'!$A$113:$I$133,5,0)*VLOOKUP('Données projet'!$B$12,Paramètres!$A$1:$I$89,7,0))</f>
        <v>0.371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30.822957365729255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30.822957365729255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>
        <f>CT98*VLOOKUP('Données projet'!$B$13,Paramètres!$A$1:$I$89,3,0)*VLOOKUP('Données projet'!$B$13,Paramètres!$A$1:$I$89,5,0)</f>
        <v>0</v>
      </c>
      <c r="CV98" s="13" t="e">
        <f t="shared" si="95"/>
        <v>#NUM!</v>
      </c>
      <c r="CW98" s="20" t="e">
        <f t="shared" si="67"/>
        <v>#NUM!</v>
      </c>
      <c r="CX98" s="59" t="e">
        <f t="shared" si="68"/>
        <v>#NUM!</v>
      </c>
      <c r="CY98" s="59">
        <f ca="1">AVERAGE(OFFSET($CX$3,0,0,'Données projet'!$E$13+1,1))-AVERAGE(OFFSET($H$3,0,0,'Données projet'!$E$13+1,1))</f>
        <v>356.07880667298025</v>
      </c>
      <c r="CZ98" s="59">
        <f t="shared" si="96"/>
        <v>396.05161661639659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91.695674775601873</v>
      </c>
      <c r="DG98" s="21">
        <f>EXP(-LN(2)/25)*DG97+(1-EXP(-LN(2)/25))/(LN(2)/25)*Calculateur!DB98*Calculateur!DD98*VLOOKUP('Données projet'!$B$13,Paramètres!$A$1:$I$89,3,0)*0.475*44/12</f>
        <v>16.665868078475579</v>
      </c>
      <c r="DH98" s="21">
        <f>EXP(-LN(2)/2)*DH97+(1-EXP(-LN(2)/2))/(LN(2)/2)*DB98*DE98*VLOOKUP('Données projet'!$B$13,Paramètres!$A$1:$I$89,3,0)*0.475*44/12</f>
        <v>1.8488803273389987E-4</v>
      </c>
      <c r="DI98" s="22">
        <f t="shared" si="69"/>
        <v>108.36172774211019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>
        <f>DO98*VLOOKUP('Données projet'!$B$14,Paramètres!$A$1:$I$89,3,0)*VLOOKUP('Données projet'!$B$14,Paramètres!$A$1:$I$89,5,0)</f>
        <v>0</v>
      </c>
      <c r="DQ98" s="13" t="e">
        <f t="shared" si="97"/>
        <v>#NUM!</v>
      </c>
      <c r="DR98" s="20" t="e">
        <f t="shared" si="70"/>
        <v>#NUM!</v>
      </c>
      <c r="DS98" s="59" t="e">
        <f t="shared" si="71"/>
        <v>#NUM!</v>
      </c>
      <c r="DT98" s="59">
        <f ca="1">AVERAGE(OFFSET($DS$3,0,0,'Données projet'!$E$14+1,1))-AVERAGE(OFFSET($H$3,0,0,'Données projet'!$E$14+1,1))</f>
        <v>246.11623544660486</v>
      </c>
      <c r="DU98" s="59">
        <f t="shared" si="98"/>
        <v>273.18950868898253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62.911502345008628</v>
      </c>
      <c r="EB98" s="21">
        <f>EXP(-LN(2)/25)*EB97+(1-EXP(-LN(2)/25))/(LN(2)/25)*Calculateur!DW98*Calculateur!DY98*VLOOKUP('Données projet'!$B$14,Paramètres!$A$1:$I$89,3,0)*0.475*44/12</f>
        <v>15.137705255104269</v>
      </c>
      <c r="EC98" s="21">
        <f>EXP(-LN(2)/2)*EC97+(1-EXP(-LN(2)/2))/(LN(2)/2)*DW98*DZ98*VLOOKUP('Données projet'!$B$14,Paramètres!$A$1:$I$89,3,0)*0.475*44/12</f>
        <v>1.7568221464390213E-4</v>
      </c>
      <c r="ED98" s="22">
        <f t="shared" si="72"/>
        <v>78.04938328232754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5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67">
        <f t="shared" si="56"/>
        <v>183.33333333333334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5.6</v>
      </c>
      <c r="N99" s="13">
        <f>IF('Données projet'!$A$36&gt;35,N98+M99-V98,IF(A99&lt;'Données projet'!$A$36,$K$205^A99,IF(A99='Données projet'!$A$36,'Données projet'!$B$36,N98+M99-V98)))</f>
        <v>310.59999999999985</v>
      </c>
      <c r="O99" s="13">
        <f>N99*VLOOKUP('Données projet'!$B$9,Paramètres!$A$1:$I$89,3,0)*VLOOKUP('Données projet'!$B$9,Paramètres!$A$1:$I$89,5,0)</f>
        <v>314.94839999999988</v>
      </c>
      <c r="P99" s="13">
        <f t="shared" si="87"/>
        <v>74.301298626081149</v>
      </c>
      <c r="Q99" s="20">
        <f t="shared" ref="Q99:Q130" si="107">(O99+P99)*0.475*44/12</f>
        <v>677.94322510709105</v>
      </c>
      <c r="R99" s="59">
        <f t="shared" si="55"/>
        <v>954.19227730347848</v>
      </c>
      <c r="S99" s="59">
        <f ca="1">AVERAGE(OFFSET($R$3,0,0,'Données projet'!$E$9+1,1))-AVERAGE(OFFSET($H$3,0,0,'Données projet'!$E$9+1,1))</f>
        <v>538.10210778862256</v>
      </c>
      <c r="T99" s="59">
        <f t="shared" si="88"/>
        <v>399.53300632021399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49.413961463541412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49.413961463541412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5.6</v>
      </c>
      <c r="AI99" s="13">
        <f>IF('Données projet'!$A$62&gt;35,AI98+AH99-AQ98,IF(A99&lt;'Données projet'!$A$62,$AF$205^A99,IF(A99='Données projet'!$A$62,'Données projet'!$B$62,AI98+AH99-AQ98)))</f>
        <v>310.59999999999985</v>
      </c>
      <c r="AJ99" s="13">
        <f>AI99*VLOOKUP('Données projet'!$B$10,Paramètres!$A$1:$I$89,3,0)*VLOOKUP('Données projet'!$B$10,Paramètres!$A$1:$I$89,5,0)</f>
        <v>324.63911999999988</v>
      </c>
      <c r="AK99" s="13">
        <f t="shared" si="89"/>
        <v>76.317802732181491</v>
      </c>
      <c r="AL99" s="20">
        <f t="shared" si="58"/>
        <v>698.33330709188249</v>
      </c>
      <c r="AM99" s="59">
        <f t="shared" si="59"/>
        <v>974.58235928826991</v>
      </c>
      <c r="AN99" s="59">
        <f ca="1">AVERAGE(OFFSET($AM$3,0,0,'Données projet'!$E$10+1,1))-AVERAGE(OFFSET($H$3,0,0,'Données projet'!$E$10+1,1))</f>
        <v>552.26894123675538</v>
      </c>
      <c r="AO99" s="59">
        <f t="shared" si="90"/>
        <v>409.85604950107006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50.934391047034985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50.934391047034985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3.6</v>
      </c>
      <c r="BD99" s="12">
        <f>IF('Données projet'!$A$88&gt;35,BD98+BC99-BL98,IF(A99&lt;'Données projet'!$A$88,$BA$205^A99,IF(A99='Données projet'!$A$88,'Données projet'!$B$88,BD98+BC99-BL98)))</f>
        <v>201.6</v>
      </c>
      <c r="BE99" s="13">
        <f>BD99*VLOOKUP('Données projet'!$B$11,Paramètres!$A$1:$I$89,3,0)*VLOOKUP('Données projet'!$B$11,Paramètres!$A$1:$I$89,5,0)</f>
        <v>217.00223999999997</v>
      </c>
      <c r="BF99" s="13">
        <f t="shared" si="91"/>
        <v>53.462818050454771</v>
      </c>
      <c r="BG99" s="20">
        <f t="shared" si="61"/>
        <v>471.05997610454193</v>
      </c>
      <c r="BH99" s="59">
        <f t="shared" si="62"/>
        <v>747.30902830092941</v>
      </c>
      <c r="BI99" s="59">
        <f ca="1">AVERAGE(OFFSET($BH$3,0,0,'Données projet'!$E$11+1,1))-AVERAGE(OFFSET($H$3,0,0,'Données projet'!$E$11+1,1))</f>
        <v>361.24725625563468</v>
      </c>
      <c r="BJ99" s="59">
        <f t="shared" si="92"/>
        <v>186.0840067781198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24.002278230325388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24.002278230325388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2.8</v>
      </c>
      <c r="BY99" s="12">
        <f>IF('Données projet'!$A$114&gt;35,BY98+BX99-CG98,IF(A99&lt;'Données projet'!$A$114,$BV$205^A99,IF(A99='Données projet'!$A$114,'Données projet'!$B$114,BY98+BX99-CG98)))</f>
        <v>270.79999999999984</v>
      </c>
      <c r="BZ99" s="13">
        <f>BY99*VLOOKUP('Données projet'!$B$12,Paramètres!$A$1:$I$89,3,0)*VLOOKUP('Données projet'!$B$12,Paramètres!$A$1:$I$89,5,0)</f>
        <v>181.65263999999991</v>
      </c>
      <c r="CA99" s="13">
        <f t="shared" si="93"/>
        <v>45.689672314344143</v>
      </c>
      <c r="CB99" s="20">
        <f t="shared" si="64"/>
        <v>395.95452728081585</v>
      </c>
      <c r="CC99" s="59">
        <f t="shared" si="65"/>
        <v>672.20357947720322</v>
      </c>
      <c r="CD99" s="59">
        <f ca="1">AVERAGE(OFFSET($CC$3,0,0,'Données projet'!$E$12+1,1))-AVERAGE(OFFSET($H$3,0,0,'Données projet'!$E$12+1,1))</f>
        <v>323.91378047319455</v>
      </c>
      <c r="CE99" s="59">
        <f t="shared" si="94"/>
        <v>212.89889176380288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30.218537971934939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30.218537971934939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>
        <f>CT99*VLOOKUP('Données projet'!$B$13,Paramètres!$A$1:$I$89,3,0)*VLOOKUP('Données projet'!$B$13,Paramètres!$A$1:$I$89,5,0)</f>
        <v>0</v>
      </c>
      <c r="CV99" s="13" t="e">
        <f t="shared" si="95"/>
        <v>#NUM!</v>
      </c>
      <c r="CW99" s="20" t="e">
        <f t="shared" si="67"/>
        <v>#NUM!</v>
      </c>
      <c r="CX99" s="59" t="e">
        <f t="shared" si="68"/>
        <v>#NUM!</v>
      </c>
      <c r="CY99" s="59">
        <f ca="1">AVERAGE(OFFSET($CX$3,0,0,'Données projet'!$E$13+1,1))-AVERAGE(OFFSET($H$3,0,0,'Données projet'!$E$13+1,1))</f>
        <v>356.07880667298025</v>
      </c>
      <c r="CZ99" s="59">
        <f t="shared" si="96"/>
        <v>396.05161661639659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89.897578522091422</v>
      </c>
      <c r="DG99" s="21">
        <f>EXP(-LN(2)/25)*DG98+(1-EXP(-LN(2)/25))/(LN(2)/25)*Calculateur!DB99*Calculateur!DD99*VLOOKUP('Données projet'!$B$13,Paramètres!$A$1:$I$89,3,0)*0.475*44/12</f>
        <v>16.210139039449754</v>
      </c>
      <c r="DH99" s="21">
        <f>EXP(-LN(2)/2)*DH98+(1-EXP(-LN(2)/2))/(LN(2)/2)*DB99*DE99*VLOOKUP('Données projet'!$B$13,Paramètres!$A$1:$I$89,3,0)*0.475*44/12</f>
        <v>1.3073558170638097E-4</v>
      </c>
      <c r="DI99" s="22">
        <f t="shared" si="69"/>
        <v>106.10784829712289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>
        <f>DO99*VLOOKUP('Données projet'!$B$14,Paramètres!$A$1:$I$89,3,0)*VLOOKUP('Données projet'!$B$14,Paramètres!$A$1:$I$89,5,0)</f>
        <v>0</v>
      </c>
      <c r="DQ99" s="13" t="e">
        <f t="shared" si="97"/>
        <v>#NUM!</v>
      </c>
      <c r="DR99" s="20" t="e">
        <f t="shared" si="70"/>
        <v>#NUM!</v>
      </c>
      <c r="DS99" s="59" t="e">
        <f t="shared" si="71"/>
        <v>#NUM!</v>
      </c>
      <c r="DT99" s="59">
        <f ca="1">AVERAGE(OFFSET($DS$3,0,0,'Données projet'!$E$14+1,1))-AVERAGE(OFFSET($H$3,0,0,'Données projet'!$E$14+1,1))</f>
        <v>246.11623544660486</v>
      </c>
      <c r="DU99" s="59">
        <f t="shared" si="98"/>
        <v>273.18950868898253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61.677846156250496</v>
      </c>
      <c r="EB99" s="21">
        <f>EXP(-LN(2)/25)*EB98+(1-EXP(-LN(2)/25))/(LN(2)/25)*Calculateur!DW99*Calculateur!DY99*VLOOKUP('Données projet'!$B$14,Paramètres!$A$1:$I$89,3,0)*0.475*44/12</f>
        <v>14.72376390884612</v>
      </c>
      <c r="EC99" s="21">
        <f>EXP(-LN(2)/2)*EC98+(1-EXP(-LN(2)/2))/(LN(2)/2)*DW99*DZ99*VLOOKUP('Données projet'!$B$14,Paramètres!$A$1:$I$89,3,0)*0.475*44/12</f>
        <v>1.2422608530857378E-4</v>
      </c>
      <c r="ED99" s="22">
        <f t="shared" si="72"/>
        <v>76.401734291181924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5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67">
        <f t="shared" si="56"/>
        <v>183.33333333333334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5.6</v>
      </c>
      <c r="N100" s="13">
        <f>IF('Données projet'!$A$36&gt;35,N99+M100-V99,IF(A100&lt;'Données projet'!$A$36,$K$205^A100,IF(A100='Données projet'!$A$36,'Données projet'!$B$36,N99+M100-V99)))</f>
        <v>316.19999999999987</v>
      </c>
      <c r="O100" s="13">
        <f>N100*VLOOKUP('Données projet'!$B$9,Paramètres!$A$1:$I$89,3,0)*VLOOKUP('Données projet'!$B$9,Paramètres!$A$1:$I$89,5,0)</f>
        <v>320.62679999999989</v>
      </c>
      <c r="P100" s="13">
        <f t="shared" si="87"/>
        <v>75.483756735990909</v>
      </c>
      <c r="Q100" s="20">
        <f t="shared" si="107"/>
        <v>689.89255298185071</v>
      </c>
      <c r="R100" s="59">
        <f t="shared" si="55"/>
        <v>966.43797926123352</v>
      </c>
      <c r="S100" s="59">
        <f ca="1">AVERAGE(OFFSET($R$3,0,0,'Données projet'!$E$9+1,1))-AVERAGE(OFFSET($H$3,0,0,'Données projet'!$E$9+1,1))</f>
        <v>538.10210778862256</v>
      </c>
      <c r="T100" s="59">
        <f t="shared" si="88"/>
        <v>399.53300632021399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48.444983818781829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48.444983818781829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5.6</v>
      </c>
      <c r="AI100" s="13">
        <f>IF('Données projet'!$A$62&gt;35,AI99+AH100-AQ99,IF(A100&lt;'Données projet'!$A$62,$AF$205^A100,IF(A100='Données projet'!$A$62,'Données projet'!$B$62,AI99+AH100-AQ99)))</f>
        <v>316.19999999999987</v>
      </c>
      <c r="AJ100" s="13">
        <f>AI100*VLOOKUP('Données projet'!$B$10,Paramètres!$A$1:$I$89,3,0)*VLOOKUP('Données projet'!$B$10,Paramètres!$A$1:$I$89,5,0)</f>
        <v>330.49223999999992</v>
      </c>
      <c r="AK100" s="13">
        <f t="shared" si="89"/>
        <v>77.532352227814187</v>
      </c>
      <c r="AL100" s="20">
        <f t="shared" si="58"/>
        <v>710.6428314634428</v>
      </c>
      <c r="AM100" s="59">
        <f t="shared" si="59"/>
        <v>987.18825774282561</v>
      </c>
      <c r="AN100" s="59">
        <f ca="1">AVERAGE(OFFSET($AM$3,0,0,'Données projet'!$E$10+1,1))-AVERAGE(OFFSET($H$3,0,0,'Données projet'!$E$10+1,1))</f>
        <v>552.26894123675538</v>
      </c>
      <c r="AO100" s="59">
        <f t="shared" si="90"/>
        <v>409.85604950107006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49.935598705513563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49.935598705513563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3.6</v>
      </c>
      <c r="BD100" s="12">
        <f>IF('Données projet'!$A$88&gt;35,BD99+BC100-BL99,IF(A100&lt;'Données projet'!$A$88,$BA$205^A100,IF(A100='Données projet'!$A$88,'Données projet'!$B$88,BD99+BC100-BL99)))</f>
        <v>205.2</v>
      </c>
      <c r="BE100" s="13">
        <f>BD100*VLOOKUP('Données projet'!$B$11,Paramètres!$A$1:$I$89,3,0)*VLOOKUP('Données projet'!$B$11,Paramètres!$A$1:$I$89,5,0)</f>
        <v>220.87727999999998</v>
      </c>
      <c r="BF100" s="13">
        <f t="shared" si="91"/>
        <v>54.305514008302801</v>
      </c>
      <c r="BG100" s="20">
        <f t="shared" si="61"/>
        <v>479.27669956446061</v>
      </c>
      <c r="BH100" s="59">
        <f t="shared" si="62"/>
        <v>755.82212584384342</v>
      </c>
      <c r="BI100" s="59">
        <f ca="1">AVERAGE(OFFSET($BH$3,0,0,'Données projet'!$E$11+1,1))-AVERAGE(OFFSET($H$3,0,0,'Données projet'!$E$11+1,1))</f>
        <v>361.24725625563468</v>
      </c>
      <c r="BJ100" s="59">
        <f t="shared" si="92"/>
        <v>186.0840067781198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23.531608194172854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23.531608194172854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2.8</v>
      </c>
      <c r="BY100" s="12">
        <f>IF('Données projet'!$A$114&gt;35,BY99+BX100-CG99,IF(A100&lt;'Données projet'!$A$114,$BV$205^A100,IF(A100='Données projet'!$A$114,'Données projet'!$B$114,BY99+BX100-CG99)))</f>
        <v>273.59999999999985</v>
      </c>
      <c r="BZ100" s="13">
        <f>BY100*VLOOKUP('Données projet'!$B$12,Paramètres!$A$1:$I$89,3,0)*VLOOKUP('Données projet'!$B$12,Paramètres!$A$1:$I$89,5,0)</f>
        <v>183.53087999999991</v>
      </c>
      <c r="CA100" s="13">
        <f t="shared" si="93"/>
        <v>46.106851562826662</v>
      </c>
      <c r="CB100" s="20">
        <f t="shared" si="64"/>
        <v>399.95238247192287</v>
      </c>
      <c r="CC100" s="59">
        <f t="shared" si="65"/>
        <v>676.49780875130568</v>
      </c>
      <c r="CD100" s="59">
        <f ca="1">AVERAGE(OFFSET($CC$3,0,0,'Données projet'!$E$12+1,1))-AVERAGE(OFFSET($H$3,0,0,'Données projet'!$E$12+1,1))</f>
        <v>323.91378047319455</v>
      </c>
      <c r="CE100" s="59">
        <f t="shared" si="94"/>
        <v>212.89889176380288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29.625970873793499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29.625970873793499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>
        <f>CT100*VLOOKUP('Données projet'!$B$13,Paramètres!$A$1:$I$89,3,0)*VLOOKUP('Données projet'!$B$13,Paramètres!$A$1:$I$89,5,0)</f>
        <v>0</v>
      </c>
      <c r="CV100" s="13" t="e">
        <f t="shared" si="95"/>
        <v>#NUM!</v>
      </c>
      <c r="CW100" s="20" t="e">
        <f t="shared" si="67"/>
        <v>#NUM!</v>
      </c>
      <c r="CX100" s="59" t="e">
        <f t="shared" si="68"/>
        <v>#NUM!</v>
      </c>
      <c r="CY100" s="59">
        <f ca="1">AVERAGE(OFFSET($CX$3,0,0,'Données projet'!$E$13+1,1))-AVERAGE(OFFSET($H$3,0,0,'Données projet'!$E$13+1,1))</f>
        <v>356.07880667298025</v>
      </c>
      <c r="CZ100" s="59">
        <f t="shared" si="96"/>
        <v>396.05161661639659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88.134741839381888</v>
      </c>
      <c r="DG100" s="21">
        <f>EXP(-LN(2)/25)*DG99+(1-EXP(-LN(2)/25))/(LN(2)/25)*Calculateur!DB100*Calculateur!DD100*VLOOKUP('Données projet'!$B$13,Paramètres!$A$1:$I$89,3,0)*0.475*44/12</f>
        <v>15.766871934961836</v>
      </c>
      <c r="DH100" s="21">
        <f>EXP(-LN(2)/2)*DH99+(1-EXP(-LN(2)/2))/(LN(2)/2)*DB100*DE100*VLOOKUP('Données projet'!$B$13,Paramètres!$A$1:$I$89,3,0)*0.475*44/12</f>
        <v>9.2444016366949935E-5</v>
      </c>
      <c r="DI100" s="22">
        <f t="shared" si="69"/>
        <v>103.90170621836009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>
        <f>DO100*VLOOKUP('Données projet'!$B$14,Paramètres!$A$1:$I$89,3,0)*VLOOKUP('Données projet'!$B$14,Paramètres!$A$1:$I$89,5,0)</f>
        <v>0</v>
      </c>
      <c r="DQ100" s="13" t="e">
        <f t="shared" si="97"/>
        <v>#NUM!</v>
      </c>
      <c r="DR100" s="20" t="e">
        <f t="shared" si="70"/>
        <v>#NUM!</v>
      </c>
      <c r="DS100" s="59" t="e">
        <f t="shared" si="71"/>
        <v>#NUM!</v>
      </c>
      <c r="DT100" s="59">
        <f ca="1">AVERAGE(OFFSET($DS$3,0,0,'Données projet'!$E$14+1,1))-AVERAGE(OFFSET($H$3,0,0,'Données projet'!$E$14+1,1))</f>
        <v>246.11623544660486</v>
      </c>
      <c r="DU100" s="59">
        <f t="shared" si="98"/>
        <v>273.18950868898253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60.468381212897938</v>
      </c>
      <c r="EB100" s="21">
        <f>EXP(-LN(2)/25)*EB99+(1-EXP(-LN(2)/25))/(LN(2)/25)*Calculateur!DW100*Calculateur!DY100*VLOOKUP('Données projet'!$B$14,Paramètres!$A$1:$I$89,3,0)*0.475*44/12</f>
        <v>14.32114181046963</v>
      </c>
      <c r="EC100" s="21">
        <f>EXP(-LN(2)/2)*EC99+(1-EXP(-LN(2)/2))/(LN(2)/2)*DW100*DZ100*VLOOKUP('Données projet'!$B$14,Paramètres!$A$1:$I$89,3,0)*0.475*44/12</f>
        <v>8.7841107321951064E-5</v>
      </c>
      <c r="ED100" s="22">
        <f t="shared" si="72"/>
        <v>74.789610864474881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5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67">
        <f t="shared" si="56"/>
        <v>183.33333333333334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5.6</v>
      </c>
      <c r="N101" s="13">
        <f>IF('Données projet'!$A$36&gt;35,N100+M101-V100,IF(A101&lt;'Données projet'!$A$36,$K$205^A101,IF(A101='Données projet'!$A$36,'Données projet'!$B$36,N100+M101-V100)))</f>
        <v>321.7999999999999</v>
      </c>
      <c r="O101" s="13">
        <f>N101*VLOOKUP('Données projet'!$B$9,Paramètres!$A$1:$I$89,3,0)*VLOOKUP('Données projet'!$B$9,Paramètres!$A$1:$I$89,5,0)</f>
        <v>326.3051999999999</v>
      </c>
      <c r="P101" s="13">
        <f t="shared" si="87"/>
        <v>76.663779608302349</v>
      </c>
      <c r="Q101" s="20">
        <f t="shared" si="107"/>
        <v>701.8376394844596</v>
      </c>
      <c r="R101" s="59">
        <f t="shared" si="55"/>
        <v>978.67429841909097</v>
      </c>
      <c r="S101" s="59">
        <f ca="1">AVERAGE(OFFSET($R$3,0,0,'Données projet'!$E$9+1,1))-AVERAGE(OFFSET($H$3,0,0,'Données projet'!$E$9+1,1))</f>
        <v>538.10210778862256</v>
      </c>
      <c r="T101" s="59">
        <f t="shared" si="88"/>
        <v>399.53300632021399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47.495007234617972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47.495007234617972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5.6</v>
      </c>
      <c r="AI101" s="13">
        <f>IF('Données projet'!$A$62&gt;35,AI100+AH101-AQ100,IF(A101&lt;'Données projet'!$A$62,$AF$205^A101,IF(A101='Données projet'!$A$62,'Données projet'!$B$62,AI100+AH101-AQ100)))</f>
        <v>321.7999999999999</v>
      </c>
      <c r="AJ101" s="13">
        <f>AI101*VLOOKUP('Données projet'!$B$10,Paramètres!$A$1:$I$89,3,0)*VLOOKUP('Données projet'!$B$10,Paramètres!$A$1:$I$89,5,0)</f>
        <v>336.34535999999991</v>
      </c>
      <c r="AK101" s="13">
        <f t="shared" si="89"/>
        <v>78.744400394586279</v>
      </c>
      <c r="AL101" s="20">
        <f t="shared" si="58"/>
        <v>722.94799935390427</v>
      </c>
      <c r="AM101" s="59">
        <f t="shared" si="59"/>
        <v>999.78465828853564</v>
      </c>
      <c r="AN101" s="59">
        <f ca="1">AVERAGE(OFFSET($AM$3,0,0,'Données projet'!$E$10+1,1))-AVERAGE(OFFSET($H$3,0,0,'Données projet'!$E$10+1,1))</f>
        <v>552.26894123675538</v>
      </c>
      <c r="AO101" s="59">
        <f t="shared" si="90"/>
        <v>409.85604950107006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48.956392072606207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48.956392072606207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3.6</v>
      </c>
      <c r="BD101" s="12">
        <f>IF('Données projet'!$A$88&gt;35,BD100+BC101-BL100,IF(A101&lt;'Données projet'!$A$88,$BA$205^A101,IF(A101='Données projet'!$A$88,'Données projet'!$B$88,BD100+BC101-BL100)))</f>
        <v>208.79999999999998</v>
      </c>
      <c r="BE101" s="13">
        <f>BD101*VLOOKUP('Données projet'!$B$11,Paramètres!$A$1:$I$89,3,0)*VLOOKUP('Données projet'!$B$11,Paramètres!$A$1:$I$89,5,0)</f>
        <v>224.75231999999997</v>
      </c>
      <c r="BF101" s="13">
        <f t="shared" si="91"/>
        <v>55.146490754971083</v>
      </c>
      <c r="BG101" s="20">
        <f t="shared" si="61"/>
        <v>487.49042873157458</v>
      </c>
      <c r="BH101" s="59">
        <f t="shared" si="62"/>
        <v>764.3270876662059</v>
      </c>
      <c r="BI101" s="59">
        <f ca="1">AVERAGE(OFFSET($BH$3,0,0,'Données projet'!$E$11+1,1))-AVERAGE(OFFSET($H$3,0,0,'Données projet'!$E$11+1,1))</f>
        <v>361.24725625563468</v>
      </c>
      <c r="BJ101" s="59">
        <f t="shared" si="92"/>
        <v>186.0840067781198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23.070167710348894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23.070167710348894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2.8</v>
      </c>
      <c r="BY101" s="12">
        <f>IF('Données projet'!$A$114&gt;35,BY100+BX101-CG100,IF(A101&lt;'Données projet'!$A$114,$BV$205^A101,IF(A101='Données projet'!$A$114,'Données projet'!$B$114,BY100+BX101-CG100)))</f>
        <v>276.39999999999986</v>
      </c>
      <c r="BZ101" s="13">
        <f>BY101*VLOOKUP('Données projet'!$B$12,Paramètres!$A$1:$I$89,3,0)*VLOOKUP('Données projet'!$B$12,Paramètres!$A$1:$I$89,5,0)</f>
        <v>185.40911999999989</v>
      </c>
      <c r="CA101" s="13">
        <f t="shared" si="93"/>
        <v>46.523534142385415</v>
      </c>
      <c r="CB101" s="20">
        <f t="shared" si="64"/>
        <v>403.94937263132101</v>
      </c>
      <c r="CC101" s="59">
        <f t="shared" si="65"/>
        <v>680.78603156595238</v>
      </c>
      <c r="CD101" s="59">
        <f ca="1">AVERAGE(OFFSET($CC$3,0,0,'Données projet'!$E$12+1,1))-AVERAGE(OFFSET($H$3,0,0,'Données projet'!$E$12+1,1))</f>
        <v>323.91378047319455</v>
      </c>
      <c r="CE101" s="59">
        <f t="shared" si="94"/>
        <v>212.89889176380288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29.045023655016372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29.045023655016372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>
        <f>CT101*VLOOKUP('Données projet'!$B$13,Paramètres!$A$1:$I$89,3,0)*VLOOKUP('Données projet'!$B$13,Paramètres!$A$1:$I$89,5,0)</f>
        <v>0</v>
      </c>
      <c r="CV101" s="13" t="e">
        <f t="shared" si="95"/>
        <v>#NUM!</v>
      </c>
      <c r="CW101" s="20" t="e">
        <f t="shared" si="67"/>
        <v>#NUM!</v>
      </c>
      <c r="CX101" s="59" t="e">
        <f t="shared" si="68"/>
        <v>#NUM!</v>
      </c>
      <c r="CY101" s="59">
        <f ca="1">AVERAGE(OFFSET($CX$3,0,0,'Données projet'!$E$13+1,1))-AVERAGE(OFFSET($H$3,0,0,'Données projet'!$E$13+1,1))</f>
        <v>356.07880667298025</v>
      </c>
      <c r="CZ101" s="59">
        <f t="shared" si="96"/>
        <v>396.05161661639659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86.40647330879608</v>
      </c>
      <c r="DG101" s="21">
        <f>EXP(-LN(2)/25)*DG100+(1-EXP(-LN(2)/25))/(LN(2)/25)*Calculateur!DB101*Calculateur!DD101*VLOOKUP('Données projet'!$B$13,Paramètres!$A$1:$I$89,3,0)*0.475*44/12</f>
        <v>15.335725992756545</v>
      </c>
      <c r="DH101" s="21">
        <f>EXP(-LN(2)/2)*DH100+(1-EXP(-LN(2)/2))/(LN(2)/2)*DB101*DE101*VLOOKUP('Données projet'!$B$13,Paramètres!$A$1:$I$89,3,0)*0.475*44/12</f>
        <v>6.5367790853190484E-5</v>
      </c>
      <c r="DI101" s="22">
        <f t="shared" si="69"/>
        <v>101.74226466934348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>
        <f>DO101*VLOOKUP('Données projet'!$B$14,Paramètres!$A$1:$I$89,3,0)*VLOOKUP('Données projet'!$B$14,Paramètres!$A$1:$I$89,5,0)</f>
        <v>0</v>
      </c>
      <c r="DQ101" s="13" t="e">
        <f t="shared" si="97"/>
        <v>#NUM!</v>
      </c>
      <c r="DR101" s="20" t="e">
        <f t="shared" si="70"/>
        <v>#NUM!</v>
      </c>
      <c r="DS101" s="59" t="e">
        <f t="shared" si="71"/>
        <v>#NUM!</v>
      </c>
      <c r="DT101" s="59">
        <f ca="1">AVERAGE(OFFSET($DS$3,0,0,'Données projet'!$E$14+1,1))-AVERAGE(OFFSET($H$3,0,0,'Données projet'!$E$14+1,1))</f>
        <v>246.11623544660486</v>
      </c>
      <c r="DU101" s="59">
        <f t="shared" si="98"/>
        <v>273.18950868898253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59.282633139383748</v>
      </c>
      <c r="EB101" s="21">
        <f>EXP(-LN(2)/25)*EB100+(1-EXP(-LN(2)/25))/(LN(2)/25)*Calculateur!DW101*Calculateur!DY101*VLOOKUP('Données projet'!$B$14,Paramètres!$A$1:$I$89,3,0)*0.475*44/12</f>
        <v>13.929529434546222</v>
      </c>
      <c r="EC101" s="21">
        <f>EXP(-LN(2)/2)*EC100+(1-EXP(-LN(2)/2))/(LN(2)/2)*DW101*DZ101*VLOOKUP('Données projet'!$B$14,Paramètres!$A$1:$I$89,3,0)*0.475*44/12</f>
        <v>6.2113042654286888E-5</v>
      </c>
      <c r="ED101" s="22">
        <f t="shared" si="72"/>
        <v>73.212224686972633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5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67">
        <f t="shared" si="56"/>
        <v>183.33333333333334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5.6</v>
      </c>
      <c r="N102" s="13">
        <f>IF('Données projet'!$A$36&gt;35,N101+M102-V101,IF(A102&lt;'Données projet'!$A$36,$K$205^A102,IF(A102='Données projet'!$A$36,'Données projet'!$B$36,N101+M102-V101)))</f>
        <v>327.39999999999992</v>
      </c>
      <c r="O102" s="13">
        <f>N102*VLOOKUP('Données projet'!$B$9,Paramètres!$A$1:$I$89,3,0)*VLOOKUP('Données projet'!$B$9,Paramètres!$A$1:$I$89,5,0)</f>
        <v>331.98359999999991</v>
      </c>
      <c r="P102" s="13">
        <f t="shared" si="87"/>
        <v>77.841414511052136</v>
      </c>
      <c r="Q102" s="20">
        <f t="shared" si="107"/>
        <v>713.77856694008221</v>
      </c>
      <c r="R102" s="59">
        <f t="shared" si="55"/>
        <v>990.90140629449229</v>
      </c>
      <c r="S102" s="59">
        <f ca="1">AVERAGE(OFFSET($R$3,0,0,'Données projet'!$E$9+1,1))-AVERAGE(OFFSET($H$3,0,0,'Données projet'!$E$9+1,1))</f>
        <v>538.10210778862256</v>
      </c>
      <c r="T102" s="59">
        <f t="shared" si="88"/>
        <v>399.53300632021399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46.563659111841069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46.563659111841069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5.6</v>
      </c>
      <c r="AI102" s="13">
        <f>IF('Données projet'!$A$62&gt;35,AI101+AH102-AQ101,IF(A102&lt;'Données projet'!$A$62,$AF$205^A102,IF(A102='Données projet'!$A$62,'Données projet'!$B$62,AI101+AH102-AQ101)))</f>
        <v>327.39999999999992</v>
      </c>
      <c r="AJ102" s="13">
        <f>AI102*VLOOKUP('Données projet'!$B$10,Paramètres!$A$1:$I$89,3,0)*VLOOKUP('Données projet'!$B$10,Paramètres!$A$1:$I$89,5,0)</f>
        <v>342.1984799999999</v>
      </c>
      <c r="AK102" s="13">
        <f t="shared" si="89"/>
        <v>79.953995783367844</v>
      </c>
      <c r="AL102" s="20">
        <f t="shared" si="58"/>
        <v>735.24889532269879</v>
      </c>
      <c r="AM102" s="59">
        <f t="shared" si="59"/>
        <v>1012.3717346771089</v>
      </c>
      <c r="AN102" s="59">
        <f ca="1">AVERAGE(OFFSET($AM$3,0,0,'Données projet'!$E$10+1,1))-AVERAGE(OFFSET($H$3,0,0,'Données projet'!$E$10+1,1))</f>
        <v>552.26894123675538</v>
      </c>
      <c r="AO102" s="59">
        <f t="shared" si="90"/>
        <v>409.85604950107006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47.996387084513088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47.996387084513088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3.6</v>
      </c>
      <c r="BD102" s="12">
        <f>IF('Données projet'!$A$88&gt;35,BD101+BC102-BL101,IF(A102&lt;'Données projet'!$A$88,$BA$205^A102,IF(A102='Données projet'!$A$88,'Données projet'!$B$88,BD101+BC102-BL101)))</f>
        <v>212.39999999999998</v>
      </c>
      <c r="BE102" s="13">
        <f>BD102*VLOOKUP('Données projet'!$B$11,Paramètres!$A$1:$I$89,3,0)*VLOOKUP('Données projet'!$B$11,Paramètres!$A$1:$I$89,5,0)</f>
        <v>228.62735999999998</v>
      </c>
      <c r="BF102" s="13">
        <f t="shared" si="91"/>
        <v>55.985781352428695</v>
      </c>
      <c r="BG102" s="20">
        <f t="shared" si="61"/>
        <v>495.70122118881324</v>
      </c>
      <c r="BH102" s="59">
        <f t="shared" si="62"/>
        <v>772.82406054322337</v>
      </c>
      <c r="BI102" s="59">
        <f ca="1">AVERAGE(OFFSET($BH$3,0,0,'Données projet'!$E$11+1,1))-AVERAGE(OFFSET($H$3,0,0,'Données projet'!$E$11+1,1))</f>
        <v>361.24725625563468</v>
      </c>
      <c r="BJ102" s="59">
        <f t="shared" si="92"/>
        <v>186.0840067781198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22.617775792961819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22.617775792961819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2.8</v>
      </c>
      <c r="BY102" s="12">
        <f>IF('Données projet'!$A$114&gt;35,BY101+BX102-CG101,IF(A102&lt;'Données projet'!$A$114,$BV$205^A102,IF(A102='Données projet'!$A$114,'Données projet'!$B$114,BY101+BX102-CG101)))</f>
        <v>279.19999999999987</v>
      </c>
      <c r="BZ102" s="13">
        <f>BY102*VLOOKUP('Données projet'!$B$12,Paramètres!$A$1:$I$89,3,0)*VLOOKUP('Données projet'!$B$12,Paramètres!$A$1:$I$89,5,0)</f>
        <v>187.28735999999992</v>
      </c>
      <c r="CA102" s="13">
        <f t="shared" si="93"/>
        <v>46.939725666933739</v>
      </c>
      <c r="CB102" s="20">
        <f t="shared" si="64"/>
        <v>407.94550753657609</v>
      </c>
      <c r="CC102" s="59">
        <f t="shared" si="65"/>
        <v>685.06834689098628</v>
      </c>
      <c r="CD102" s="59">
        <f ca="1">AVERAGE(OFFSET($CC$3,0,0,'Données projet'!$E$12+1,1))-AVERAGE(OFFSET($H$3,0,0,'Données projet'!$E$12+1,1))</f>
        <v>323.91378047319455</v>
      </c>
      <c r="CE102" s="59">
        <f t="shared" si="94"/>
        <v>212.89889176380288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28.47546845685665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28.47546845685665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>
        <f>CT102*VLOOKUP('Données projet'!$B$13,Paramètres!$A$1:$I$89,3,0)*VLOOKUP('Données projet'!$B$13,Paramètres!$A$1:$I$89,5,0)</f>
        <v>0</v>
      </c>
      <c r="CV102" s="13" t="e">
        <f t="shared" si="95"/>
        <v>#NUM!</v>
      </c>
      <c r="CW102" s="20" t="e">
        <f t="shared" si="67"/>
        <v>#NUM!</v>
      </c>
      <c r="CX102" s="59" t="e">
        <f t="shared" si="68"/>
        <v>#NUM!</v>
      </c>
      <c r="CY102" s="59">
        <f ca="1">AVERAGE(OFFSET($CX$3,0,0,'Données projet'!$E$13+1,1))-AVERAGE(OFFSET($H$3,0,0,'Données projet'!$E$13+1,1))</f>
        <v>356.07880667298025</v>
      </c>
      <c r="CZ102" s="59">
        <f t="shared" si="96"/>
        <v>396.05161661639659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84.712095069955339</v>
      </c>
      <c r="DG102" s="21">
        <f>EXP(-LN(2)/25)*DG101+(1-EXP(-LN(2)/25))/(LN(2)/25)*Calculateur!DB102*Calculateur!DD102*VLOOKUP('Données projet'!$B$13,Paramètres!$A$1:$I$89,3,0)*0.475*44/12</f>
        <v>14.916369759013838</v>
      </c>
      <c r="DH102" s="21">
        <f>EXP(-LN(2)/2)*DH101+(1-EXP(-LN(2)/2))/(LN(2)/2)*DB102*DE102*VLOOKUP('Données projet'!$B$13,Paramètres!$A$1:$I$89,3,0)*0.475*44/12</f>
        <v>4.6222008183474967E-5</v>
      </c>
      <c r="DI102" s="22">
        <f t="shared" si="69"/>
        <v>99.628511050977352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>
        <f>DO102*VLOOKUP('Données projet'!$B$14,Paramètres!$A$1:$I$89,3,0)*VLOOKUP('Données projet'!$B$14,Paramètres!$A$1:$I$89,5,0)</f>
        <v>0</v>
      </c>
      <c r="DQ102" s="13" t="e">
        <f t="shared" si="97"/>
        <v>#NUM!</v>
      </c>
      <c r="DR102" s="20" t="e">
        <f t="shared" si="70"/>
        <v>#NUM!</v>
      </c>
      <c r="DS102" s="59" t="e">
        <f t="shared" si="71"/>
        <v>#NUM!</v>
      </c>
      <c r="DT102" s="59">
        <f ca="1">AVERAGE(OFFSET($DS$3,0,0,'Données projet'!$E$14+1,1))-AVERAGE(OFFSET($H$3,0,0,'Données projet'!$E$14+1,1))</f>
        <v>246.11623544660486</v>
      </c>
      <c r="DU102" s="59">
        <f t="shared" si="98"/>
        <v>273.18950868898253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58.120136862356262</v>
      </c>
      <c r="EB102" s="21">
        <f>EXP(-LN(2)/25)*EB101+(1-EXP(-LN(2)/25))/(LN(2)/25)*Calculateur!DW102*Calculateur!DY102*VLOOKUP('Données projet'!$B$14,Paramètres!$A$1:$I$89,3,0)*0.475*44/12</f>
        <v>13.548625719636439</v>
      </c>
      <c r="EC102" s="21">
        <f>EXP(-LN(2)/2)*EC101+(1-EXP(-LN(2)/2))/(LN(2)/2)*DW102*DZ102*VLOOKUP('Données projet'!$B$14,Paramètres!$A$1:$I$89,3,0)*0.475*44/12</f>
        <v>4.3920553660975532E-5</v>
      </c>
      <c r="ED102" s="22">
        <f t="shared" si="72"/>
        <v>71.66880650254636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5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67">
        <f t="shared" si="56"/>
        <v>183.33333333333334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333</v>
      </c>
      <c r="L103" s="12">
        <f>VLOOKUP(A103,'Données projet'!$A$35:$I$55,9,0)</f>
        <v>5.6</v>
      </c>
      <c r="M103" s="12">
        <f t="array" ref="M103">INDEX(L:L,MIN(IF(ISNUMBER(L103:L299),ROW(L103:L299),"")))</f>
        <v>5.6</v>
      </c>
      <c r="N103" s="13">
        <f>IF('Données projet'!$A$36&gt;35,N102+M103-V102,IF(A103&lt;'Données projet'!$A$36,$K$205^A103,IF(A103='Données projet'!$A$36,'Données projet'!$B$36,N102+M103-V102)))</f>
        <v>332.99999999999994</v>
      </c>
      <c r="O103" s="13">
        <f>N103*VLOOKUP('Données projet'!$B$9,Paramètres!$A$1:$I$89,3,0)*VLOOKUP('Données projet'!$B$9,Paramètres!$A$1:$I$89,5,0)</f>
        <v>337.66199999999998</v>
      </c>
      <c r="P103" s="13">
        <f t="shared" si="87"/>
        <v>79.016707002632685</v>
      </c>
      <c r="Q103" s="20">
        <f t="shared" si="107"/>
        <v>725.71541469625197</v>
      </c>
      <c r="R103" s="59">
        <f t="shared" si="55"/>
        <v>1003.1194698799611</v>
      </c>
      <c r="S103" s="59">
        <f ca="1">AVERAGE(OFFSET($R$3,0,0,'Données projet'!$E$9+1,1))-AVERAGE(OFFSET($H$3,0,0,'Données projet'!$E$9+1,1))</f>
        <v>538.10210778862256</v>
      </c>
      <c r="T103" s="59">
        <f t="shared" si="88"/>
        <v>399.53300632021399</v>
      </c>
      <c r="U103" s="15">
        <f>IF(ISNA(VLOOKUP(A103,'Données projet'!$A$35:$I$55,3,0)),0,VLOOKUP(A103,'Données projet'!$A$35:$I$55,3,0))</f>
        <v>17</v>
      </c>
      <c r="V103" s="15">
        <f>IF(ISNA(VLOOKUP(A103,'Données projet'!$A$35:$I$55,4,0)),0,VLOOKUP(A103,'Données projet'!$A$35:$I$55,4,0))</f>
        <v>27</v>
      </c>
      <c r="W103" s="16">
        <f>IF(ISNA(VLOOKUP(A103,'Données projet'!$A$35:$I$55,5,0)),0%,VLOOKUP(A103,'Données projet'!$A$35:$I$55,5,0)*VLOOKUP('Données projet'!$B$9,Paramètres!$A$1:$I$89,7,0))</f>
        <v>0.34400000000000003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56.061929567179028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56.061929567179028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333</v>
      </c>
      <c r="AG103" s="12">
        <f>VLOOKUP(A103,'Données projet'!$A$61:$I$81,9,0)</f>
        <v>5.6</v>
      </c>
      <c r="AH103" s="12">
        <f t="array" ref="AH103">INDEX(AG:AG,MIN(IF(ISNUMBER(AG103:AG299),ROW(AG103:AG299),"")))</f>
        <v>5.6</v>
      </c>
      <c r="AI103" s="13">
        <f>IF('Données projet'!$A$62&gt;35,AI102+AH103-AQ102,IF(A103&lt;'Données projet'!$A$62,$AF$205^A103,IF(A103='Données projet'!$A$62,'Données projet'!$B$62,AI102+AH103-AQ102)))</f>
        <v>332.99999999999994</v>
      </c>
      <c r="AJ103" s="13">
        <f>AI103*VLOOKUP('Données projet'!$B$10,Paramètres!$A$1:$I$89,3,0)*VLOOKUP('Données projet'!$B$10,Paramètres!$A$1:$I$89,5,0)</f>
        <v>348.05160000000001</v>
      </c>
      <c r="AK103" s="13">
        <f t="shared" si="89"/>
        <v>81.161185188985755</v>
      </c>
      <c r="AL103" s="20">
        <f t="shared" si="58"/>
        <v>747.54560087081688</v>
      </c>
      <c r="AM103" s="59">
        <f t="shared" si="59"/>
        <v>1024.949656054526</v>
      </c>
      <c r="AN103" s="59">
        <f ca="1">AVERAGE(OFFSET($AM$3,0,0,'Données projet'!$E$10+1,1))-AVERAGE(OFFSET($H$3,0,0,'Données projet'!$E$10+1,1))</f>
        <v>552.26894123675538</v>
      </c>
      <c r="AO103" s="59">
        <f t="shared" si="90"/>
        <v>409.85604950107006</v>
      </c>
      <c r="AP103" s="15">
        <f>IF(ISNA(VLOOKUP(A103,'Données projet'!$A$61:$I$81,3,0)),0,VLOOKUP(A103,'Données projet'!$A$61:$I$81,3,0))</f>
        <v>17</v>
      </c>
      <c r="AQ103" s="15">
        <f>IF(ISNA(VLOOKUP(A103,'Données projet'!$A$61:$I$81,4,0)),0,VLOOKUP(A103,'Données projet'!$A$61:$I$81,4,0))</f>
        <v>27</v>
      </c>
      <c r="AR103" s="16">
        <f>IF(ISNA(VLOOKUP(A103,'Données projet'!$A$61:$I$81,5,0)),0%,VLOOKUP(A103,'Données projet'!$A$61:$I$81,5,0)*VLOOKUP('Données projet'!$B$10,Paramètres!$A$1:$I$89,7,0))</f>
        <v>0.34400000000000003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57.786912015399906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57.786912015399906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>
        <f>VLOOKUP(A103,'Données projet'!$A$87:$I$107,2,0)</f>
        <v>216</v>
      </c>
      <c r="BB103" s="12">
        <f>VLOOKUP(A103,'Données projet'!$A$87:$I$107,9,0)</f>
        <v>3.6</v>
      </c>
      <c r="BC103" s="12">
        <f t="array" ref="BC103">INDEX(BB:BB,MIN(IF(ISNUMBER(BB103:BB299),ROW(BB103:BB299),"")))</f>
        <v>3.6</v>
      </c>
      <c r="BD103" s="12">
        <f>IF('Données projet'!$A$88&gt;35,BD102+BC103-BL102,IF(A103&lt;'Données projet'!$A$88,$BA$205^A103,IF(A103='Données projet'!$A$88,'Données projet'!$B$88,BD102+BC103-BL102)))</f>
        <v>215.99999999999997</v>
      </c>
      <c r="BE103" s="13">
        <f>BD103*VLOOKUP('Données projet'!$B$11,Paramètres!$A$1:$I$89,3,0)*VLOOKUP('Données projet'!$B$11,Paramètres!$A$1:$I$89,5,0)</f>
        <v>232.50239999999994</v>
      </c>
      <c r="BF103" s="13">
        <f t="shared" si="91"/>
        <v>56.823417677671891</v>
      </c>
      <c r="BG103" s="20">
        <f t="shared" si="61"/>
        <v>503.90913245527832</v>
      </c>
      <c r="BH103" s="59">
        <f t="shared" si="62"/>
        <v>781.31318763898753</v>
      </c>
      <c r="BI103" s="59">
        <f ca="1">AVERAGE(OFFSET($BH$3,0,0,'Données projet'!$E$11+1,1))-AVERAGE(OFFSET($H$3,0,0,'Données projet'!$E$11+1,1))</f>
        <v>361.24725625563468</v>
      </c>
      <c r="BJ103" s="59">
        <f t="shared" si="92"/>
        <v>186.0840067781198</v>
      </c>
      <c r="BK103" s="15">
        <f>IF(ISNA(VLOOKUP(A103,'Données projet'!$A$87:$I$107,3,0)),0,VLOOKUP(A103,'Données projet'!$A$87:$I$107,3,0))</f>
        <v>16</v>
      </c>
      <c r="BL103" s="15">
        <f>IF(ISNA(VLOOKUP(A103,'Données projet'!$A$87:$I$107,4,0)),0,VLOOKUP(A103,'Données projet'!$A$87:$I$107,4,0))</f>
        <v>14</v>
      </c>
      <c r="BM103" s="16">
        <f>IF(ISNA(VLOOKUP(A103,'Données projet'!$A$87:$I$107,5,0)),0%,VLOOKUP(A103,'Données projet'!$A$87:$I$107,5,0)*VLOOKUP('Données projet'!$B$11,Paramètres!$A$1:$I$89,7,0))</f>
        <v>0.30099999999999999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27.188612930997216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27.188612930997216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>
        <f>VLOOKUP(A103,'Données projet'!$A$113:$I$133,2,0)</f>
        <v>282</v>
      </c>
      <c r="BW103" s="12">
        <f>VLOOKUP(A103,'Données projet'!$A$113:$I$133,9,0)</f>
        <v>2.8</v>
      </c>
      <c r="BX103" s="12">
        <f t="array" ref="BX103">INDEX(BW:BW,MIN(IF(ISNUMBER(BW103:BW299),ROW(BW103:BW299),"")))</f>
        <v>2.8</v>
      </c>
      <c r="BY103" s="12">
        <f>IF('Données projet'!$A$114&gt;35,BY102+BX103-CG102,IF(A103&lt;'Données projet'!$A$114,$BV$205^A103,IF(A103='Données projet'!$A$114,'Données projet'!$B$114,BY102+BX103-CG102)))</f>
        <v>281.99999999999989</v>
      </c>
      <c r="BZ103" s="13">
        <f>BY103*VLOOKUP('Données projet'!$B$12,Paramètres!$A$1:$I$89,3,0)*VLOOKUP('Données projet'!$B$12,Paramètres!$A$1:$I$89,5,0)</f>
        <v>189.16559999999993</v>
      </c>
      <c r="CA103" s="13">
        <f t="shared" si="93"/>
        <v>47.355431631295275</v>
      </c>
      <c r="CB103" s="20">
        <f t="shared" si="64"/>
        <v>411.94079675783911</v>
      </c>
      <c r="CC103" s="59">
        <f t="shared" si="65"/>
        <v>689.34485194154831</v>
      </c>
      <c r="CD103" s="59">
        <f ca="1">AVERAGE(OFFSET($CC$3,0,0,'Données projet'!$E$12+1,1))-AVERAGE(OFFSET($H$3,0,0,'Données projet'!$E$12+1,1))</f>
        <v>323.91378047319455</v>
      </c>
      <c r="CE103" s="59">
        <f t="shared" si="94"/>
        <v>212.89889176380288</v>
      </c>
      <c r="CF103" s="15">
        <f>IF(ISNA(VLOOKUP(A103,'Données projet'!$A$113:$I$133,3,0)),0,VLOOKUP(A103,'Données projet'!$A$113:$I$133,3,0))</f>
        <v>17</v>
      </c>
      <c r="CG103" s="15">
        <f>IF(ISNA(VLOOKUP(A103,'Données projet'!$A$113:$I$133,4,0)),0,VLOOKUP(A103,'Données projet'!$A$113:$I$133,4,0))</f>
        <v>21</v>
      </c>
      <c r="CH103" s="16">
        <f>IF(ISNA(VLOOKUP(A103,'Données projet'!$A$113:$I$133,5,0)),0%,VLOOKUP(A103,'Données projet'!$A$113:$I$133,5,0)*VLOOKUP('Données projet'!$B$12,Paramètres!$A$1:$I$89,7,0))</f>
        <v>0.371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33.694494281570634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33.694494281570634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>
        <f>CT103*VLOOKUP('Données projet'!$B$13,Paramètres!$A$1:$I$89,3,0)*VLOOKUP('Données projet'!$B$13,Paramètres!$A$1:$I$89,5,0)</f>
        <v>0</v>
      </c>
      <c r="CV103" s="13" t="e">
        <f t="shared" si="95"/>
        <v>#NUM!</v>
      </c>
      <c r="CW103" s="20" t="e">
        <f t="shared" si="67"/>
        <v>#NUM!</v>
      </c>
      <c r="CX103" s="59" t="e">
        <f t="shared" si="68"/>
        <v>#NUM!</v>
      </c>
      <c r="CY103" s="59">
        <f ca="1">AVERAGE(OFFSET($CX$3,0,0,'Données projet'!$E$13+1,1))-AVERAGE(OFFSET($H$3,0,0,'Données projet'!$E$13+1,1))</f>
        <v>356.07880667298025</v>
      </c>
      <c r="CZ103" s="59">
        <f t="shared" si="96"/>
        <v>396.05161661639659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83.050942554909597</v>
      </c>
      <c r="DG103" s="21">
        <f>EXP(-LN(2)/25)*DG102+(1-EXP(-LN(2)/25))/(LN(2)/25)*Calculateur!DB103*Calculateur!DD103*VLOOKUP('Données projet'!$B$13,Paramètres!$A$1:$I$89,3,0)*0.475*44/12</f>
        <v>14.508480843535811</v>
      </c>
      <c r="DH103" s="21">
        <f>EXP(-LN(2)/2)*DH102+(1-EXP(-LN(2)/2))/(LN(2)/2)*DB103*DE103*VLOOKUP('Données projet'!$B$13,Paramètres!$A$1:$I$89,3,0)*0.475*44/12</f>
        <v>3.2683895426595242E-5</v>
      </c>
      <c r="DI103" s="22">
        <f t="shared" si="69"/>
        <v>97.55945608234083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>
        <f>DO103*VLOOKUP('Données projet'!$B$14,Paramètres!$A$1:$I$89,3,0)*VLOOKUP('Données projet'!$B$14,Paramètres!$A$1:$I$89,5,0)</f>
        <v>0</v>
      </c>
      <c r="DQ103" s="13" t="e">
        <f t="shared" si="97"/>
        <v>#NUM!</v>
      </c>
      <c r="DR103" s="20" t="e">
        <f t="shared" si="70"/>
        <v>#NUM!</v>
      </c>
      <c r="DS103" s="59" t="e">
        <f t="shared" si="71"/>
        <v>#NUM!</v>
      </c>
      <c r="DT103" s="59">
        <f ca="1">AVERAGE(OFFSET($DS$3,0,0,'Données projet'!$E$14+1,1))-AVERAGE(OFFSET($H$3,0,0,'Données projet'!$E$14+1,1))</f>
        <v>246.11623544660486</v>
      </c>
      <c r="DU103" s="59">
        <f t="shared" si="98"/>
        <v>273.18950868898253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56.980436428268568</v>
      </c>
      <c r="EB103" s="21">
        <f>EXP(-LN(2)/25)*EB102+(1-EXP(-LN(2)/25))/(LN(2)/25)*Calculateur!DW103*Calculateur!DY103*VLOOKUP('Données projet'!$B$14,Paramètres!$A$1:$I$89,3,0)*0.475*44/12</f>
        <v>13.178137836841719</v>
      </c>
      <c r="EC103" s="21">
        <f>EXP(-LN(2)/2)*EC102+(1-EXP(-LN(2)/2))/(LN(2)/2)*DW103*DZ103*VLOOKUP('Données projet'!$B$14,Paramètres!$A$1:$I$89,3,0)*0.475*44/12</f>
        <v>3.1056521327143444E-5</v>
      </c>
      <c r="ED103" s="22">
        <f t="shared" si="72"/>
        <v>70.158605321631612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5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67">
        <f t="shared" si="56"/>
        <v>183.33333333333334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5.2</v>
      </c>
      <c r="N104" s="13">
        <f>IF('Données projet'!$A$36&gt;35,N103+M104-V103,IF(A104&lt;'Données projet'!$A$36,$K$205^A104,IF(A104='Données projet'!$A$36,'Données projet'!$B$36,N103+M104-V103)))</f>
        <v>311.19999999999993</v>
      </c>
      <c r="O104" s="13">
        <f>N104*VLOOKUP('Données projet'!$B$9,Paramètres!$A$1:$I$89,3,0)*VLOOKUP('Données projet'!$B$9,Paramètres!$A$1:$I$89,5,0)</f>
        <v>315.55679999999995</v>
      </c>
      <c r="P104" s="13">
        <f t="shared" si="87"/>
        <v>74.42810851327107</v>
      </c>
      <c r="Q104" s="20">
        <f t="shared" si="107"/>
        <v>679.22371566061372</v>
      </c>
      <c r="R104" s="59">
        <f t="shared" si="55"/>
        <v>956.90410820768807</v>
      </c>
      <c r="S104" s="59">
        <f ca="1">AVERAGE(OFFSET($R$3,0,0,'Données projet'!$E$9+1,1))-AVERAGE(OFFSET($H$3,0,0,'Données projet'!$E$9+1,1))</f>
        <v>538.10210778862256</v>
      </c>
      <c r="T104" s="59">
        <f t="shared" si="88"/>
        <v>399.53300632021399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54.962589322767265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54.962589322767265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5.2</v>
      </c>
      <c r="AI104" s="13">
        <f>IF('Données projet'!$A$62&gt;35,AI103+AH104-AQ103,IF(A104&lt;'Données projet'!$A$62,$AF$205^A104,IF(A104='Données projet'!$A$62,'Données projet'!$B$62,AI103+AH104-AQ103)))</f>
        <v>311.19999999999993</v>
      </c>
      <c r="AJ104" s="13">
        <f>AI104*VLOOKUP('Données projet'!$B$10,Paramètres!$A$1:$I$89,3,0)*VLOOKUP('Données projet'!$B$10,Paramètres!$A$1:$I$89,5,0)</f>
        <v>325.26623999999993</v>
      </c>
      <c r="AK104" s="13">
        <f t="shared" si="89"/>
        <v>76.448054183152152</v>
      </c>
      <c r="AL104" s="20">
        <f t="shared" si="58"/>
        <v>699.65239570232325</v>
      </c>
      <c r="AM104" s="59">
        <f t="shared" si="59"/>
        <v>977.33278824939771</v>
      </c>
      <c r="AN104" s="59">
        <f ca="1">AVERAGE(OFFSET($AM$3,0,0,'Données projet'!$E$10+1,1))-AVERAGE(OFFSET($H$3,0,0,'Données projet'!$E$10+1,1))</f>
        <v>552.26894123675538</v>
      </c>
      <c r="AO104" s="59">
        <f t="shared" si="90"/>
        <v>409.85604950107006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56.653745917313934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56.653745917313934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3.2</v>
      </c>
      <c r="BD104" s="12">
        <f>IF('Données projet'!$A$88&gt;35,BD103+BC104-BL103,IF(A104&lt;'Données projet'!$A$88,$BA$205^A104,IF(A104='Données projet'!$A$88,'Données projet'!$B$88,BD103+BC104-BL103)))</f>
        <v>205.19999999999996</v>
      </c>
      <c r="BE104" s="13">
        <f>BD104*VLOOKUP('Données projet'!$B$11,Paramètres!$A$1:$I$89,3,0)*VLOOKUP('Données projet'!$B$11,Paramètres!$A$1:$I$89,5,0)</f>
        <v>220.87727999999996</v>
      </c>
      <c r="BF104" s="13">
        <f t="shared" si="91"/>
        <v>54.305514008302801</v>
      </c>
      <c r="BG104" s="20">
        <f t="shared" si="61"/>
        <v>479.27669956446061</v>
      </c>
      <c r="BH104" s="59">
        <f t="shared" si="62"/>
        <v>756.95709211153508</v>
      </c>
      <c r="BI104" s="59">
        <f ca="1">AVERAGE(OFFSET($BH$3,0,0,'Données projet'!$E$11+1,1))-AVERAGE(OFFSET($H$3,0,0,'Données projet'!$E$11+1,1))</f>
        <v>361.24725625563468</v>
      </c>
      <c r="BJ104" s="59">
        <f t="shared" si="92"/>
        <v>186.0840067781198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26.655460814836772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26.655460814836772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4.4000000000000004</v>
      </c>
      <c r="BY104" s="12">
        <f>IF('Données projet'!$A$114&gt;35,BY103+BX104-CG103,IF(A104&lt;'Données projet'!$A$114,$BV$205^A104,IF(A104='Données projet'!$A$114,'Données projet'!$B$114,BY103+BX104-CG103)))</f>
        <v>265.39999999999986</v>
      </c>
      <c r="BZ104" s="13">
        <f>BY104*VLOOKUP('Données projet'!$B$12,Paramètres!$A$1:$I$89,3,0)*VLOOKUP('Données projet'!$B$12,Paramètres!$A$1:$I$89,5,0)</f>
        <v>178.0303199999999</v>
      </c>
      <c r="CA104" s="13">
        <f t="shared" si="93"/>
        <v>44.883688428064303</v>
      </c>
      <c r="CB104" s="20">
        <f t="shared" si="64"/>
        <v>388.24189801221178</v>
      </c>
      <c r="CC104" s="59">
        <f t="shared" si="65"/>
        <v>665.92229055928624</v>
      </c>
      <c r="CD104" s="59">
        <f ca="1">AVERAGE(OFFSET($CC$3,0,0,'Données projet'!$E$12+1,1))-AVERAGE(OFFSET($H$3,0,0,'Données projet'!$E$12+1,1))</f>
        <v>323.91378047319455</v>
      </c>
      <c r="CE104" s="59">
        <f t="shared" si="94"/>
        <v>212.89889176380288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33.033765800321241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33.033765800321241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>
        <f>CT104*VLOOKUP('Données projet'!$B$13,Paramètres!$A$1:$I$89,3,0)*VLOOKUP('Données projet'!$B$13,Paramètres!$A$1:$I$89,5,0)</f>
        <v>0</v>
      </c>
      <c r="CV104" s="13" t="e">
        <f t="shared" si="95"/>
        <v>#NUM!</v>
      </c>
      <c r="CW104" s="20" t="e">
        <f t="shared" si="67"/>
        <v>#NUM!</v>
      </c>
      <c r="CX104" s="59" t="e">
        <f t="shared" si="68"/>
        <v>#NUM!</v>
      </c>
      <c r="CY104" s="59">
        <f ca="1">AVERAGE(OFFSET($CX$3,0,0,'Données projet'!$E$13+1,1))-AVERAGE(OFFSET($H$3,0,0,'Données projet'!$E$13+1,1))</f>
        <v>356.07880667298025</v>
      </c>
      <c r="CZ104" s="59">
        <f t="shared" si="96"/>
        <v>396.05161661639659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81.422364227480912</v>
      </c>
      <c r="DG104" s="21">
        <f>EXP(-LN(2)/25)*DG103+(1-EXP(-LN(2)/25))/(LN(2)/25)*Calculateur!DB104*Calculateur!DD104*VLOOKUP('Données projet'!$B$13,Paramètres!$A$1:$I$89,3,0)*0.475*44/12</f>
        <v>14.111745671901476</v>
      </c>
      <c r="DH104" s="21">
        <f>EXP(-LN(2)/2)*DH103+(1-EXP(-LN(2)/2))/(LN(2)/2)*DB104*DE104*VLOOKUP('Données projet'!$B$13,Paramètres!$A$1:$I$89,3,0)*0.475*44/12</f>
        <v>2.3111004091737484E-5</v>
      </c>
      <c r="DI104" s="22">
        <f t="shared" si="69"/>
        <v>95.534133010386483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>
        <f>DO104*VLOOKUP('Données projet'!$B$14,Paramètres!$A$1:$I$89,3,0)*VLOOKUP('Données projet'!$B$14,Paramètres!$A$1:$I$89,5,0)</f>
        <v>0</v>
      </c>
      <c r="DQ104" s="13" t="e">
        <f t="shared" si="97"/>
        <v>#NUM!</v>
      </c>
      <c r="DR104" s="20" t="e">
        <f t="shared" si="70"/>
        <v>#NUM!</v>
      </c>
      <c r="DS104" s="59" t="e">
        <f t="shared" si="71"/>
        <v>#NUM!</v>
      </c>
      <c r="DT104" s="59">
        <f ca="1">AVERAGE(OFFSET($DS$3,0,0,'Données projet'!$E$14+1,1))-AVERAGE(OFFSET($H$3,0,0,'Données projet'!$E$14+1,1))</f>
        <v>246.11623544660486</v>
      </c>
      <c r="DU104" s="59">
        <f t="shared" si="98"/>
        <v>273.18950868898253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55.863084824544707</v>
      </c>
      <c r="EB104" s="21">
        <f>EXP(-LN(2)/25)*EB103+(1-EXP(-LN(2)/25))/(LN(2)/25)*Calculateur!DW104*Calculateur!DY104*VLOOKUP('Données projet'!$B$14,Paramètres!$A$1:$I$89,3,0)*0.475*44/12</f>
        <v>12.817780964685133</v>
      </c>
      <c r="EC104" s="21">
        <f>EXP(-LN(2)/2)*EC103+(1-EXP(-LN(2)/2))/(LN(2)/2)*DW104*DZ104*VLOOKUP('Données projet'!$B$14,Paramètres!$A$1:$I$89,3,0)*0.475*44/12</f>
        <v>2.1960276830487766E-5</v>
      </c>
      <c r="ED104" s="22">
        <f t="shared" si="72"/>
        <v>68.680887749506667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5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67">
        <f t="shared" si="56"/>
        <v>183.33333333333334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5.2</v>
      </c>
      <c r="N105" s="13">
        <f>IF('Données projet'!$A$36&gt;35,N104+M105-V104,IF(A105&lt;'Données projet'!$A$36,$K$205^A105,IF(A105='Données projet'!$A$36,'Données projet'!$B$36,N104+M105-V104)))</f>
        <v>316.39999999999992</v>
      </c>
      <c r="O105" s="13">
        <f>N105*VLOOKUP('Données projet'!$B$9,Paramètres!$A$1:$I$89,3,0)*VLOOKUP('Données projet'!$B$9,Paramètres!$A$1:$I$89,5,0)</f>
        <v>320.82959999999997</v>
      </c>
      <c r="P105" s="13">
        <f t="shared" si="87"/>
        <v>75.525942057150672</v>
      </c>
      <c r="Q105" s="20">
        <f t="shared" si="107"/>
        <v>690.31923574953726</v>
      </c>
      <c r="R105" s="59">
        <f t="shared" si="55"/>
        <v>968.27117182452025</v>
      </c>
      <c r="S105" s="59">
        <f ca="1">AVERAGE(OFFSET($R$3,0,0,'Données projet'!$E$9+1,1))-AVERAGE(OFFSET($H$3,0,0,'Données projet'!$E$9+1,1))</f>
        <v>538.10210778862256</v>
      </c>
      <c r="T105" s="59">
        <f t="shared" si="88"/>
        <v>399.53300632021399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53.884806470017075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53.884806470017075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5.2</v>
      </c>
      <c r="AI105" s="13">
        <f>IF('Données projet'!$A$62&gt;35,AI104+AH105-AQ104,IF(A105&lt;'Données projet'!$A$62,$AF$205^A105,IF(A105='Données projet'!$A$62,'Données projet'!$B$62,AI104+AH105-AQ104)))</f>
        <v>316.39999999999992</v>
      </c>
      <c r="AJ105" s="13">
        <f>AI105*VLOOKUP('Données projet'!$B$10,Paramètres!$A$1:$I$89,3,0)*VLOOKUP('Données projet'!$B$10,Paramètres!$A$1:$I$89,5,0)</f>
        <v>330.70127999999994</v>
      </c>
      <c r="AK105" s="13">
        <f t="shared" si="89"/>
        <v>77.575682439775449</v>
      </c>
      <c r="AL105" s="20">
        <f t="shared" si="58"/>
        <v>711.0823762492754</v>
      </c>
      <c r="AM105" s="59">
        <f t="shared" si="59"/>
        <v>989.03431232425828</v>
      </c>
      <c r="AN105" s="59">
        <f ca="1">AVERAGE(OFFSET($AM$3,0,0,'Données projet'!$E$10+1,1))-AVERAGE(OFFSET($H$3,0,0,'Données projet'!$E$10+1,1))</f>
        <v>552.26894123675538</v>
      </c>
      <c r="AO105" s="59">
        <f t="shared" si="90"/>
        <v>409.85604950107006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55.542800515248359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55.542800515248359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3.2</v>
      </c>
      <c r="BD105" s="12">
        <f>IF('Données projet'!$A$88&gt;35,BD104+BC105-BL104,IF(A105&lt;'Données projet'!$A$88,$BA$205^A105,IF(A105='Données projet'!$A$88,'Données projet'!$B$88,BD104+BC105-BL104)))</f>
        <v>208.39999999999995</v>
      </c>
      <c r="BE105" s="13">
        <f>BD105*VLOOKUP('Données projet'!$B$11,Paramètres!$A$1:$I$89,3,0)*VLOOKUP('Données projet'!$B$11,Paramètres!$A$1:$I$89,5,0)</f>
        <v>224.32175999999995</v>
      </c>
      <c r="BF105" s="13">
        <f t="shared" si="91"/>
        <v>55.053132755090779</v>
      </c>
      <c r="BG105" s="20">
        <f t="shared" si="61"/>
        <v>486.57793821511638</v>
      </c>
      <c r="BH105" s="59">
        <f t="shared" si="62"/>
        <v>764.52987429009931</v>
      </c>
      <c r="BI105" s="59">
        <f ca="1">AVERAGE(OFFSET($BH$3,0,0,'Données projet'!$E$11+1,1))-AVERAGE(OFFSET($H$3,0,0,'Données projet'!$E$11+1,1))</f>
        <v>361.24725625563468</v>
      </c>
      <c r="BJ105" s="59">
        <f t="shared" si="92"/>
        <v>186.0840067781198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26.132763486483555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26.132763486483555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4.4000000000000004</v>
      </c>
      <c r="BY105" s="12">
        <f>IF('Données projet'!$A$114&gt;35,BY104+BX105-CG104,IF(A105&lt;'Données projet'!$A$114,$BV$205^A105,IF(A105='Données projet'!$A$114,'Données projet'!$B$114,BY104+BX105-CG104)))</f>
        <v>269.79999999999984</v>
      </c>
      <c r="BZ105" s="13">
        <f>BY105*VLOOKUP('Données projet'!$B$12,Paramètres!$A$1:$I$89,3,0)*VLOOKUP('Données projet'!$B$12,Paramètres!$A$1:$I$89,5,0)</f>
        <v>180.98183999999989</v>
      </c>
      <c r="CA105" s="13">
        <f t="shared" si="93"/>
        <v>45.54055827086686</v>
      </c>
      <c r="CB105" s="20">
        <f t="shared" si="64"/>
        <v>394.52651032175959</v>
      </c>
      <c r="CC105" s="59">
        <f t="shared" si="65"/>
        <v>672.47844639674258</v>
      </c>
      <c r="CD105" s="59">
        <f ca="1">AVERAGE(OFFSET($CC$3,0,0,'Données projet'!$E$12+1,1))-AVERAGE(OFFSET($H$3,0,0,'Données projet'!$E$12+1,1))</f>
        <v>323.91378047319455</v>
      </c>
      <c r="CE105" s="59">
        <f t="shared" si="94"/>
        <v>212.89889176380288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32.385993801584569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32.385993801584569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>
        <f>CT105*VLOOKUP('Données projet'!$B$13,Paramètres!$A$1:$I$89,3,0)*VLOOKUP('Données projet'!$B$13,Paramètres!$A$1:$I$89,5,0)</f>
        <v>0</v>
      </c>
      <c r="CV105" s="13" t="e">
        <f t="shared" si="95"/>
        <v>#NUM!</v>
      </c>
      <c r="CW105" s="20" t="e">
        <f t="shared" si="67"/>
        <v>#NUM!</v>
      </c>
      <c r="CX105" s="59" t="e">
        <f t="shared" si="68"/>
        <v>#NUM!</v>
      </c>
      <c r="CY105" s="59">
        <f ca="1">AVERAGE(OFFSET($CX$3,0,0,'Données projet'!$E$13+1,1))-AVERAGE(OFFSET($H$3,0,0,'Données projet'!$E$13+1,1))</f>
        <v>356.07880667298025</v>
      </c>
      <c r="CZ105" s="59">
        <f t="shared" si="96"/>
        <v>396.05161661639659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79.825721327718398</v>
      </c>
      <c r="DG105" s="21">
        <f>EXP(-LN(2)/25)*DG104+(1-EXP(-LN(2)/25))/(LN(2)/25)*Calculateur!DB105*Calculateur!DD105*VLOOKUP('Données projet'!$B$13,Paramètres!$A$1:$I$89,3,0)*0.475*44/12</f>
        <v>13.725859244398878</v>
      </c>
      <c r="DH105" s="21">
        <f>EXP(-LN(2)/2)*DH104+(1-EXP(-LN(2)/2))/(LN(2)/2)*DB105*DE105*VLOOKUP('Données projet'!$B$13,Paramètres!$A$1:$I$89,3,0)*0.475*44/12</f>
        <v>1.6341947713297621E-5</v>
      </c>
      <c r="DI105" s="22">
        <f t="shared" si="69"/>
        <v>93.551596914064987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>
        <f>DO105*VLOOKUP('Données projet'!$B$14,Paramètres!$A$1:$I$89,3,0)*VLOOKUP('Données projet'!$B$14,Paramètres!$A$1:$I$89,5,0)</f>
        <v>0</v>
      </c>
      <c r="DQ105" s="13" t="e">
        <f t="shared" si="97"/>
        <v>#NUM!</v>
      </c>
      <c r="DR105" s="20" t="e">
        <f t="shared" si="70"/>
        <v>#NUM!</v>
      </c>
      <c r="DS105" s="59" t="e">
        <f t="shared" si="71"/>
        <v>#NUM!</v>
      </c>
      <c r="DT105" s="59">
        <f ca="1">AVERAGE(OFFSET($DS$3,0,0,'Données projet'!$E$14+1,1))-AVERAGE(OFFSET($H$3,0,0,'Données projet'!$E$14+1,1))</f>
        <v>246.11623544660486</v>
      </c>
      <c r="DU105" s="59">
        <f t="shared" si="98"/>
        <v>273.18950868898253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54.767643804252685</v>
      </c>
      <c r="EB105" s="21">
        <f>EXP(-LN(2)/25)*EB104+(1-EXP(-LN(2)/25))/(LN(2)/25)*Calculateur!DW105*Calculateur!DY105*VLOOKUP('Données projet'!$B$14,Paramètres!$A$1:$I$89,3,0)*0.475*44/12</f>
        <v>12.467278070148012</v>
      </c>
      <c r="EC105" s="21">
        <f>EXP(-LN(2)/2)*EC104+(1-EXP(-LN(2)/2))/(LN(2)/2)*DW105*DZ105*VLOOKUP('Données projet'!$B$14,Paramètres!$A$1:$I$89,3,0)*0.475*44/12</f>
        <v>1.5528260663571722E-5</v>
      </c>
      <c r="ED105" s="22">
        <f t="shared" si="72"/>
        <v>67.234937402661359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5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67">
        <f t="shared" si="56"/>
        <v>183.33333333333334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5.2</v>
      </c>
      <c r="N106" s="13">
        <f>IF('Données projet'!$A$36&gt;35,N105+M106-V105,IF(A106&lt;'Données projet'!$A$36,$K$205^A106,IF(A106='Données projet'!$A$36,'Données projet'!$B$36,N105+M106-V105)))</f>
        <v>321.59999999999991</v>
      </c>
      <c r="O106" s="13">
        <f>N106*VLOOKUP('Données projet'!$B$9,Paramètres!$A$1:$I$89,3,0)*VLOOKUP('Données projet'!$B$9,Paramètres!$A$1:$I$89,5,0)</f>
        <v>326.10239999999993</v>
      </c>
      <c r="P106" s="13">
        <f t="shared" si="87"/>
        <v>76.621677329562289</v>
      </c>
      <c r="Q106" s="20">
        <f t="shared" si="107"/>
        <v>701.41110134898747</v>
      </c>
      <c r="R106" s="59">
        <f t="shared" si="55"/>
        <v>979.6298702787501</v>
      </c>
      <c r="S106" s="59">
        <f ca="1">AVERAGE(OFFSET($R$3,0,0,'Données projet'!$E$9+1,1))-AVERAGE(OFFSET($H$3,0,0,'Données projet'!$E$9+1,1))</f>
        <v>538.10210778862256</v>
      </c>
      <c r="T106" s="59">
        <f t="shared" si="88"/>
        <v>399.53300632021399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52.828158281626692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52.828158281626692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5.2</v>
      </c>
      <c r="AI106" s="13">
        <f>IF('Données projet'!$A$62&gt;35,AI105+AH106-AQ105,IF(A106&lt;'Données projet'!$A$62,$AF$205^A106,IF(A106='Données projet'!$A$62,'Données projet'!$B$62,AI105+AH106-AQ105)))</f>
        <v>321.59999999999991</v>
      </c>
      <c r="AJ106" s="13">
        <f>AI106*VLOOKUP('Données projet'!$B$10,Paramètres!$A$1:$I$89,3,0)*VLOOKUP('Données projet'!$B$10,Paramètres!$A$1:$I$89,5,0)</f>
        <v>336.13631999999996</v>
      </c>
      <c r="AK106" s="13">
        <f t="shared" si="89"/>
        <v>78.701155478778944</v>
      </c>
      <c r="AL106" s="20">
        <f t="shared" si="58"/>
        <v>722.50860312553993</v>
      </c>
      <c r="AM106" s="59">
        <f t="shared" si="59"/>
        <v>1000.7273720553026</v>
      </c>
      <c r="AN106" s="59">
        <f ca="1">AVERAGE(OFFSET($AM$3,0,0,'Données projet'!$E$10+1,1))-AVERAGE(OFFSET($H$3,0,0,'Données projet'!$E$10+1,1))</f>
        <v>552.26894123675538</v>
      </c>
      <c r="AO106" s="59">
        <f t="shared" si="90"/>
        <v>409.85604950107006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54.453640074907504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54.453640074907504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3.2</v>
      </c>
      <c r="BD106" s="12">
        <f>IF('Données projet'!$A$88&gt;35,BD105+BC106-BL105,IF(A106&lt;'Données projet'!$A$88,$BA$205^A106,IF(A106='Données projet'!$A$88,'Données projet'!$B$88,BD105+BC106-BL105)))</f>
        <v>211.59999999999994</v>
      </c>
      <c r="BE106" s="13">
        <f>BD106*VLOOKUP('Données projet'!$B$11,Paramètres!$A$1:$I$89,3,0)*VLOOKUP('Données projet'!$B$11,Paramètres!$A$1:$I$89,5,0)</f>
        <v>227.7662399999999</v>
      </c>
      <c r="BF106" s="13">
        <f t="shared" si="91"/>
        <v>55.799416396900583</v>
      </c>
      <c r="BG106" s="20">
        <f t="shared" si="61"/>
        <v>493.87685155793497</v>
      </c>
      <c r="BH106" s="59">
        <f t="shared" si="62"/>
        <v>772.09562048769772</v>
      </c>
      <c r="BI106" s="59">
        <f ca="1">AVERAGE(OFFSET($BH$3,0,0,'Données projet'!$E$11+1,1))-AVERAGE(OFFSET($H$3,0,0,'Données projet'!$E$11+1,1))</f>
        <v>361.24725625563468</v>
      </c>
      <c r="BJ106" s="59">
        <f t="shared" si="92"/>
        <v>186.0840067781198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25.620315933925454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25.620315933925454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4.4000000000000004</v>
      </c>
      <c r="BY106" s="12">
        <f>IF('Données projet'!$A$114&gt;35,BY105+BX106-CG105,IF(A106&lt;'Données projet'!$A$114,$BV$205^A106,IF(A106='Données projet'!$A$114,'Données projet'!$B$114,BY105+BX106-CG105)))</f>
        <v>274.19999999999982</v>
      </c>
      <c r="BZ106" s="13">
        <f>BY106*VLOOKUP('Données projet'!$B$12,Paramètres!$A$1:$I$89,3,0)*VLOOKUP('Données projet'!$B$12,Paramètres!$A$1:$I$89,5,0)</f>
        <v>183.93335999999988</v>
      </c>
      <c r="CA106" s="13">
        <f t="shared" si="93"/>
        <v>46.196182305298308</v>
      </c>
      <c r="CB106" s="20">
        <f t="shared" si="64"/>
        <v>400.80895284839431</v>
      </c>
      <c r="CC106" s="59">
        <f t="shared" si="65"/>
        <v>679.027721778157</v>
      </c>
      <c r="CD106" s="59">
        <f ca="1">AVERAGE(OFFSET($CC$3,0,0,'Données projet'!$E$12+1,1))-AVERAGE(OFFSET($H$3,0,0,'Données projet'!$E$12+1,1))</f>
        <v>323.91378047319455</v>
      </c>
      <c r="CE106" s="59">
        <f t="shared" si="94"/>
        <v>212.89889176380288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31.750924216641216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31.750924216641216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>
        <f>CT106*VLOOKUP('Données projet'!$B$13,Paramètres!$A$1:$I$89,3,0)*VLOOKUP('Données projet'!$B$13,Paramètres!$A$1:$I$89,5,0)</f>
        <v>0</v>
      </c>
      <c r="CV106" s="13" t="e">
        <f t="shared" si="95"/>
        <v>#NUM!</v>
      </c>
      <c r="CW106" s="20" t="e">
        <f t="shared" si="67"/>
        <v>#NUM!</v>
      </c>
      <c r="CX106" s="59" t="e">
        <f t="shared" si="68"/>
        <v>#NUM!</v>
      </c>
      <c r="CY106" s="59">
        <f ca="1">AVERAGE(OFFSET($CX$3,0,0,'Données projet'!$E$13+1,1))-AVERAGE(OFFSET($H$3,0,0,'Données projet'!$E$13+1,1))</f>
        <v>356.07880667298025</v>
      </c>
      <c r="CZ106" s="59">
        <f t="shared" si="96"/>
        <v>396.05161661639659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78.260387621364217</v>
      </c>
      <c r="DG106" s="21">
        <f>EXP(-LN(2)/25)*DG105+(1-EXP(-LN(2)/25))/(LN(2)/25)*Calculateur!DB106*Calculateur!DD106*VLOOKUP('Données projet'!$B$13,Paramètres!$A$1:$I$89,3,0)*0.475*44/12</f>
        <v>13.350524901549223</v>
      </c>
      <c r="DH106" s="21">
        <f>EXP(-LN(2)/2)*DH105+(1-EXP(-LN(2)/2))/(LN(2)/2)*DB106*DE106*VLOOKUP('Données projet'!$B$13,Paramètres!$A$1:$I$89,3,0)*0.475*44/12</f>
        <v>1.1555502045868742E-5</v>
      </c>
      <c r="DI106" s="22">
        <f t="shared" si="69"/>
        <v>91.610924078415479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>
        <f>DO106*VLOOKUP('Données projet'!$B$14,Paramètres!$A$1:$I$89,3,0)*VLOOKUP('Données projet'!$B$14,Paramètres!$A$1:$I$89,5,0)</f>
        <v>0</v>
      </c>
      <c r="DQ106" s="13" t="e">
        <f t="shared" si="97"/>
        <v>#NUM!</v>
      </c>
      <c r="DR106" s="20" t="e">
        <f t="shared" si="70"/>
        <v>#NUM!</v>
      </c>
      <c r="DS106" s="59" t="e">
        <f t="shared" si="71"/>
        <v>#NUM!</v>
      </c>
      <c r="DT106" s="59">
        <f ca="1">AVERAGE(OFFSET($DS$3,0,0,'Données projet'!$E$14+1,1))-AVERAGE(OFFSET($H$3,0,0,'Données projet'!$E$14+1,1))</f>
        <v>246.11623544660486</v>
      </c>
      <c r="DU106" s="59">
        <f t="shared" si="98"/>
        <v>273.18950868898253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53.693683714215545</v>
      </c>
      <c r="EB106" s="21">
        <f>EXP(-LN(2)/25)*EB105+(1-EXP(-LN(2)/25))/(LN(2)/25)*Calculateur!DW106*Calculateur!DY106*VLOOKUP('Données projet'!$B$14,Paramètres!$A$1:$I$89,3,0)*0.475*44/12</f>
        <v>12.126359695694156</v>
      </c>
      <c r="EC106" s="21">
        <f>EXP(-LN(2)/2)*EC105+(1-EXP(-LN(2)/2))/(LN(2)/2)*DW106*DZ106*VLOOKUP('Données projet'!$B$14,Paramètres!$A$1:$I$89,3,0)*0.475*44/12</f>
        <v>1.0980138415243883E-5</v>
      </c>
      <c r="ED106" s="22">
        <f t="shared" si="72"/>
        <v>65.820054390048114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5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67">
        <f t="shared" si="56"/>
        <v>183.33333333333334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5.2</v>
      </c>
      <c r="N107" s="13">
        <f>IF('Données projet'!$A$36&gt;35,N106+M107-V106,IF(A107&lt;'Données projet'!$A$36,$K$205^A107,IF(A107='Données projet'!$A$36,'Données projet'!$B$36,N106+M107-V106)))</f>
        <v>326.7999999999999</v>
      </c>
      <c r="O107" s="13">
        <f>N107*VLOOKUP('Données projet'!$B$9,Paramètres!$A$1:$I$89,3,0)*VLOOKUP('Données projet'!$B$9,Paramètres!$A$1:$I$89,5,0)</f>
        <v>331.37519999999989</v>
      </c>
      <c r="P107" s="13">
        <f t="shared" si="87"/>
        <v>77.715352174616896</v>
      </c>
      <c r="Q107" s="20">
        <f t="shared" si="107"/>
        <v>712.49937837079085</v>
      </c>
      <c r="R107" s="59">
        <f t="shared" si="55"/>
        <v>990.98035120185182</v>
      </c>
      <c r="S107" s="59">
        <f ca="1">AVERAGE(OFFSET($R$3,0,0,'Données projet'!$E$9+1,1))-AVERAGE(OFFSET($H$3,0,0,'Données projet'!$E$9+1,1))</f>
        <v>538.10210778862256</v>
      </c>
      <c r="T107" s="59">
        <f t="shared" si="88"/>
        <v>399.53300632021399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51.79223031971889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51.79223031971889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5.2</v>
      </c>
      <c r="AI107" s="13">
        <f>IF('Données projet'!$A$62&gt;35,AI106+AH107-AQ106,IF(A107&lt;'Données projet'!$A$62,$AF$205^A107,IF(A107='Données projet'!$A$62,'Données projet'!$B$62,AI106+AH107-AQ106)))</f>
        <v>326.7999999999999</v>
      </c>
      <c r="AJ107" s="13">
        <f>AI107*VLOOKUP('Données projet'!$B$10,Paramètres!$A$1:$I$89,3,0)*VLOOKUP('Données projet'!$B$10,Paramètres!$A$1:$I$89,5,0)</f>
        <v>341.57135999999991</v>
      </c>
      <c r="AK107" s="13">
        <f t="shared" si="89"/>
        <v>79.824512171345944</v>
      </c>
      <c r="AL107" s="20">
        <f t="shared" si="58"/>
        <v>733.9311440317606</v>
      </c>
      <c r="AM107" s="59">
        <f t="shared" si="59"/>
        <v>1012.4121168628214</v>
      </c>
      <c r="AN107" s="59">
        <f ca="1">AVERAGE(OFFSET($AM$3,0,0,'Données projet'!$E$10+1,1))-AVERAGE(OFFSET($H$3,0,0,'Données projet'!$E$10+1,1))</f>
        <v>552.26894123675538</v>
      </c>
      <c r="AO107" s="59">
        <f t="shared" si="90"/>
        <v>409.85604950107006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53.38583740647946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53.38583740647946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3.2</v>
      </c>
      <c r="BD107" s="12">
        <f>IF('Données projet'!$A$88&gt;35,BD106+BC107-BL106,IF(A107&lt;'Données projet'!$A$88,$BA$205^A107,IF(A107='Données projet'!$A$88,'Données projet'!$B$88,BD106+BC107-BL106)))</f>
        <v>214.79999999999993</v>
      </c>
      <c r="BE107" s="13">
        <f>BD107*VLOOKUP('Données projet'!$B$11,Paramètres!$A$1:$I$89,3,0)*VLOOKUP('Données projet'!$B$11,Paramètres!$A$1:$I$89,5,0)</f>
        <v>231.2107199999999</v>
      </c>
      <c r="BF107" s="13">
        <f t="shared" si="91"/>
        <v>56.544387456445222</v>
      </c>
      <c r="BG107" s="20">
        <f t="shared" si="61"/>
        <v>501.17347881997517</v>
      </c>
      <c r="BH107" s="59">
        <f t="shared" si="62"/>
        <v>779.65445165103608</v>
      </c>
      <c r="BI107" s="59">
        <f ca="1">AVERAGE(OFFSET($BH$3,0,0,'Données projet'!$E$11+1,1))-AVERAGE(OFFSET($H$3,0,0,'Données projet'!$E$11+1,1))</f>
        <v>361.24725625563468</v>
      </c>
      <c r="BJ107" s="59">
        <f t="shared" si="92"/>
        <v>186.0840067781198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25.117917165310871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25.117917165310871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4.4000000000000004</v>
      </c>
      <c r="BY107" s="12">
        <f>IF('Données projet'!$A$114&gt;35,BY106+BX107-CG106,IF(A107&lt;'Données projet'!$A$114,$BV$205^A107,IF(A107='Données projet'!$A$114,'Données projet'!$B$114,BY106+BX107-CG106)))</f>
        <v>278.5999999999998</v>
      </c>
      <c r="BZ107" s="13">
        <f>BY107*VLOOKUP('Données projet'!$B$12,Paramètres!$A$1:$I$89,3,0)*VLOOKUP('Données projet'!$B$12,Paramètres!$A$1:$I$89,5,0)</f>
        <v>186.88487999999987</v>
      </c>
      <c r="CA107" s="13">
        <f t="shared" si="93"/>
        <v>46.850582830509104</v>
      </c>
      <c r="CB107" s="20">
        <f t="shared" si="64"/>
        <v>407.08926442980305</v>
      </c>
      <c r="CC107" s="59">
        <f t="shared" si="65"/>
        <v>685.57023726086391</v>
      </c>
      <c r="CD107" s="59">
        <f ca="1">AVERAGE(OFFSET($CC$3,0,0,'Données projet'!$E$12+1,1))-AVERAGE(OFFSET($H$3,0,0,'Données projet'!$E$12+1,1))</f>
        <v>323.91378047319455</v>
      </c>
      <c r="CE107" s="59">
        <f t="shared" si="94"/>
        <v>212.89889176380288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31.128307958904404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31.128307958904404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>
        <f>CT107*VLOOKUP('Données projet'!$B$13,Paramètres!$A$1:$I$89,3,0)*VLOOKUP('Données projet'!$B$13,Paramètres!$A$1:$I$89,5,0)</f>
        <v>0</v>
      </c>
      <c r="CV107" s="13" t="e">
        <f t="shared" si="95"/>
        <v>#NUM!</v>
      </c>
      <c r="CW107" s="20" t="e">
        <f t="shared" si="67"/>
        <v>#NUM!</v>
      </c>
      <c r="CX107" s="59" t="e">
        <f t="shared" si="68"/>
        <v>#NUM!</v>
      </c>
      <c r="CY107" s="59">
        <f ca="1">AVERAGE(OFFSET($CX$3,0,0,'Données projet'!$E$13+1,1))-AVERAGE(OFFSET($H$3,0,0,'Données projet'!$E$13+1,1))</f>
        <v>356.07880667298025</v>
      </c>
      <c r="CZ107" s="59">
        <f t="shared" si="96"/>
        <v>396.05161661639659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76.725749154232361</v>
      </c>
      <c r="DG107" s="21">
        <f>EXP(-LN(2)/25)*DG106+(1-EXP(-LN(2)/25))/(LN(2)/25)*Calculateur!DB107*Calculateur!DD107*VLOOKUP('Données projet'!$B$13,Paramètres!$A$1:$I$89,3,0)*0.475*44/12</f>
        <v>12.985454096042767</v>
      </c>
      <c r="DH107" s="21">
        <f>EXP(-LN(2)/2)*DH106+(1-EXP(-LN(2)/2))/(LN(2)/2)*DB107*DE107*VLOOKUP('Données projet'!$B$13,Paramètres!$A$1:$I$89,3,0)*0.475*44/12</f>
        <v>8.1709738566488105E-6</v>
      </c>
      <c r="DI107" s="22">
        <f t="shared" si="69"/>
        <v>89.71121142124899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>
        <f>DO107*VLOOKUP('Données projet'!$B$14,Paramètres!$A$1:$I$89,3,0)*VLOOKUP('Données projet'!$B$14,Paramètres!$A$1:$I$89,5,0)</f>
        <v>0</v>
      </c>
      <c r="DQ107" s="13" t="e">
        <f t="shared" si="97"/>
        <v>#NUM!</v>
      </c>
      <c r="DR107" s="20" t="e">
        <f t="shared" si="70"/>
        <v>#NUM!</v>
      </c>
      <c r="DS107" s="59" t="e">
        <f t="shared" si="71"/>
        <v>#NUM!</v>
      </c>
      <c r="DT107" s="59">
        <f ca="1">AVERAGE(OFFSET($DS$3,0,0,'Données projet'!$E$14+1,1))-AVERAGE(OFFSET($H$3,0,0,'Données projet'!$E$14+1,1))</f>
        <v>246.11623544660486</v>
      </c>
      <c r="DU107" s="59">
        <f t="shared" si="98"/>
        <v>273.18950868898253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52.640783326493057</v>
      </c>
      <c r="EB107" s="21">
        <f>EXP(-LN(2)/25)*EB106+(1-EXP(-LN(2)/25))/(LN(2)/25)*Calculateur!DW107*Calculateur!DY107*VLOOKUP('Données projet'!$B$14,Paramètres!$A$1:$I$89,3,0)*0.475*44/12</f>
        <v>11.794763752117857</v>
      </c>
      <c r="EC107" s="21">
        <f>EXP(-LN(2)/2)*EC106+(1-EXP(-LN(2)/2))/(LN(2)/2)*DW107*DZ107*VLOOKUP('Données projet'!$B$14,Paramètres!$A$1:$I$89,3,0)*0.475*44/12</f>
        <v>7.764130331785861E-6</v>
      </c>
      <c r="ED107" s="22">
        <f t="shared" si="72"/>
        <v>64.43555484274124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5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67">
        <f t="shared" si="56"/>
        <v>183.33333333333334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5.2</v>
      </c>
      <c r="N108" s="13">
        <f>IF('Données projet'!$A$36&gt;35,N107+M108-V107,IF(A108&lt;'Données projet'!$A$36,$K$205^A108,IF(A108='Données projet'!$A$36,'Données projet'!$B$36,N107+M108-V107)))</f>
        <v>331.99999999999989</v>
      </c>
      <c r="O108" s="13">
        <f>N108*VLOOKUP('Données projet'!$B$9,Paramètres!$A$1:$I$89,3,0)*VLOOKUP('Données projet'!$B$9,Paramètres!$A$1:$I$89,5,0)</f>
        <v>336.64799999999991</v>
      </c>
      <c r="P108" s="13">
        <f t="shared" si="87"/>
        <v>78.807003163010307</v>
      </c>
      <c r="Q108" s="20">
        <f t="shared" si="107"/>
        <v>723.58413050890942</v>
      </c>
      <c r="R108" s="59">
        <f t="shared" si="55"/>
        <v>1002.3227585897812</v>
      </c>
      <c r="S108" s="59">
        <f ca="1">AVERAGE(OFFSET($R$3,0,0,'Données projet'!$E$9+1,1))-AVERAGE(OFFSET($H$3,0,0,'Données projet'!$E$9+1,1))</f>
        <v>538.10210778862256</v>
      </c>
      <c r="T108" s="59">
        <f t="shared" si="88"/>
        <v>399.53300632021399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50.776616273290429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50.776616273290429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5.2</v>
      </c>
      <c r="AI108" s="13">
        <f>IF('Données projet'!$A$62&gt;35,AI107+AH108-AQ107,IF(A108&lt;'Données projet'!$A$62,$AF$205^A108,IF(A108='Données projet'!$A$62,'Données projet'!$B$62,AI107+AH108-AQ107)))</f>
        <v>331.99999999999989</v>
      </c>
      <c r="AJ108" s="13">
        <f>AI108*VLOOKUP('Données projet'!$B$10,Paramètres!$A$1:$I$89,3,0)*VLOOKUP('Données projet'!$B$10,Paramètres!$A$1:$I$89,5,0)</f>
        <v>347.00639999999993</v>
      </c>
      <c r="AK108" s="13">
        <f t="shared" si="89"/>
        <v>80.945790080684603</v>
      </c>
      <c r="AL108" s="20">
        <f t="shared" si="58"/>
        <v>745.35006439052552</v>
      </c>
      <c r="AM108" s="59">
        <f t="shared" si="59"/>
        <v>1024.0886924713973</v>
      </c>
      <c r="AN108" s="59">
        <f ca="1">AVERAGE(OFFSET($AM$3,0,0,'Données projet'!$E$10+1,1))-AVERAGE(OFFSET($H$3,0,0,'Données projet'!$E$10+1,1))</f>
        <v>552.26894123675538</v>
      </c>
      <c r="AO108" s="59">
        <f t="shared" si="90"/>
        <v>409.85604950107006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52.338973697083972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52.338973697083972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>
        <f>VLOOKUP(A108,'Données projet'!$A$87:$I$107,2,0)</f>
        <v>218</v>
      </c>
      <c r="BB108" s="12">
        <f>VLOOKUP(A108,'Données projet'!$A$87:$I$107,9,0)</f>
        <v>3.2</v>
      </c>
      <c r="BC108" s="12">
        <f t="array" ref="BC108">INDEX(BB:BB,MIN(IF(ISNUMBER(BB108:BB304),ROW(BB108:BB304),"")))</f>
        <v>3.2</v>
      </c>
      <c r="BD108" s="12">
        <f>IF('Données projet'!$A$88&gt;35,BD107+BC108-BL107,IF(A108&lt;'Données projet'!$A$88,$BA$205^A108,IF(A108='Données projet'!$A$88,'Données projet'!$B$88,BD107+BC108-BL107)))</f>
        <v>217.99999999999991</v>
      </c>
      <c r="BE108" s="13">
        <f>BD108*VLOOKUP('Données projet'!$B$11,Paramètres!$A$1:$I$89,3,0)*VLOOKUP('Données projet'!$B$11,Paramètres!$A$1:$I$89,5,0)</f>
        <v>234.65519999999989</v>
      </c>
      <c r="BF108" s="13">
        <f t="shared" si="91"/>
        <v>57.288067746850942</v>
      </c>
      <c r="BG108" s="20">
        <f t="shared" si="61"/>
        <v>508.46785799243185</v>
      </c>
      <c r="BH108" s="59">
        <f t="shared" si="62"/>
        <v>787.20648607330361</v>
      </c>
      <c r="BI108" s="59">
        <f ca="1">AVERAGE(OFFSET($BH$3,0,0,'Données projet'!$E$11+1,1))-AVERAGE(OFFSET($H$3,0,0,'Données projet'!$E$11+1,1))</f>
        <v>361.24725625563468</v>
      </c>
      <c r="BJ108" s="59">
        <f t="shared" si="92"/>
        <v>186.0840067781198</v>
      </c>
      <c r="BK108" s="15">
        <f>IF(ISNA(VLOOKUP(A108,'Données projet'!$A$87:$I$107,3,0)),0,VLOOKUP(A108,'Données projet'!$A$87:$I$107,3,0))</f>
        <v>17</v>
      </c>
      <c r="BL108" s="15">
        <f>IF(ISNA(VLOOKUP(A108,'Données projet'!$A$87:$I$107,4,0)),0,VLOOKUP(A108,'Données projet'!$A$87:$I$107,4,0))</f>
        <v>14</v>
      </c>
      <c r="BM108" s="16">
        <f>IF(ISNA(VLOOKUP(A108,'Données projet'!$A$87:$I$107,5,0)),0%,VLOOKUP(A108,'Données projet'!$A$87:$I$107,5,0)*VLOOKUP('Données projet'!$B$11,Paramètres!$A$1:$I$89,7,0))</f>
        <v>0.30099999999999999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29.639728055970163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29.639728055970163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4.4000000000000004</v>
      </c>
      <c r="BY108" s="12">
        <f>IF('Données projet'!$A$114&gt;35,BY107+BX108-CG107,IF(A108&lt;'Données projet'!$A$114,$BV$205^A108,IF(A108='Données projet'!$A$114,'Données projet'!$B$114,BY107+BX108-CG107)))</f>
        <v>282.99999999999977</v>
      </c>
      <c r="BZ108" s="13">
        <f>BY108*VLOOKUP('Données projet'!$B$12,Paramètres!$A$1:$I$89,3,0)*VLOOKUP('Données projet'!$B$12,Paramètres!$A$1:$I$89,5,0)</f>
        <v>189.83639999999986</v>
      </c>
      <c r="CA108" s="13">
        <f t="shared" si="93"/>
        <v>47.503781400896202</v>
      </c>
      <c r="CB108" s="20">
        <f t="shared" si="64"/>
        <v>413.3674826065606</v>
      </c>
      <c r="CC108" s="59">
        <f t="shared" si="65"/>
        <v>692.10611068743242</v>
      </c>
      <c r="CD108" s="59">
        <f ca="1">AVERAGE(OFFSET($CC$3,0,0,'Données projet'!$E$12+1,1))-AVERAGE(OFFSET($H$3,0,0,'Données projet'!$E$12+1,1))</f>
        <v>323.91378047319455</v>
      </c>
      <c r="CE108" s="59">
        <f t="shared" si="94"/>
        <v>212.89889176380288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30.517900826223393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30.517900826223393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>
        <f>CT108*VLOOKUP('Données projet'!$B$13,Paramètres!$A$1:$I$89,3,0)*VLOOKUP('Données projet'!$B$13,Paramètres!$A$1:$I$89,5,0)</f>
        <v>0</v>
      </c>
      <c r="CV108" s="13" t="e">
        <f t="shared" si="95"/>
        <v>#NUM!</v>
      </c>
      <c r="CW108" s="20" t="e">
        <f t="shared" si="67"/>
        <v>#NUM!</v>
      </c>
      <c r="CX108" s="59" t="e">
        <f t="shared" si="68"/>
        <v>#NUM!</v>
      </c>
      <c r="CY108" s="59">
        <f ca="1">AVERAGE(OFFSET($CX$3,0,0,'Données projet'!$E$13+1,1))-AVERAGE(OFFSET($H$3,0,0,'Données projet'!$E$13+1,1))</f>
        <v>356.07880667298025</v>
      </c>
      <c r="CZ108" s="59">
        <f t="shared" si="96"/>
        <v>396.05161661639659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75.221204011403927</v>
      </c>
      <c r="DG108" s="21">
        <f>EXP(-LN(2)/25)*DG107+(1-EXP(-LN(2)/25))/(LN(2)/25)*Calculateur!DB108*Calculateur!DD108*VLOOKUP('Données projet'!$B$13,Paramètres!$A$1:$I$89,3,0)*0.475*44/12</f>
        <v>12.630366170911126</v>
      </c>
      <c r="DH108" s="21">
        <f>EXP(-LN(2)/2)*DH107+(1-EXP(-LN(2)/2))/(LN(2)/2)*DB108*DE108*VLOOKUP('Données projet'!$B$13,Paramètres!$A$1:$I$89,3,0)*0.475*44/12</f>
        <v>5.7777510229343709E-6</v>
      </c>
      <c r="DI108" s="22">
        <f t="shared" si="69"/>
        <v>87.851575960066086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>
        <f>DO108*VLOOKUP('Données projet'!$B$14,Paramètres!$A$1:$I$89,3,0)*VLOOKUP('Données projet'!$B$14,Paramètres!$A$1:$I$89,5,0)</f>
        <v>0</v>
      </c>
      <c r="DQ108" s="13" t="e">
        <f t="shared" si="97"/>
        <v>#NUM!</v>
      </c>
      <c r="DR108" s="20" t="e">
        <f t="shared" si="70"/>
        <v>#NUM!</v>
      </c>
      <c r="DS108" s="59" t="e">
        <f t="shared" si="71"/>
        <v>#NUM!</v>
      </c>
      <c r="DT108" s="59">
        <f ca="1">AVERAGE(OFFSET($DS$3,0,0,'Données projet'!$E$14+1,1))-AVERAGE(OFFSET($H$3,0,0,'Données projet'!$E$14+1,1))</f>
        <v>246.11623544660486</v>
      </c>
      <c r="DU108" s="59">
        <f t="shared" si="98"/>
        <v>273.18950868898253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51.608529673167986</v>
      </c>
      <c r="EB108" s="21">
        <f>EXP(-LN(2)/25)*EB107+(1-EXP(-LN(2)/25))/(LN(2)/25)*Calculateur!DW108*Calculateur!DY108*VLOOKUP('Données projet'!$B$14,Paramètres!$A$1:$I$89,3,0)*0.475*44/12</f>
        <v>11.472235317056526</v>
      </c>
      <c r="EC108" s="21">
        <f>EXP(-LN(2)/2)*EC107+(1-EXP(-LN(2)/2))/(LN(2)/2)*DW108*DZ108*VLOOKUP('Données projet'!$B$14,Paramètres!$A$1:$I$89,3,0)*0.475*44/12</f>
        <v>5.4900692076219415E-6</v>
      </c>
      <c r="ED108" s="22">
        <f t="shared" si="72"/>
        <v>63.080770480293715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5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67">
        <f t="shared" si="56"/>
        <v>183.33333333333334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5.2</v>
      </c>
      <c r="N109" s="13">
        <f>IF('Données projet'!$A$36&gt;35,N108+M109-V108,IF(A109&lt;'Données projet'!$A$36,$K$205^A109,IF(A109='Données projet'!$A$36,'Données projet'!$B$36,N108+M109-V108)))</f>
        <v>337.19999999999987</v>
      </c>
      <c r="O109" s="13">
        <f>N109*VLOOKUP('Données projet'!$B$9,Paramètres!$A$1:$I$89,3,0)*VLOOKUP('Données projet'!$B$9,Paramètres!$A$1:$I$89,5,0)</f>
        <v>341.92079999999987</v>
      </c>
      <c r="P109" s="13">
        <f t="shared" si="87"/>
        <v>79.896665654133599</v>
      </c>
      <c r="Q109" s="20">
        <f t="shared" si="107"/>
        <v>734.66541934761574</v>
      </c>
      <c r="R109" s="59">
        <f t="shared" si="55"/>
        <v>1013.6572329357448</v>
      </c>
      <c r="S109" s="59">
        <f ca="1">AVERAGE(OFFSET($R$3,0,0,'Données projet'!$E$9+1,1))-AVERAGE(OFFSET($H$3,0,0,'Données projet'!$E$9+1,1))</f>
        <v>538.10210778862256</v>
      </c>
      <c r="T109" s="59">
        <f t="shared" si="88"/>
        <v>399.53300632021399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49.780917798849032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49.780917798849032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5.2</v>
      </c>
      <c r="AI109" s="13">
        <f>IF('Données projet'!$A$62&gt;35,AI108+AH109-AQ108,IF(A109&lt;'Données projet'!$A$62,$AF$205^A109,IF(A109='Données projet'!$A$62,'Données projet'!$B$62,AI108+AH109-AQ108)))</f>
        <v>337.19999999999987</v>
      </c>
      <c r="AJ109" s="13">
        <f>AI109*VLOOKUP('Données projet'!$B$10,Paramètres!$A$1:$I$89,3,0)*VLOOKUP('Données projet'!$B$10,Paramètres!$A$1:$I$89,5,0)</f>
        <v>352.44143999999989</v>
      </c>
      <c r="AK109" s="13">
        <f t="shared" si="89"/>
        <v>82.065025525824097</v>
      </c>
      <c r="AL109" s="20">
        <f t="shared" si="58"/>
        <v>756.76542745747668</v>
      </c>
      <c r="AM109" s="59">
        <f t="shared" si="59"/>
        <v>1035.7572410456057</v>
      </c>
      <c r="AN109" s="59">
        <f ca="1">AVERAGE(OFFSET($AM$3,0,0,'Données projet'!$E$10+1,1))-AVERAGE(OFFSET($H$3,0,0,'Données projet'!$E$10+1,1))</f>
        <v>552.26894123675538</v>
      </c>
      <c r="AO109" s="59">
        <f t="shared" si="90"/>
        <v>409.85604950107006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51.312638346505913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51.312638346505913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3</v>
      </c>
      <c r="BD109" s="12">
        <f>IF('Données projet'!$A$88&gt;35,BD108+BC109-BL108,IF(A109&lt;'Données projet'!$A$88,$BA$205^A109,IF(A109='Données projet'!$A$88,'Données projet'!$B$88,BD108+BC109-BL108)))</f>
        <v>206.99999999999991</v>
      </c>
      <c r="BE109" s="13">
        <f>BD109*VLOOKUP('Données projet'!$B$11,Paramètres!$A$1:$I$89,3,0)*VLOOKUP('Données projet'!$B$11,Paramètres!$A$1:$I$89,5,0)</f>
        <v>222.81479999999991</v>
      </c>
      <c r="BF109" s="13">
        <f t="shared" si="91"/>
        <v>54.726215188137857</v>
      </c>
      <c r="BG109" s="20">
        <f t="shared" si="61"/>
        <v>483.38393478600648</v>
      </c>
      <c r="BH109" s="59">
        <f t="shared" si="62"/>
        <v>762.37574837413558</v>
      </c>
      <c r="BI109" s="59">
        <f ca="1">AVERAGE(OFFSET($BH$3,0,0,'Données projet'!$E$11+1,1))-AVERAGE(OFFSET($H$3,0,0,'Données projet'!$E$11+1,1))</f>
        <v>361.24725625563468</v>
      </c>
      <c r="BJ109" s="59">
        <f t="shared" si="92"/>
        <v>186.0840067781198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29.058511067241604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29.058511067241604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4.4000000000000004</v>
      </c>
      <c r="BY109" s="12">
        <f>IF('Données projet'!$A$114&gt;35,BY108+BX109-CG108,IF(A109&lt;'Données projet'!$A$114,$BV$205^A109,IF(A109='Données projet'!$A$114,'Données projet'!$B$114,BY108+BX109-CG108)))</f>
        <v>287.39999999999975</v>
      </c>
      <c r="BZ109" s="13">
        <f>BY109*VLOOKUP('Données projet'!$B$12,Paramètres!$A$1:$I$89,3,0)*VLOOKUP('Données projet'!$B$12,Paramètres!$A$1:$I$89,5,0)</f>
        <v>192.78791999999984</v>
      </c>
      <c r="CA109" s="13">
        <f t="shared" si="93"/>
        <v>48.155798862162001</v>
      </c>
      <c r="CB109" s="20">
        <f t="shared" si="64"/>
        <v>419.64364368493187</v>
      </c>
      <c r="CC109" s="59">
        <f t="shared" si="65"/>
        <v>698.63545727306098</v>
      </c>
      <c r="CD109" s="59">
        <f ca="1">AVERAGE(OFFSET($CC$3,0,0,'Données projet'!$E$12+1,1))-AVERAGE(OFFSET($H$3,0,0,'Données projet'!$E$12+1,1))</f>
        <v>323.91378047319455</v>
      </c>
      <c r="CE109" s="59">
        <f t="shared" si="94"/>
        <v>212.89889176380288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29.919463405102668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29.919463405102668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>
        <f>CT109*VLOOKUP('Données projet'!$B$13,Paramètres!$A$1:$I$89,3,0)*VLOOKUP('Données projet'!$B$13,Paramètres!$A$1:$I$89,5,0)</f>
        <v>0</v>
      </c>
      <c r="CV109" s="13" t="e">
        <f t="shared" si="95"/>
        <v>#NUM!</v>
      </c>
      <c r="CW109" s="20" t="e">
        <f t="shared" si="67"/>
        <v>#NUM!</v>
      </c>
      <c r="CX109" s="59" t="e">
        <f t="shared" si="68"/>
        <v>#NUM!</v>
      </c>
      <c r="CY109" s="59">
        <f ca="1">AVERAGE(OFFSET($CX$3,0,0,'Données projet'!$E$13+1,1))-AVERAGE(OFFSET($H$3,0,0,'Données projet'!$E$13+1,1))</f>
        <v>356.07880667298025</v>
      </c>
      <c r="CZ109" s="59">
        <f t="shared" si="96"/>
        <v>396.05161661639659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73.746162081144433</v>
      </c>
      <c r="DG109" s="21">
        <f>EXP(-LN(2)/25)*DG108+(1-EXP(-LN(2)/25))/(LN(2)/25)*Calculateur!DB109*Calculateur!DD109*VLOOKUP('Données projet'!$B$13,Paramètres!$A$1:$I$89,3,0)*0.475*44/12</f>
        <v>12.284988143765471</v>
      </c>
      <c r="DH109" s="21">
        <f>EXP(-LN(2)/2)*DH108+(1-EXP(-LN(2)/2))/(LN(2)/2)*DB109*DE109*VLOOKUP('Données projet'!$B$13,Paramètres!$A$1:$I$89,3,0)*0.475*44/12</f>
        <v>4.0854869283244053E-6</v>
      </c>
      <c r="DI109" s="22">
        <f t="shared" si="69"/>
        <v>86.031154310396843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>
        <f>DO109*VLOOKUP('Données projet'!$B$14,Paramètres!$A$1:$I$89,3,0)*VLOOKUP('Données projet'!$B$14,Paramètres!$A$1:$I$89,5,0)</f>
        <v>0</v>
      </c>
      <c r="DQ109" s="13" t="e">
        <f t="shared" si="97"/>
        <v>#NUM!</v>
      </c>
      <c r="DR109" s="20" t="e">
        <f t="shared" si="70"/>
        <v>#NUM!</v>
      </c>
      <c r="DS109" s="59" t="e">
        <f t="shared" si="71"/>
        <v>#NUM!</v>
      </c>
      <c r="DT109" s="59">
        <f ca="1">AVERAGE(OFFSET($DS$3,0,0,'Données projet'!$E$14+1,1))-AVERAGE(OFFSET($H$3,0,0,'Données projet'!$E$14+1,1))</f>
        <v>246.11623544660486</v>
      </c>
      <c r="DU109" s="59">
        <f t="shared" si="98"/>
        <v>273.18950868898253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50.596517884372062</v>
      </c>
      <c r="EB109" s="21">
        <f>EXP(-LN(2)/25)*EB108+(1-EXP(-LN(2)/25))/(LN(2)/25)*Calculateur!DW109*Calculateur!DY109*VLOOKUP('Données projet'!$B$14,Paramètres!$A$1:$I$89,3,0)*0.475*44/12</f>
        <v>11.158526439012981</v>
      </c>
      <c r="EC109" s="21">
        <f>EXP(-LN(2)/2)*EC108+(1-EXP(-LN(2)/2))/(LN(2)/2)*DW109*DZ109*VLOOKUP('Données projet'!$B$14,Paramètres!$A$1:$I$89,3,0)*0.475*44/12</f>
        <v>3.8820651658929305E-6</v>
      </c>
      <c r="ED109" s="22">
        <f t="shared" si="72"/>
        <v>61.755048205450208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5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67">
        <f t="shared" si="56"/>
        <v>183.33333333333334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5.2</v>
      </c>
      <c r="N110" s="13">
        <f>IF('Données projet'!$A$36&gt;35,N109+M110-V109,IF(A110&lt;'Données projet'!$A$36,$K$205^A110,IF(A110='Données projet'!$A$36,'Données projet'!$B$36,N109+M110-V109)))</f>
        <v>342.39999999999986</v>
      </c>
      <c r="O110" s="13">
        <f>N110*VLOOKUP('Données projet'!$B$9,Paramètres!$A$1:$I$89,3,0)*VLOOKUP('Données projet'!$B$9,Paramètres!$A$1:$I$89,5,0)</f>
        <v>347.19359999999989</v>
      </c>
      <c r="P110" s="13">
        <f t="shared" si="87"/>
        <v>80.984373854243287</v>
      </c>
      <c r="Q110" s="20">
        <f t="shared" si="107"/>
        <v>745.74330446280692</v>
      </c>
      <c r="R110" s="59">
        <f t="shared" si="55"/>
        <v>1024.9839113556804</v>
      </c>
      <c r="S110" s="59">
        <f ca="1">AVERAGE(OFFSET($R$3,0,0,'Données projet'!$E$9+1,1))-AVERAGE(OFFSET($H$3,0,0,'Données projet'!$E$9+1,1))</f>
        <v>538.10210778862256</v>
      </c>
      <c r="T110" s="59">
        <f t="shared" si="88"/>
        <v>399.53300632021399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48.804744364175328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48.804744364175328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5.2</v>
      </c>
      <c r="AI110" s="13">
        <f>IF('Données projet'!$A$62&gt;35,AI109+AH110-AQ109,IF(A110&lt;'Données projet'!$A$62,$AF$205^A110,IF(A110='Données projet'!$A$62,'Données projet'!$B$62,AI109+AH110-AQ109)))</f>
        <v>342.39999999999986</v>
      </c>
      <c r="AJ110" s="13">
        <f>AI110*VLOOKUP('Données projet'!$B$10,Paramètres!$A$1:$I$89,3,0)*VLOOKUP('Données projet'!$B$10,Paramètres!$A$1:$I$89,5,0)</f>
        <v>357.8764799999999</v>
      </c>
      <c r="AK110" s="13">
        <f t="shared" si="89"/>
        <v>83.182253641363516</v>
      </c>
      <c r="AL110" s="20">
        <f t="shared" si="58"/>
        <v>768.1772944253745</v>
      </c>
      <c r="AM110" s="59">
        <f t="shared" si="59"/>
        <v>1047.4179013182481</v>
      </c>
      <c r="AN110" s="59">
        <f ca="1">AVERAGE(OFFSET($AM$3,0,0,'Données projet'!$E$10+1,1))-AVERAGE(OFFSET($H$3,0,0,'Données projet'!$E$10+1,1))</f>
        <v>552.26894123675538</v>
      </c>
      <c r="AO110" s="59">
        <f t="shared" si="90"/>
        <v>409.85604950107006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50.306428806149938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50.306428806149938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3</v>
      </c>
      <c r="BD110" s="12">
        <f>IF('Données projet'!$A$88&gt;35,BD109+BC110-BL109,IF(A110&lt;'Données projet'!$A$88,$BA$205^A110,IF(A110='Données projet'!$A$88,'Données projet'!$B$88,BD109+BC110-BL109)))</f>
        <v>209.99999999999991</v>
      </c>
      <c r="BE110" s="13">
        <f>BD110*VLOOKUP('Données projet'!$B$11,Paramètres!$A$1:$I$89,3,0)*VLOOKUP('Données projet'!$B$11,Paramètres!$A$1:$I$89,5,0)</f>
        <v>226.0439999999999</v>
      </c>
      <c r="BF110" s="13">
        <f t="shared" si="91"/>
        <v>55.426440039423454</v>
      </c>
      <c r="BG110" s="20">
        <f t="shared" si="61"/>
        <v>490.22768306866232</v>
      </c>
      <c r="BH110" s="59">
        <f t="shared" si="62"/>
        <v>769.4682899615359</v>
      </c>
      <c r="BI110" s="59">
        <f ca="1">AVERAGE(OFFSET($BH$3,0,0,'Données projet'!$E$11+1,1))-AVERAGE(OFFSET($H$3,0,0,'Données projet'!$E$11+1,1))</f>
        <v>361.24725625563468</v>
      </c>
      <c r="BJ110" s="59">
        <f t="shared" si="92"/>
        <v>186.0840067781198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28.488691389154653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28.488691389154653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4.4000000000000004</v>
      </c>
      <c r="BY110" s="12">
        <f>IF('Données projet'!$A$114&gt;35,BY109+BX110-CG109,IF(A110&lt;'Données projet'!$A$114,$BV$205^A110,IF(A110='Données projet'!$A$114,'Données projet'!$B$114,BY109+BX110-CG109)))</f>
        <v>291.79999999999973</v>
      </c>
      <c r="BZ110" s="13">
        <f>BY110*VLOOKUP('Données projet'!$B$12,Paramètres!$A$1:$I$89,3,0)*VLOOKUP('Données projet'!$B$12,Paramètres!$A$1:$I$89,5,0)</f>
        <v>195.7394399999998</v>
      </c>
      <c r="CA110" s="13">
        <f t="shared" si="93"/>
        <v>48.80665538510177</v>
      </c>
      <c r="CB110" s="20">
        <f t="shared" si="64"/>
        <v>425.91778279571855</v>
      </c>
      <c r="CC110" s="59">
        <f t="shared" si="65"/>
        <v>705.15838968859225</v>
      </c>
      <c r="CD110" s="59">
        <f ca="1">AVERAGE(OFFSET($CC$3,0,0,'Données projet'!$E$12+1,1))-AVERAGE(OFFSET($H$3,0,0,'Données projet'!$E$12+1,1))</f>
        <v>323.91378047319455</v>
      </c>
      <c r="CE110" s="59">
        <f t="shared" si="94"/>
        <v>212.89889176380288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29.332760976799335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29.332760976799335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>
        <f>CT110*VLOOKUP('Données projet'!$B$13,Paramètres!$A$1:$I$89,3,0)*VLOOKUP('Données projet'!$B$13,Paramètres!$A$1:$I$89,5,0)</f>
        <v>0</v>
      </c>
      <c r="CV110" s="13" t="e">
        <f t="shared" si="95"/>
        <v>#NUM!</v>
      </c>
      <c r="CW110" s="20" t="e">
        <f t="shared" si="67"/>
        <v>#NUM!</v>
      </c>
      <c r="CX110" s="59" t="e">
        <f t="shared" si="68"/>
        <v>#NUM!</v>
      </c>
      <c r="CY110" s="59">
        <f ca="1">AVERAGE(OFFSET($CX$3,0,0,'Données projet'!$E$13+1,1))-AVERAGE(OFFSET($H$3,0,0,'Données projet'!$E$13+1,1))</f>
        <v>356.07880667298025</v>
      </c>
      <c r="CZ110" s="59">
        <f t="shared" si="96"/>
        <v>396.05161661639659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72.300044823450577</v>
      </c>
      <c r="DG110" s="21">
        <f>EXP(-LN(2)/25)*DG109+(1-EXP(-LN(2)/25))/(LN(2)/25)*Calculateur!DB110*Calculateur!DD110*VLOOKUP('Données projet'!$B$13,Paramètres!$A$1:$I$89,3,0)*0.475*44/12</f>
        <v>11.949054496934755</v>
      </c>
      <c r="DH110" s="21">
        <f>EXP(-LN(2)/2)*DH109+(1-EXP(-LN(2)/2))/(LN(2)/2)*DB110*DE110*VLOOKUP('Données projet'!$B$13,Paramètres!$A$1:$I$89,3,0)*0.475*44/12</f>
        <v>2.8888755114671855E-6</v>
      </c>
      <c r="DI110" s="22">
        <f t="shared" si="69"/>
        <v>84.24910220926084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>
        <f>DO110*VLOOKUP('Données projet'!$B$14,Paramètres!$A$1:$I$89,3,0)*VLOOKUP('Données projet'!$B$14,Paramètres!$A$1:$I$89,5,0)</f>
        <v>0</v>
      </c>
      <c r="DQ110" s="13" t="e">
        <f t="shared" si="97"/>
        <v>#NUM!</v>
      </c>
      <c r="DR110" s="20" t="e">
        <f t="shared" si="70"/>
        <v>#NUM!</v>
      </c>
      <c r="DS110" s="59" t="e">
        <f t="shared" si="71"/>
        <v>#NUM!</v>
      </c>
      <c r="DT110" s="59">
        <f ca="1">AVERAGE(OFFSET($DS$3,0,0,'Données projet'!$E$14+1,1))-AVERAGE(OFFSET($H$3,0,0,'Données projet'!$E$14+1,1))</f>
        <v>246.11623544660486</v>
      </c>
      <c r="DU110" s="59">
        <f t="shared" si="98"/>
        <v>273.18950868898253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49.604351029488178</v>
      </c>
      <c r="EB110" s="21">
        <f>EXP(-LN(2)/25)*EB109+(1-EXP(-LN(2)/25))/(LN(2)/25)*Calculateur!DW110*Calculateur!DY110*VLOOKUP('Données projet'!$B$14,Paramètres!$A$1:$I$89,3,0)*0.475*44/12</f>
        <v>10.853395946736768</v>
      </c>
      <c r="EC110" s="21">
        <f>EXP(-LN(2)/2)*EC109+(1-EXP(-LN(2)/2))/(LN(2)/2)*DW110*DZ110*VLOOKUP('Données projet'!$B$14,Paramètres!$A$1:$I$89,3,0)*0.475*44/12</f>
        <v>2.7450346038109708E-6</v>
      </c>
      <c r="ED110" s="22">
        <f t="shared" si="72"/>
        <v>60.457749721259553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5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67">
        <f t="shared" si="56"/>
        <v>183.33333333333334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5.2</v>
      </c>
      <c r="N111" s="13">
        <f>IF('Données projet'!$A$36&gt;35,N110+M111-V110,IF(A111&lt;'Données projet'!$A$36,$K$205^A111,IF(A111='Données projet'!$A$36,'Données projet'!$B$36,N110+M111-V110)))</f>
        <v>347.59999999999985</v>
      </c>
      <c r="O111" s="13">
        <f>N111*VLOOKUP('Données projet'!$B$9,Paramètres!$A$1:$I$89,3,0)*VLOOKUP('Données projet'!$B$9,Paramètres!$A$1:$I$89,5,0)</f>
        <v>352.46639999999985</v>
      </c>
      <c r="P111" s="13">
        <f t="shared" si="87"/>
        <v>82.070160870997498</v>
      </c>
      <c r="Q111" s="20">
        <f t="shared" si="107"/>
        <v>756.81784351698707</v>
      </c>
      <c r="R111" s="59">
        <f t="shared" si="55"/>
        <v>1036.3029277069863</v>
      </c>
      <c r="S111" s="59">
        <f ca="1">AVERAGE(OFFSET($R$3,0,0,'Données projet'!$E$9+1,1))-AVERAGE(OFFSET($H$3,0,0,'Données projet'!$E$9+1,1))</f>
        <v>538.10210778862256</v>
      </c>
      <c r="T111" s="59">
        <f t="shared" si="88"/>
        <v>399.53300632021399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47.847713095148571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47.847713095148571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5.2</v>
      </c>
      <c r="AI111" s="13">
        <f>IF('Données projet'!$A$62&gt;35,AI110+AH111-AQ110,IF(A111&lt;'Données projet'!$A$62,$AF$205^A111,IF(A111='Données projet'!$A$62,'Données projet'!$B$62,AI110+AH111-AQ110)))</f>
        <v>347.59999999999985</v>
      </c>
      <c r="AJ111" s="13">
        <f>AI111*VLOOKUP('Données projet'!$B$10,Paramètres!$A$1:$I$89,3,0)*VLOOKUP('Données projet'!$B$10,Paramètres!$A$1:$I$89,5,0)</f>
        <v>363.31151999999986</v>
      </c>
      <c r="AK111" s="13">
        <f t="shared" si="89"/>
        <v>84.297508433488019</v>
      </c>
      <c r="AL111" s="20">
        <f t="shared" si="58"/>
        <v>779.58572452165799</v>
      </c>
      <c r="AM111" s="59">
        <f t="shared" si="59"/>
        <v>1059.0708087116573</v>
      </c>
      <c r="AN111" s="59">
        <f ca="1">AVERAGE(OFFSET($AM$3,0,0,'Données projet'!$E$10+1,1))-AVERAGE(OFFSET($H$3,0,0,'Données projet'!$E$10+1,1))</f>
        <v>552.26894123675538</v>
      </c>
      <c r="AO111" s="59">
        <f t="shared" si="90"/>
        <v>409.85604950107006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49.319950421153131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49.319950421153131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3</v>
      </c>
      <c r="BD111" s="12">
        <f>IF('Données projet'!$A$88&gt;35,BD110+BC111-BL110,IF(A111&lt;'Données projet'!$A$88,$BA$205^A111,IF(A111='Données projet'!$A$88,'Données projet'!$B$88,BD110+BC111-BL110)))</f>
        <v>212.99999999999991</v>
      </c>
      <c r="BE111" s="13">
        <f>BD111*VLOOKUP('Données projet'!$B$11,Paramètres!$A$1:$I$89,3,0)*VLOOKUP('Données projet'!$B$11,Paramètres!$A$1:$I$89,5,0)</f>
        <v>229.27319999999992</v>
      </c>
      <c r="BF111" s="13">
        <f t="shared" si="91"/>
        <v>56.125501442527366</v>
      </c>
      <c r="BG111" s="20">
        <f t="shared" si="61"/>
        <v>497.06940501240166</v>
      </c>
      <c r="BH111" s="59">
        <f t="shared" si="62"/>
        <v>776.55448920240099</v>
      </c>
      <c r="BI111" s="59">
        <f ca="1">AVERAGE(OFFSET($BH$3,0,0,'Données projet'!$E$11+1,1))-AVERAGE(OFFSET($H$3,0,0,'Données projet'!$E$11+1,1))</f>
        <v>361.24725625563468</v>
      </c>
      <c r="BJ111" s="59">
        <f t="shared" si="92"/>
        <v>186.0840067781198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27.930045527399301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27.930045527399301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4.4000000000000004</v>
      </c>
      <c r="BY111" s="12">
        <f>IF('Données projet'!$A$114&gt;35,BY110+BX111-CG110,IF(A111&lt;'Données projet'!$A$114,$BV$205^A111,IF(A111='Données projet'!$A$114,'Données projet'!$B$114,BY110+BX111-CG110)))</f>
        <v>296.1999999999997</v>
      </c>
      <c r="BZ111" s="13">
        <f>BY111*VLOOKUP('Données projet'!$B$12,Paramètres!$A$1:$I$89,3,0)*VLOOKUP('Données projet'!$B$12,Paramètres!$A$1:$I$89,5,0)</f>
        <v>198.69095999999982</v>
      </c>
      <c r="CA111" s="13">
        <f t="shared" si="93"/>
        <v>49.456370497295758</v>
      </c>
      <c r="CB111" s="20">
        <f t="shared" si="64"/>
        <v>432.18993394945642</v>
      </c>
      <c r="CC111" s="59">
        <f t="shared" si="65"/>
        <v>711.67501813945569</v>
      </c>
      <c r="CD111" s="59">
        <f ca="1">AVERAGE(OFFSET($CC$3,0,0,'Données projet'!$E$12+1,1))-AVERAGE(OFFSET($H$3,0,0,'Données projet'!$E$12+1,1))</f>
        <v>323.91378047319455</v>
      </c>
      <c r="CE111" s="59">
        <f t="shared" si="94"/>
        <v>212.89889176380288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28.757563425261885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28.757563425261885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>
        <f>CT111*VLOOKUP('Données projet'!$B$13,Paramètres!$A$1:$I$89,3,0)*VLOOKUP('Données projet'!$B$13,Paramètres!$A$1:$I$89,5,0)</f>
        <v>0</v>
      </c>
      <c r="CV111" s="13" t="e">
        <f t="shared" si="95"/>
        <v>#NUM!</v>
      </c>
      <c r="CW111" s="20" t="e">
        <f t="shared" si="67"/>
        <v>#NUM!</v>
      </c>
      <c r="CX111" s="59" t="e">
        <f t="shared" si="68"/>
        <v>#NUM!</v>
      </c>
      <c r="CY111" s="59">
        <f ca="1">AVERAGE(OFFSET($CX$3,0,0,'Données projet'!$E$13+1,1))-AVERAGE(OFFSET($H$3,0,0,'Données projet'!$E$13+1,1))</f>
        <v>356.07880667298025</v>
      </c>
      <c r="CZ111" s="59">
        <f t="shared" si="96"/>
        <v>396.05161661639659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70.882285043135667</v>
      </c>
      <c r="DG111" s="21">
        <f>EXP(-LN(2)/25)*DG110+(1-EXP(-LN(2)/25))/(LN(2)/25)*Calculateur!DB111*Calculateur!DD111*VLOOKUP('Données projet'!$B$13,Paramètres!$A$1:$I$89,3,0)*0.475*44/12</f>
        <v>11.622306973342608</v>
      </c>
      <c r="DH111" s="21">
        <f>EXP(-LN(2)/2)*DH110+(1-EXP(-LN(2)/2))/(LN(2)/2)*DB111*DE111*VLOOKUP('Données projet'!$B$13,Paramètres!$A$1:$I$89,3,0)*0.475*44/12</f>
        <v>2.0427434641622026E-6</v>
      </c>
      <c r="DI111" s="22">
        <f t="shared" si="69"/>
        <v>82.504594059221731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>
        <f>DO111*VLOOKUP('Données projet'!$B$14,Paramètres!$A$1:$I$89,3,0)*VLOOKUP('Données projet'!$B$14,Paramètres!$A$1:$I$89,5,0)</f>
        <v>0</v>
      </c>
      <c r="DQ111" s="13" t="e">
        <f t="shared" si="97"/>
        <v>#NUM!</v>
      </c>
      <c r="DR111" s="20" t="e">
        <f t="shared" si="70"/>
        <v>#NUM!</v>
      </c>
      <c r="DS111" s="59" t="e">
        <f t="shared" si="71"/>
        <v>#NUM!</v>
      </c>
      <c r="DT111" s="59">
        <f ca="1">AVERAGE(OFFSET($DS$3,0,0,'Données projet'!$E$14+1,1))-AVERAGE(OFFSET($H$3,0,0,'Données projet'!$E$14+1,1))</f>
        <v>246.11623544660486</v>
      </c>
      <c r="DU111" s="59">
        <f t="shared" si="98"/>
        <v>273.18950868898253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48.631639961466547</v>
      </c>
      <c r="EB111" s="21">
        <f>EXP(-LN(2)/25)*EB110+(1-EXP(-LN(2)/25))/(LN(2)/25)*Calculateur!DW111*Calculateur!DY111*VLOOKUP('Données projet'!$B$14,Paramètres!$A$1:$I$89,3,0)*0.475*44/12</f>
        <v>10.556609263817965</v>
      </c>
      <c r="EC111" s="21">
        <f>EXP(-LN(2)/2)*EC110+(1-EXP(-LN(2)/2))/(LN(2)/2)*DW111*DZ111*VLOOKUP('Données projet'!$B$14,Paramètres!$A$1:$I$89,3,0)*0.475*44/12</f>
        <v>1.9410325829464653E-6</v>
      </c>
      <c r="ED111" s="22">
        <f t="shared" si="72"/>
        <v>59.188251166317094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5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67">
        <f t="shared" si="56"/>
        <v>183.33333333333334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5.2</v>
      </c>
      <c r="N112" s="13">
        <f>IF('Données projet'!$A$36&gt;35,N111+M112-V111,IF(A112&lt;'Données projet'!$A$36,$K$205^A112,IF(A112='Données projet'!$A$36,'Données projet'!$B$36,N111+M112-V111)))</f>
        <v>352.79999999999984</v>
      </c>
      <c r="O112" s="13">
        <f>N112*VLOOKUP('Données projet'!$B$9,Paramètres!$A$1:$I$89,3,0)*VLOOKUP('Données projet'!$B$9,Paramètres!$A$1:$I$89,5,0)</f>
        <v>357.73919999999987</v>
      </c>
      <c r="P112" s="13">
        <f t="shared" si="87"/>
        <v>83.154058764636403</v>
      </c>
      <c r="Q112" s="20">
        <f t="shared" si="107"/>
        <v>767.8890923484081</v>
      </c>
      <c r="R112" s="59">
        <f t="shared" si="55"/>
        <v>1047.6144127009975</v>
      </c>
      <c r="S112" s="59">
        <f ca="1">AVERAGE(OFFSET($R$3,0,0,'Données projet'!$E$9+1,1))-AVERAGE(OFFSET($H$3,0,0,'Données projet'!$E$9+1,1))</f>
        <v>538.10210778862256</v>
      </c>
      <c r="T112" s="59">
        <f t="shared" si="88"/>
        <v>399.53300632021399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46.90944862557599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46.90944862557599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5.2</v>
      </c>
      <c r="AI112" s="13">
        <f>IF('Données projet'!$A$62&gt;35,AI111+AH112-AQ111,IF(A112&lt;'Données projet'!$A$62,$AF$205^A112,IF(A112='Données projet'!$A$62,'Données projet'!$B$62,AI111+AH112-AQ111)))</f>
        <v>352.79999999999984</v>
      </c>
      <c r="AJ112" s="13">
        <f>AI112*VLOOKUP('Données projet'!$B$10,Paramètres!$A$1:$I$89,3,0)*VLOOKUP('Données projet'!$B$10,Paramètres!$A$1:$I$89,5,0)</f>
        <v>368.74655999999987</v>
      </c>
      <c r="AK112" s="13">
        <f t="shared" si="89"/>
        <v>85.410822832538429</v>
      </c>
      <c r="AL112" s="20">
        <f t="shared" si="58"/>
        <v>790.99077510000416</v>
      </c>
      <c r="AM112" s="59">
        <f t="shared" si="59"/>
        <v>1070.7160954525934</v>
      </c>
      <c r="AN112" s="59">
        <f ca="1">AVERAGE(OFFSET($AM$3,0,0,'Données projet'!$E$10+1,1))-AVERAGE(OFFSET($H$3,0,0,'Données projet'!$E$10+1,1))</f>
        <v>552.26894123675538</v>
      </c>
      <c r="AO112" s="59">
        <f t="shared" si="90"/>
        <v>409.85604950107006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48.352816275593703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48.352816275593703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3</v>
      </c>
      <c r="BD112" s="12">
        <f>IF('Données projet'!$A$88&gt;35,BD111+BC112-BL111,IF(A112&lt;'Données projet'!$A$88,$BA$205^A112,IF(A112='Données projet'!$A$88,'Données projet'!$B$88,BD111+BC112-BL111)))</f>
        <v>215.99999999999991</v>
      </c>
      <c r="BE112" s="13">
        <f>BD112*VLOOKUP('Données projet'!$B$11,Paramètres!$A$1:$I$89,3,0)*VLOOKUP('Données projet'!$B$11,Paramètres!$A$1:$I$89,5,0)</f>
        <v>232.50239999999991</v>
      </c>
      <c r="BF112" s="13">
        <f t="shared" si="91"/>
        <v>56.823417677671891</v>
      </c>
      <c r="BG112" s="20">
        <f t="shared" si="61"/>
        <v>503.90913245527832</v>
      </c>
      <c r="BH112" s="59">
        <f t="shared" si="62"/>
        <v>783.63445280786755</v>
      </c>
      <c r="BI112" s="59">
        <f ca="1">AVERAGE(OFFSET($BH$3,0,0,'Données projet'!$E$11+1,1))-AVERAGE(OFFSET($H$3,0,0,'Données projet'!$E$11+1,1))</f>
        <v>361.24725625563468</v>
      </c>
      <c r="BJ112" s="59">
        <f t="shared" si="92"/>
        <v>186.0840067781198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27.382354370252642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27.382354370252642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4.4000000000000004</v>
      </c>
      <c r="BY112" s="12">
        <f>IF('Données projet'!$A$114&gt;35,BY111+BX112-CG111,IF(A112&lt;'Données projet'!$A$114,$BV$205^A112,IF(A112='Données projet'!$A$114,'Données projet'!$B$114,BY111+BX112-CG111)))</f>
        <v>300.59999999999968</v>
      </c>
      <c r="BZ112" s="13">
        <f>BY112*VLOOKUP('Données projet'!$B$12,Paramètres!$A$1:$I$89,3,0)*VLOOKUP('Données projet'!$B$12,Paramètres!$A$1:$I$89,5,0)</f>
        <v>201.64247999999981</v>
      </c>
      <c r="CA112" s="13">
        <f t="shared" si="93"/>
        <v>50.104963112864461</v>
      </c>
      <c r="CB112" s="20">
        <f t="shared" si="64"/>
        <v>438.46013008823849</v>
      </c>
      <c r="CC112" s="59">
        <f t="shared" si="65"/>
        <v>718.18545044082771</v>
      </c>
      <c r="CD112" s="59">
        <f ca="1">AVERAGE(OFFSET($CC$3,0,0,'Données projet'!$E$12+1,1))-AVERAGE(OFFSET($H$3,0,0,'Données projet'!$E$12+1,1))</f>
        <v>323.91378047319455</v>
      </c>
      <c r="CE112" s="59">
        <f t="shared" si="94"/>
        <v>212.89889176380288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28.193645146874221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28.193645146874221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>
        <f>CT112*VLOOKUP('Données projet'!$B$13,Paramètres!$A$1:$I$89,3,0)*VLOOKUP('Données projet'!$B$13,Paramètres!$A$1:$I$89,5,0)</f>
        <v>0</v>
      </c>
      <c r="CV112" s="13" t="e">
        <f t="shared" si="95"/>
        <v>#NUM!</v>
      </c>
      <c r="CW112" s="20" t="e">
        <f t="shared" si="67"/>
        <v>#NUM!</v>
      </c>
      <c r="CX112" s="59" t="e">
        <f t="shared" si="68"/>
        <v>#NUM!</v>
      </c>
      <c r="CY112" s="59">
        <f ca="1">AVERAGE(OFFSET($CX$3,0,0,'Données projet'!$E$13+1,1))-AVERAGE(OFFSET($H$3,0,0,'Données projet'!$E$13+1,1))</f>
        <v>356.07880667298025</v>
      </c>
      <c r="CZ112" s="59">
        <f t="shared" si="96"/>
        <v>396.05161661639659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69.492326667364651</v>
      </c>
      <c r="DG112" s="21">
        <f>EXP(-LN(2)/25)*DG111+(1-EXP(-LN(2)/25))/(LN(2)/25)*Calculateur!DB112*Calculateur!DD112*VLOOKUP('Données projet'!$B$13,Paramètres!$A$1:$I$89,3,0)*0.475*44/12</f>
        <v>11.304494377965995</v>
      </c>
      <c r="DH112" s="21">
        <f>EXP(-LN(2)/2)*DH111+(1-EXP(-LN(2)/2))/(LN(2)/2)*DB112*DE112*VLOOKUP('Données projet'!$B$13,Paramètres!$A$1:$I$89,3,0)*0.475*44/12</f>
        <v>1.4444377557335927E-6</v>
      </c>
      <c r="DI112" s="22">
        <f t="shared" si="69"/>
        <v>80.796822489768402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>
        <f>DO112*VLOOKUP('Données projet'!$B$14,Paramètres!$A$1:$I$89,3,0)*VLOOKUP('Données projet'!$B$14,Paramètres!$A$1:$I$89,5,0)</f>
        <v>0</v>
      </c>
      <c r="DQ112" s="13" t="e">
        <f t="shared" si="97"/>
        <v>#NUM!</v>
      </c>
      <c r="DR112" s="20" t="e">
        <f t="shared" si="70"/>
        <v>#NUM!</v>
      </c>
      <c r="DS112" s="59" t="e">
        <f t="shared" si="71"/>
        <v>#NUM!</v>
      </c>
      <c r="DT112" s="59">
        <f ca="1">AVERAGE(OFFSET($DS$3,0,0,'Données projet'!$E$14+1,1))-AVERAGE(OFFSET($H$3,0,0,'Données projet'!$E$14+1,1))</f>
        <v>246.11623544660486</v>
      </c>
      <c r="DU112" s="59">
        <f t="shared" si="98"/>
        <v>273.18950868898253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47.678003164193647</v>
      </c>
      <c r="EB112" s="21">
        <f>EXP(-LN(2)/25)*EB111+(1-EXP(-LN(2)/25))/(LN(2)/25)*Calculateur!DW112*Calculateur!DY112*VLOOKUP('Données projet'!$B$14,Paramètres!$A$1:$I$89,3,0)*0.475*44/12</f>
        <v>10.267938228350909</v>
      </c>
      <c r="EC112" s="21">
        <f>EXP(-LN(2)/2)*EC111+(1-EXP(-LN(2)/2))/(LN(2)/2)*DW112*DZ112*VLOOKUP('Données projet'!$B$14,Paramètres!$A$1:$I$89,3,0)*0.475*44/12</f>
        <v>1.3725173019054854E-6</v>
      </c>
      <c r="ED112" s="22">
        <f t="shared" si="72"/>
        <v>57.945942765061858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5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67">
        <f t="shared" si="56"/>
        <v>183.33333333333334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>
        <f>VLOOKUP(A113,'Données projet'!$A$35:$I$55,2,0)</f>
        <v>358</v>
      </c>
      <c r="L113" s="12">
        <f>VLOOKUP(A113,'Données projet'!$A$35:$I$55,9,0)</f>
        <v>5.2</v>
      </c>
      <c r="M113" s="12">
        <f t="array" ref="M113">INDEX(L:L,MIN(IF(ISNUMBER(L113:L309),ROW(L113:L309),"")))</f>
        <v>5.2</v>
      </c>
      <c r="N113" s="13">
        <f>IF('Données projet'!$A$36&gt;35,N112+M113-V112,IF(A113&lt;'Données projet'!$A$36,$K$205^A113,IF(A113='Données projet'!$A$36,'Données projet'!$B$36,N112+M113-V112)))</f>
        <v>357.99999999999983</v>
      </c>
      <c r="O113" s="13">
        <f>N113*VLOOKUP('Données projet'!$B$9,Paramètres!$A$1:$I$89,3,0)*VLOOKUP('Données projet'!$B$9,Paramètres!$A$1:$I$89,5,0)</f>
        <v>363.01199999999989</v>
      </c>
      <c r="P113" s="13">
        <f t="shared" si="87"/>
        <v>84.236098596059009</v>
      </c>
      <c r="Q113" s="20">
        <f t="shared" si="107"/>
        <v>778.95710505480247</v>
      </c>
      <c r="R113" s="59">
        <f t="shared" si="55"/>
        <v>1058.9184940096484</v>
      </c>
      <c r="S113" s="59">
        <f ca="1">AVERAGE(OFFSET($R$3,0,0,'Données projet'!$E$9+1,1))-AVERAGE(OFFSET($H$3,0,0,'Données projet'!$E$9+1,1))</f>
        <v>538.10210778862256</v>
      </c>
      <c r="T113" s="59">
        <f t="shared" si="88"/>
        <v>399.53300632021399</v>
      </c>
      <c r="U113" s="15">
        <f>IF(ISNA(VLOOKUP(A113,'Données projet'!$A$35:$I$55,3,0)),0,VLOOKUP(A113,'Données projet'!$A$35:$I$55,3,0))</f>
        <v>19</v>
      </c>
      <c r="V113" s="15">
        <f>IF(ISNA(VLOOKUP(A113,'Données projet'!$A$35:$I$55,4,0)),0,VLOOKUP(A113,'Données projet'!$A$35:$I$55,4,0))</f>
        <v>51</v>
      </c>
      <c r="W113" s="16">
        <f>IF(ISNA(VLOOKUP(A113,'Données projet'!$A$35:$I$55,5,0)),0%,VLOOKUP(A113,'Données projet'!$A$35:$I$55,5,0)*VLOOKUP('Données projet'!$B$9,Paramètres!$A$1:$I$89,7,0))</f>
        <v>0.34400000000000003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65.655476501232357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65.655476501232357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>
        <f>VLOOKUP(A113,'Données projet'!$A$61:$I$81,2,0)</f>
        <v>358</v>
      </c>
      <c r="AG113" s="12">
        <f>VLOOKUP(A113,'Données projet'!$A$61:$I$81,9,0)</f>
        <v>5.2</v>
      </c>
      <c r="AH113" s="12">
        <f t="array" ref="AH113">INDEX(AG:AG,MIN(IF(ISNUMBER(AG113:AG309),ROW(AG113:AG309),"")))</f>
        <v>5.2</v>
      </c>
      <c r="AI113" s="13">
        <f>IF('Données projet'!$A$62&gt;35,AI112+AH113-AQ112,IF(A113&lt;'Données projet'!$A$62,$AF$205^A113,IF(A113='Données projet'!$A$62,'Données projet'!$B$62,AI112+AH113-AQ112)))</f>
        <v>357.99999999999983</v>
      </c>
      <c r="AJ113" s="13">
        <f>AI113*VLOOKUP('Données projet'!$B$10,Paramètres!$A$1:$I$89,3,0)*VLOOKUP('Données projet'!$B$10,Paramètres!$A$1:$I$89,5,0)</f>
        <v>374.18159999999983</v>
      </c>
      <c r="AK113" s="13">
        <f t="shared" si="89"/>
        <v>86.52222874239277</v>
      </c>
      <c r="AL113" s="20">
        <f t="shared" si="58"/>
        <v>802.39250172633376</v>
      </c>
      <c r="AM113" s="59">
        <f t="shared" si="59"/>
        <v>1082.3538906811796</v>
      </c>
      <c r="AN113" s="59">
        <f ca="1">AVERAGE(OFFSET($AM$3,0,0,'Données projet'!$E$10+1,1))-AVERAGE(OFFSET($H$3,0,0,'Données projet'!$E$10+1,1))</f>
        <v>552.26894123675538</v>
      </c>
      <c r="AO113" s="59">
        <f t="shared" si="90"/>
        <v>409.85604950107006</v>
      </c>
      <c r="AP113" s="15">
        <f>IF(ISNA(VLOOKUP(A113,'Données projet'!$A$61:$I$81,3,0)),0,VLOOKUP(A113,'Données projet'!$A$61:$I$81,3,0))</f>
        <v>19</v>
      </c>
      <c r="AQ113" s="15">
        <f>IF(ISNA(VLOOKUP(A113,'Données projet'!$A$61:$I$81,4,0)),0,VLOOKUP(A113,'Données projet'!$A$61:$I$81,4,0))</f>
        <v>51</v>
      </c>
      <c r="AR113" s="16">
        <f>IF(ISNA(VLOOKUP(A113,'Données projet'!$A$61:$I$81,5,0)),0%,VLOOKUP(A113,'Données projet'!$A$61:$I$81,5,0)*VLOOKUP('Données projet'!$B$10,Paramètres!$A$1:$I$89,7,0))</f>
        <v>0.34400000000000003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67.675645008962576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67.675645008962576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>
        <f>VLOOKUP(A113,'Données projet'!$A$87:$I$107,2,0)</f>
        <v>219</v>
      </c>
      <c r="BB113" s="12">
        <f>VLOOKUP(A113,'Données projet'!$A$87:$I$107,9,0)</f>
        <v>3</v>
      </c>
      <c r="BC113" s="12">
        <f t="array" ref="BC113">INDEX(BB:BB,MIN(IF(ISNUMBER(BB113:BB309),ROW(BB113:BB309),"")))</f>
        <v>3</v>
      </c>
      <c r="BD113" s="12">
        <f>IF('Données projet'!$A$88&gt;35,BD112+BC113-BL112,IF(A113&lt;'Données projet'!$A$88,$BA$205^A113,IF(A113='Données projet'!$A$88,'Données projet'!$B$88,BD112+BC113-BL112)))</f>
        <v>218.99999999999991</v>
      </c>
      <c r="BE113" s="13">
        <f>BD113*VLOOKUP('Données projet'!$B$11,Paramètres!$A$1:$I$89,3,0)*VLOOKUP('Données projet'!$B$11,Paramètres!$A$1:$I$89,5,0)</f>
        <v>235.7315999999999</v>
      </c>
      <c r="BF113" s="13">
        <f t="shared" si="91"/>
        <v>57.520206488125218</v>
      </c>
      <c r="BG113" s="20">
        <f t="shared" si="61"/>
        <v>510.74689630015126</v>
      </c>
      <c r="BH113" s="59">
        <f t="shared" si="62"/>
        <v>790.70828525499712</v>
      </c>
      <c r="BI113" s="59">
        <f ca="1">AVERAGE(OFFSET($BH$3,0,0,'Données projet'!$E$11+1,1))-AVERAGE(OFFSET($H$3,0,0,'Données projet'!$E$11+1,1))</f>
        <v>361.24725625563468</v>
      </c>
      <c r="BJ113" s="59">
        <f t="shared" si="92"/>
        <v>186.0840067781198</v>
      </c>
      <c r="BK113" s="15">
        <f>IF(ISNA(VLOOKUP(A113,'Données projet'!$A$87:$I$107,3,0)),0,VLOOKUP(A113,'Données projet'!$A$87:$I$107,3,0))</f>
        <v>18</v>
      </c>
      <c r="BL113" s="15">
        <f>IF(ISNA(VLOOKUP(A113,'Données projet'!$A$87:$I$107,4,0)),0,VLOOKUP(A113,'Données projet'!$A$87:$I$107,4,0))</f>
        <v>13</v>
      </c>
      <c r="BM113" s="16">
        <f>IF(ISNA(VLOOKUP(A113,'Données projet'!$A$87:$I$107,5,0)),0%,VLOOKUP(A113,'Données projet'!$A$87:$I$107,5,0)*VLOOKUP('Données projet'!$B$11,Paramètres!$A$1:$I$89,7,0))</f>
        <v>0.30099999999999999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31.501592605218033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31.501592605218033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>
        <f>VLOOKUP(A113,'Données projet'!$A$113:$I$133,2,0)</f>
        <v>305</v>
      </c>
      <c r="BW113" s="12">
        <f>VLOOKUP(A113,'Données projet'!$A$113:$I$133,9,0)</f>
        <v>4.4000000000000004</v>
      </c>
      <c r="BX113" s="12">
        <f t="array" ref="BX113">INDEX(BW:BW,MIN(IF(ISNUMBER(BW113:BW309),ROW(BW113:BW309),"")))</f>
        <v>4.4000000000000004</v>
      </c>
      <c r="BY113" s="12">
        <f>IF('Données projet'!$A$114&gt;35,BY112+BX113-CG112,IF(A113&lt;'Données projet'!$A$114,$BV$205^A113,IF(A113='Données projet'!$A$114,'Données projet'!$B$114,BY112+BX113-CG112)))</f>
        <v>304.99999999999966</v>
      </c>
      <c r="BZ113" s="13">
        <f>BY113*VLOOKUP('Données projet'!$B$12,Paramètres!$A$1:$I$89,3,0)*VLOOKUP('Données projet'!$B$12,Paramètres!$A$1:$I$89,5,0)</f>
        <v>204.5939999999998</v>
      </c>
      <c r="CA113" s="13">
        <f t="shared" si="93"/>
        <v>50.752451560432398</v>
      </c>
      <c r="CB113" s="20">
        <f t="shared" si="64"/>
        <v>444.72840313441935</v>
      </c>
      <c r="CC113" s="59">
        <f t="shared" si="65"/>
        <v>724.68979208926521</v>
      </c>
      <c r="CD113" s="59">
        <f ca="1">AVERAGE(OFFSET($CC$3,0,0,'Données projet'!$E$12+1,1))-AVERAGE(OFFSET($H$3,0,0,'Données projet'!$E$12+1,1))</f>
        <v>323.91378047319455</v>
      </c>
      <c r="CE113" s="59">
        <f t="shared" si="94"/>
        <v>212.89889176380288</v>
      </c>
      <c r="CF113" s="15">
        <f>IF(ISNA(VLOOKUP(A113,'Données projet'!$A$113:$I$133,3,0)),0,VLOOKUP(A113,'Données projet'!$A$113:$I$133,3,0))</f>
        <v>19</v>
      </c>
      <c r="CG113" s="15">
        <f>IF(ISNA(VLOOKUP(A113,'Données projet'!$A$113:$I$133,4,0)),0,VLOOKUP(A113,'Données projet'!$A$113:$I$133,4,0))</f>
        <v>39</v>
      </c>
      <c r="CH113" s="16">
        <f>IF(ISNA(VLOOKUP(A113,'Données projet'!$A$113:$I$133,5,0)),0%,VLOOKUP(A113,'Données projet'!$A$113:$I$133,5,0)*VLOOKUP('Données projet'!$B$12,Paramètres!$A$1:$I$89,7,0))</f>
        <v>0.42400000000000004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39.903047999817417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39.903047999817417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>
        <f>CT113*VLOOKUP('Données projet'!$B$13,Paramètres!$A$1:$I$89,3,0)*VLOOKUP('Données projet'!$B$13,Paramètres!$A$1:$I$89,5,0)</f>
        <v>0</v>
      </c>
      <c r="CV113" s="13" t="e">
        <f t="shared" si="95"/>
        <v>#NUM!</v>
      </c>
      <c r="CW113" s="20" t="e">
        <f t="shared" si="67"/>
        <v>#NUM!</v>
      </c>
      <c r="CX113" s="59" t="e">
        <f t="shared" si="68"/>
        <v>#NUM!</v>
      </c>
      <c r="CY113" s="59">
        <f ca="1">AVERAGE(OFFSET($CX$3,0,0,'Données projet'!$E$13+1,1))-AVERAGE(OFFSET($H$3,0,0,'Données projet'!$E$13+1,1))</f>
        <v>356.07880667298025</v>
      </c>
      <c r="CZ113" s="59">
        <f t="shared" si="96"/>
        <v>396.05161661639659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68.129624527551613</v>
      </c>
      <c r="DG113" s="21">
        <f>EXP(-LN(2)/25)*DG112+(1-EXP(-LN(2)/25))/(LN(2)/25)*Calculateur!DB113*Calculateur!DD113*VLOOKUP('Données projet'!$B$13,Paramètres!$A$1:$I$89,3,0)*0.475*44/12</f>
        <v>10.995372384722993</v>
      </c>
      <c r="DH113" s="21">
        <f>EXP(-LN(2)/2)*DH112+(1-EXP(-LN(2)/2))/(LN(2)/2)*DB113*DE113*VLOOKUP('Données projet'!$B$13,Paramètres!$A$1:$I$89,3,0)*0.475*44/12</f>
        <v>1.0213717320811013E-6</v>
      </c>
      <c r="DI113" s="22">
        <f t="shared" si="69"/>
        <v>79.124997933646341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>
        <f>DO113*VLOOKUP('Données projet'!$B$14,Paramètres!$A$1:$I$89,3,0)*VLOOKUP('Données projet'!$B$14,Paramètres!$A$1:$I$89,5,0)</f>
        <v>0</v>
      </c>
      <c r="DQ113" s="13" t="e">
        <f t="shared" si="97"/>
        <v>#NUM!</v>
      </c>
      <c r="DR113" s="20" t="e">
        <f t="shared" si="70"/>
        <v>#NUM!</v>
      </c>
      <c r="DS113" s="59" t="e">
        <f t="shared" si="71"/>
        <v>#NUM!</v>
      </c>
      <c r="DT113" s="59">
        <f ca="1">AVERAGE(OFFSET($DS$3,0,0,'Données projet'!$E$14+1,1))-AVERAGE(OFFSET($H$3,0,0,'Données projet'!$E$14+1,1))</f>
        <v>246.11623544660486</v>
      </c>
      <c r="DU113" s="59">
        <f t="shared" si="98"/>
        <v>273.18950868898253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46.743066602854256</v>
      </c>
      <c r="EB113" s="21">
        <f>EXP(-LN(2)/25)*EB112+(1-EXP(-LN(2)/25))/(LN(2)/25)*Calculateur!DW113*Calculateur!DY113*VLOOKUP('Données projet'!$B$14,Paramètres!$A$1:$I$89,3,0)*0.475*44/12</f>
        <v>9.9871609175292502</v>
      </c>
      <c r="EC113" s="21">
        <f>EXP(-LN(2)/2)*EC112+(1-EXP(-LN(2)/2))/(LN(2)/2)*DW113*DZ113*VLOOKUP('Données projet'!$B$14,Paramètres!$A$1:$I$89,3,0)*0.475*44/12</f>
        <v>9.7051629147323263E-7</v>
      </c>
      <c r="ED113" s="22">
        <f t="shared" si="72"/>
        <v>56.730228490899798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5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67">
        <f t="shared" si="56"/>
        <v>183.33333333333334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4.8</v>
      </c>
      <c r="N114" s="13">
        <f>IF('Données projet'!$A$36&gt;35,N113+M114-V113,IF(A114&lt;'Données projet'!$A$36,$K$205^A114,IF(A114='Données projet'!$A$36,'Données projet'!$B$36,N113+M114-V113)))</f>
        <v>311.79999999999984</v>
      </c>
      <c r="O114" s="13">
        <f>N114*VLOOKUP('Données projet'!$B$9,Paramètres!$A$1:$I$89,3,0)*VLOOKUP('Données projet'!$B$9,Paramètres!$A$1:$I$89,5,0)</f>
        <v>316.16519999999986</v>
      </c>
      <c r="P114" s="13">
        <f t="shared" si="87"/>
        <v>74.554889944758472</v>
      </c>
      <c r="Q114" s="20">
        <f t="shared" si="107"/>
        <v>680.50415665378739</v>
      </c>
      <c r="R114" s="59">
        <f t="shared" si="55"/>
        <v>960.69751894841102</v>
      </c>
      <c r="S114" s="59">
        <f ca="1">AVERAGE(OFFSET($R$3,0,0,'Données projet'!$E$9+1,1))-AVERAGE(OFFSET($H$3,0,0,'Données projet'!$E$9+1,1))</f>
        <v>538.10210778862256</v>
      </c>
      <c r="T114" s="59">
        <f t="shared" si="88"/>
        <v>399.53300632021399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64.36801265292965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64.36801265292965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4.8</v>
      </c>
      <c r="AI114" s="13">
        <f>IF('Données projet'!$A$62&gt;35,AI113+AH114-AQ113,IF(A114&lt;'Données projet'!$A$62,$AF$205^A114,IF(A114='Données projet'!$A$62,'Données projet'!$B$62,AI113+AH114-AQ113)))</f>
        <v>311.79999999999984</v>
      </c>
      <c r="AJ114" s="13">
        <f>AI114*VLOOKUP('Données projet'!$B$10,Paramètres!$A$1:$I$89,3,0)*VLOOKUP('Données projet'!$B$10,Paramètres!$A$1:$I$89,5,0)</f>
        <v>325.89335999999986</v>
      </c>
      <c r="AK114" s="13">
        <f t="shared" si="89"/>
        <v>76.578276406145193</v>
      </c>
      <c r="AL114" s="20">
        <f t="shared" si="58"/>
        <v>700.97143340736932</v>
      </c>
      <c r="AM114" s="59">
        <f t="shared" si="59"/>
        <v>981.16479570199294</v>
      </c>
      <c r="AN114" s="59">
        <f ca="1">AVERAGE(OFFSET($AM$3,0,0,'Données projet'!$E$10+1,1))-AVERAGE(OFFSET($H$3,0,0,'Données projet'!$E$10+1,1))</f>
        <v>552.26894123675538</v>
      </c>
      <c r="AO114" s="59">
        <f t="shared" si="90"/>
        <v>409.85604950107006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66.348566888404406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66.348566888404406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2.6</v>
      </c>
      <c r="BD114" s="12">
        <f>IF('Données projet'!$A$88&gt;35,BD113+BC114-BL113,IF(A114&lt;'Données projet'!$A$88,$BA$205^A114,IF(A114='Données projet'!$A$88,'Données projet'!$B$88,BD113+BC114-BL113)))</f>
        <v>208.59999999999991</v>
      </c>
      <c r="BE114" s="13">
        <f>BD114*VLOOKUP('Données projet'!$B$11,Paramètres!$A$1:$I$89,3,0)*VLOOKUP('Données projet'!$B$11,Paramètres!$A$1:$I$89,5,0)</f>
        <v>224.53703999999988</v>
      </c>
      <c r="BF114" s="13">
        <f t="shared" si="91"/>
        <v>55.099814359746397</v>
      </c>
      <c r="BG114" s="20">
        <f t="shared" si="61"/>
        <v>487.03418800989147</v>
      </c>
      <c r="BH114" s="59">
        <f t="shared" si="62"/>
        <v>767.22755030451503</v>
      </c>
      <c r="BI114" s="59">
        <f ca="1">AVERAGE(OFFSET($BH$3,0,0,'Données projet'!$E$11+1,1))-AVERAGE(OFFSET($H$3,0,0,'Données projet'!$E$11+1,1))</f>
        <v>361.24725625563468</v>
      </c>
      <c r="BJ114" s="59">
        <f t="shared" si="92"/>
        <v>186.0840067781198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30.883865588303966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30.883865588303966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3.8</v>
      </c>
      <c r="BY114" s="12">
        <f>IF('Données projet'!$A$114&gt;35,BY113+BX114-CG113,IF(A114&lt;'Données projet'!$A$114,$BV$205^A114,IF(A114='Données projet'!$A$114,'Données projet'!$B$114,BY113+BX114-CG113)))</f>
        <v>269.79999999999967</v>
      </c>
      <c r="BZ114" s="13">
        <f>BY114*VLOOKUP('Données projet'!$B$12,Paramètres!$A$1:$I$89,3,0)*VLOOKUP('Données projet'!$B$12,Paramètres!$A$1:$I$89,5,0)</f>
        <v>180.98183999999978</v>
      </c>
      <c r="CA114" s="13">
        <f t="shared" si="93"/>
        <v>45.540558270866825</v>
      </c>
      <c r="CB114" s="20">
        <f t="shared" si="64"/>
        <v>394.5265103217593</v>
      </c>
      <c r="CC114" s="59">
        <f t="shared" si="65"/>
        <v>674.71987261638287</v>
      </c>
      <c r="CD114" s="59">
        <f ca="1">AVERAGE(OFFSET($CC$3,0,0,'Données projet'!$E$12+1,1))-AVERAGE(OFFSET($H$3,0,0,'Données projet'!$E$12+1,1))</f>
        <v>323.91378047319455</v>
      </c>
      <c r="CE114" s="59">
        <f t="shared" si="94"/>
        <v>212.89889176380288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39.120573566997052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39.120573566997052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>
        <f>CT114*VLOOKUP('Données projet'!$B$13,Paramètres!$A$1:$I$89,3,0)*VLOOKUP('Données projet'!$B$13,Paramètres!$A$1:$I$89,5,0)</f>
        <v>0</v>
      </c>
      <c r="CV114" s="13" t="e">
        <f t="shared" si="95"/>
        <v>#NUM!</v>
      </c>
      <c r="CW114" s="20" t="e">
        <f t="shared" si="67"/>
        <v>#NUM!</v>
      </c>
      <c r="CX114" s="59" t="e">
        <f t="shared" si="68"/>
        <v>#NUM!</v>
      </c>
      <c r="CY114" s="59">
        <f ca="1">AVERAGE(OFFSET($CX$3,0,0,'Données projet'!$E$13+1,1))-AVERAGE(OFFSET($H$3,0,0,'Données projet'!$E$13+1,1))</f>
        <v>356.07880667298025</v>
      </c>
      <c r="CZ114" s="59">
        <f t="shared" si="96"/>
        <v>396.05161661639659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66.793644145534074</v>
      </c>
      <c r="DG114" s="21">
        <f>EXP(-LN(2)/25)*DG113+(1-EXP(-LN(2)/25))/(LN(2)/25)*Calculateur!DB114*Calculateur!DD114*VLOOKUP('Données projet'!$B$13,Paramètres!$A$1:$I$89,3,0)*0.475*44/12</f>
        <v>10.694703348641239</v>
      </c>
      <c r="DH114" s="21">
        <f>EXP(-LN(2)/2)*DH113+(1-EXP(-LN(2)/2))/(LN(2)/2)*DB114*DE114*VLOOKUP('Données projet'!$B$13,Paramètres!$A$1:$I$89,3,0)*0.475*44/12</f>
        <v>7.2221887786679636E-7</v>
      </c>
      <c r="DI114" s="22">
        <f t="shared" si="69"/>
        <v>77.488348216394186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>
        <f>DO114*VLOOKUP('Données projet'!$B$14,Paramètres!$A$1:$I$89,3,0)*VLOOKUP('Données projet'!$B$14,Paramètres!$A$1:$I$89,5,0)</f>
        <v>0</v>
      </c>
      <c r="DQ114" s="13" t="e">
        <f t="shared" si="97"/>
        <v>#NUM!</v>
      </c>
      <c r="DR114" s="20" t="e">
        <f t="shared" si="70"/>
        <v>#NUM!</v>
      </c>
      <c r="DS114" s="59" t="e">
        <f t="shared" si="71"/>
        <v>#NUM!</v>
      </c>
      <c r="DT114" s="59">
        <f ca="1">AVERAGE(OFFSET($DS$3,0,0,'Données projet'!$E$14+1,1))-AVERAGE(OFFSET($H$3,0,0,'Données projet'!$E$14+1,1))</f>
        <v>246.11623544660486</v>
      </c>
      <c r="DU114" s="59">
        <f t="shared" si="98"/>
        <v>273.18950868898253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45.826463577227742</v>
      </c>
      <c r="EB114" s="21">
        <f>EXP(-LN(2)/25)*EB113+(1-EXP(-LN(2)/25))/(LN(2)/25)*Calculateur!DW114*Calculateur!DY114*VLOOKUP('Données projet'!$B$14,Paramètres!$A$1:$I$89,3,0)*0.475*44/12</f>
        <v>9.7140614770374469</v>
      </c>
      <c r="EC114" s="21">
        <f>EXP(-LN(2)/2)*EC113+(1-EXP(-LN(2)/2))/(LN(2)/2)*DW114*DZ114*VLOOKUP('Données projet'!$B$14,Paramètres!$A$1:$I$89,3,0)*0.475*44/12</f>
        <v>6.8625865095274269E-7</v>
      </c>
      <c r="ED114" s="22">
        <f t="shared" si="72"/>
        <v>55.54052574052384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5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67">
        <f t="shared" si="56"/>
        <v>183.33333333333334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4.8</v>
      </c>
      <c r="N115" s="13">
        <f>IF('Données projet'!$A$36&gt;35,N114+M115-V114,IF(A115&lt;'Données projet'!$A$36,$K$205^A115,IF(A115='Données projet'!$A$36,'Données projet'!$B$36,N114+M115-V114)))</f>
        <v>316.59999999999985</v>
      </c>
      <c r="O115" s="13">
        <f>N115*VLOOKUP('Données projet'!$B$9,Paramètres!$A$1:$I$89,3,0)*VLOOKUP('Données projet'!$B$9,Paramètres!$A$1:$I$89,5,0)</f>
        <v>321.03239999999988</v>
      </c>
      <c r="P115" s="13">
        <f t="shared" si="87"/>
        <v>75.568124274523356</v>
      </c>
      <c r="Q115" s="20">
        <f t="shared" si="107"/>
        <v>690.74591311146139</v>
      </c>
      <c r="R115" s="59">
        <f t="shared" si="55"/>
        <v>971.1672245270322</v>
      </c>
      <c r="S115" s="59">
        <f ca="1">AVERAGE(OFFSET($R$3,0,0,'Données projet'!$E$9+1,1))-AVERAGE(OFFSET($H$3,0,0,'Données projet'!$E$9+1,1))</f>
        <v>538.10210778862256</v>
      </c>
      <c r="T115" s="59">
        <f t="shared" si="88"/>
        <v>399.53300632021399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63.105795185416753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63.105795185416753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4.8</v>
      </c>
      <c r="AI115" s="13">
        <f>IF('Données projet'!$A$62&gt;35,AI114+AH115-AQ114,IF(A115&lt;'Données projet'!$A$62,$AF$205^A115,IF(A115='Données projet'!$A$62,'Données projet'!$B$62,AI114+AH115-AQ114)))</f>
        <v>316.59999999999985</v>
      </c>
      <c r="AJ115" s="13">
        <f>AI115*VLOOKUP('Données projet'!$B$10,Paramètres!$A$1:$I$89,3,0)*VLOOKUP('Données projet'!$B$10,Paramètres!$A$1:$I$89,5,0)</f>
        <v>330.91031999999984</v>
      </c>
      <c r="AK115" s="13">
        <f t="shared" si="89"/>
        <v>77.619009463714221</v>
      </c>
      <c r="AL115" s="20">
        <f t="shared" si="58"/>
        <v>711.52191548263534</v>
      </c>
      <c r="AM115" s="59">
        <f t="shared" si="59"/>
        <v>991.94322689820615</v>
      </c>
      <c r="AN115" s="59">
        <f ca="1">AVERAGE(OFFSET($AM$3,0,0,'Données projet'!$E$10+1,1))-AVERAGE(OFFSET($H$3,0,0,'Données projet'!$E$10+1,1))</f>
        <v>552.26894123675538</v>
      </c>
      <c r="AO115" s="59">
        <f t="shared" si="90"/>
        <v>409.85604950107006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65.047511960352651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65.047511960352651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2.6</v>
      </c>
      <c r="BD115" s="12">
        <f>IF('Données projet'!$A$88&gt;35,BD114+BC115-BL114,IF(A115&lt;'Données projet'!$A$88,$BA$205^A115,IF(A115='Données projet'!$A$88,'Données projet'!$B$88,BD114+BC115-BL114)))</f>
        <v>211.1999999999999</v>
      </c>
      <c r="BE115" s="13">
        <f>BD115*VLOOKUP('Données projet'!$B$11,Paramètres!$A$1:$I$89,3,0)*VLOOKUP('Données projet'!$B$11,Paramètres!$A$1:$I$89,5,0)</f>
        <v>227.33567999999988</v>
      </c>
      <c r="BF115" s="13">
        <f t="shared" si="91"/>
        <v>55.706203178450444</v>
      </c>
      <c r="BG115" s="20">
        <f t="shared" si="61"/>
        <v>492.96461320246772</v>
      </c>
      <c r="BH115" s="59">
        <f t="shared" si="62"/>
        <v>773.38592461803864</v>
      </c>
      <c r="BI115" s="59">
        <f ca="1">AVERAGE(OFFSET($BH$3,0,0,'Données projet'!$E$11+1,1))-AVERAGE(OFFSET($H$3,0,0,'Données projet'!$E$11+1,1))</f>
        <v>361.24725625563468</v>
      </c>
      <c r="BJ115" s="59">
        <f t="shared" si="92"/>
        <v>186.0840067781198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30.278251821415306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30.278251821415306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3.8</v>
      </c>
      <c r="BY115" s="12">
        <f>IF('Données projet'!$A$114&gt;35,BY114+BX115-CG114,IF(A115&lt;'Données projet'!$A$114,$BV$205^A115,IF(A115='Données projet'!$A$114,'Données projet'!$B$114,BY114+BX115-CG114)))</f>
        <v>273.59999999999968</v>
      </c>
      <c r="BZ115" s="13">
        <f>BY115*VLOOKUP('Données projet'!$B$12,Paramètres!$A$1:$I$89,3,0)*VLOOKUP('Données projet'!$B$12,Paramètres!$A$1:$I$89,5,0)</f>
        <v>183.5308799999998</v>
      </c>
      <c r="CA115" s="13">
        <f t="shared" si="93"/>
        <v>46.106851562826662</v>
      </c>
      <c r="CB115" s="20">
        <f t="shared" si="64"/>
        <v>399.9523824719227</v>
      </c>
      <c r="CC115" s="59">
        <f t="shared" si="65"/>
        <v>680.37369388749357</v>
      </c>
      <c r="CD115" s="59">
        <f ca="1">AVERAGE(OFFSET($CC$3,0,0,'Données projet'!$E$12+1,1))-AVERAGE(OFFSET($H$3,0,0,'Données projet'!$E$12+1,1))</f>
        <v>323.91378047319455</v>
      </c>
      <c r="CE115" s="59">
        <f t="shared" si="94"/>
        <v>212.89889176380288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38.35344298054202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38.35344298054202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>
        <f>CT115*VLOOKUP('Données projet'!$B$13,Paramètres!$A$1:$I$89,3,0)*VLOOKUP('Données projet'!$B$13,Paramètres!$A$1:$I$89,5,0)</f>
        <v>0</v>
      </c>
      <c r="CV115" s="13" t="e">
        <f t="shared" si="95"/>
        <v>#NUM!</v>
      </c>
      <c r="CW115" s="20" t="e">
        <f t="shared" si="67"/>
        <v>#NUM!</v>
      </c>
      <c r="CX115" s="59" t="e">
        <f t="shared" si="68"/>
        <v>#NUM!</v>
      </c>
      <c r="CY115" s="59">
        <f ca="1">AVERAGE(OFFSET($CX$3,0,0,'Données projet'!$E$13+1,1))-AVERAGE(OFFSET($H$3,0,0,'Données projet'!$E$13+1,1))</f>
        <v>356.07880667298025</v>
      </c>
      <c r="CZ115" s="59">
        <f t="shared" si="96"/>
        <v>396.05161661639659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65.483861523940334</v>
      </c>
      <c r="DG115" s="21">
        <f>EXP(-LN(2)/25)*DG114+(1-EXP(-LN(2)/25))/(LN(2)/25)*Calculateur!DB115*Calculateur!DD115*VLOOKUP('Données projet'!$B$13,Paramètres!$A$1:$I$89,3,0)*0.475*44/12</f>
        <v>10.402256123162639</v>
      </c>
      <c r="DH115" s="21">
        <f>EXP(-LN(2)/2)*DH114+(1-EXP(-LN(2)/2))/(LN(2)/2)*DB115*DE115*VLOOKUP('Données projet'!$B$13,Paramètres!$A$1:$I$89,3,0)*0.475*44/12</f>
        <v>5.1068586604055066E-7</v>
      </c>
      <c r="DI115" s="22">
        <f t="shared" si="69"/>
        <v>75.886118157788843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>
        <f>DO115*VLOOKUP('Données projet'!$B$14,Paramètres!$A$1:$I$89,3,0)*VLOOKUP('Données projet'!$B$14,Paramètres!$A$1:$I$89,5,0)</f>
        <v>0</v>
      </c>
      <c r="DQ115" s="13" t="e">
        <f t="shared" si="97"/>
        <v>#NUM!</v>
      </c>
      <c r="DR115" s="20" t="e">
        <f t="shared" si="70"/>
        <v>#NUM!</v>
      </c>
      <c r="DS115" s="59" t="e">
        <f t="shared" si="71"/>
        <v>#NUM!</v>
      </c>
      <c r="DT115" s="59">
        <f ca="1">AVERAGE(OFFSET($DS$3,0,0,'Données projet'!$E$14+1,1))-AVERAGE(OFFSET($H$3,0,0,'Données projet'!$E$14+1,1))</f>
        <v>246.11623544660486</v>
      </c>
      <c r="DU115" s="59">
        <f t="shared" si="98"/>
        <v>273.18950868898253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44.92783457786112</v>
      </c>
      <c r="EB115" s="21">
        <f>EXP(-LN(2)/25)*EB114+(1-EXP(-LN(2)/25))/(LN(2)/25)*Calculateur!DW115*Calculateur!DY115*VLOOKUP('Données projet'!$B$14,Paramètres!$A$1:$I$89,3,0)*0.475*44/12</f>
        <v>9.4484299551075672</v>
      </c>
      <c r="EC115" s="21">
        <f>EXP(-LN(2)/2)*EC114+(1-EXP(-LN(2)/2))/(LN(2)/2)*DW115*DZ115*VLOOKUP('Données projet'!$B$14,Paramètres!$A$1:$I$89,3,0)*0.475*44/12</f>
        <v>4.8525814573661631E-7</v>
      </c>
      <c r="ED115" s="22">
        <f t="shared" si="72"/>
        <v>54.376265018226839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5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67">
        <f t="shared" si="56"/>
        <v>183.33333333333334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4.8</v>
      </c>
      <c r="N116" s="13">
        <f>IF('Données projet'!$A$36&gt;35,N115+M116-V115,IF(A116&lt;'Données projet'!$A$36,$K$205^A116,IF(A116='Données projet'!$A$36,'Données projet'!$B$36,N115+M116-V115)))</f>
        <v>321.39999999999986</v>
      </c>
      <c r="O116" s="13">
        <f>N116*VLOOKUP('Données projet'!$B$9,Paramètres!$A$1:$I$89,3,0)*VLOOKUP('Données projet'!$B$9,Paramètres!$A$1:$I$89,5,0)</f>
        <v>325.89959999999985</v>
      </c>
      <c r="P116" s="13">
        <f t="shared" si="87"/>
        <v>76.579572003009432</v>
      </c>
      <c r="Q116" s="20">
        <f t="shared" si="107"/>
        <v>700.9845579052411</v>
      </c>
      <c r="R116" s="59">
        <f t="shared" si="55"/>
        <v>981.62986403412879</v>
      </c>
      <c r="S116" s="59">
        <f ca="1">AVERAGE(OFFSET($R$3,0,0,'Données projet'!$E$9+1,1))-AVERAGE(OFFSET($H$3,0,0,'Données projet'!$E$9+1,1))</f>
        <v>538.10210778862256</v>
      </c>
      <c r="T116" s="59">
        <f t="shared" si="88"/>
        <v>399.53300632021399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61.86832903256515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61.86832903256515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4.8</v>
      </c>
      <c r="AI116" s="13">
        <f>IF('Données projet'!$A$62&gt;35,AI115+AH116-AQ115,IF(A116&lt;'Données projet'!$A$62,$AF$205^A116,IF(A116='Données projet'!$A$62,'Données projet'!$B$62,AI115+AH116-AQ115)))</f>
        <v>321.39999999999986</v>
      </c>
      <c r="AJ116" s="13">
        <f>AI116*VLOOKUP('Données projet'!$B$10,Paramètres!$A$1:$I$89,3,0)*VLOOKUP('Données projet'!$B$10,Paramètres!$A$1:$I$89,5,0)</f>
        <v>335.92727999999988</v>
      </c>
      <c r="AK116" s="13">
        <f t="shared" si="89"/>
        <v>78.657907432442556</v>
      </c>
      <c r="AL116" s="20">
        <f t="shared" si="58"/>
        <v>722.06920144483729</v>
      </c>
      <c r="AM116" s="59">
        <f t="shared" si="59"/>
        <v>1002.7145075737249</v>
      </c>
      <c r="AN116" s="59">
        <f ca="1">AVERAGE(OFFSET($AM$3,0,0,'Données projet'!$E$10+1,1))-AVERAGE(OFFSET($H$3,0,0,'Données projet'!$E$10+1,1))</f>
        <v>552.26894123675538</v>
      </c>
      <c r="AO116" s="59">
        <f t="shared" si="90"/>
        <v>409.85604950107006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63.771969925874842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63.771969925874842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2.6</v>
      </c>
      <c r="BD116" s="12">
        <f>IF('Données projet'!$A$88&gt;35,BD115+BC116-BL115,IF(A116&lt;'Données projet'!$A$88,$BA$205^A116,IF(A116='Données projet'!$A$88,'Données projet'!$B$88,BD115+BC116-BL115)))</f>
        <v>213.7999999999999</v>
      </c>
      <c r="BE116" s="13">
        <f>BD116*VLOOKUP('Données projet'!$B$11,Paramètres!$A$1:$I$89,3,0)*VLOOKUP('Données projet'!$B$11,Paramètres!$A$1:$I$89,5,0)</f>
        <v>230.13431999999986</v>
      </c>
      <c r="BF116" s="13">
        <f t="shared" si="91"/>
        <v>56.311723668616636</v>
      </c>
      <c r="BG116" s="20">
        <f t="shared" si="61"/>
        <v>498.89352605617364</v>
      </c>
      <c r="BH116" s="59">
        <f t="shared" si="62"/>
        <v>779.53883218506121</v>
      </c>
      <c r="BI116" s="59">
        <f ca="1">AVERAGE(OFFSET($BH$3,0,0,'Données projet'!$E$11+1,1))-AVERAGE(OFFSET($H$3,0,0,'Données projet'!$E$11+1,1))</f>
        <v>361.24725625563468</v>
      </c>
      <c r="BJ116" s="59">
        <f t="shared" si="92"/>
        <v>186.0840067781198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29.684513771107408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29.684513771107408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3.8</v>
      </c>
      <c r="BY116" s="12">
        <f>IF('Données projet'!$A$114&gt;35,BY115+BX116-CG115,IF(A116&lt;'Données projet'!$A$114,$BV$205^A116,IF(A116='Données projet'!$A$114,'Données projet'!$B$114,BY115+BX116-CG115)))</f>
        <v>277.39999999999969</v>
      </c>
      <c r="BZ116" s="13">
        <f>BY116*VLOOKUP('Données projet'!$B$12,Paramètres!$A$1:$I$89,3,0)*VLOOKUP('Données projet'!$B$12,Paramètres!$A$1:$I$89,5,0)</f>
        <v>186.07991999999979</v>
      </c>
      <c r="CA116" s="13">
        <f t="shared" si="93"/>
        <v>46.672230055835392</v>
      </c>
      <c r="CB116" s="20">
        <f t="shared" si="64"/>
        <v>405.37666134724623</v>
      </c>
      <c r="CC116" s="59">
        <f t="shared" si="65"/>
        <v>686.0219674761338</v>
      </c>
      <c r="CD116" s="59">
        <f ca="1">AVERAGE(OFFSET($CC$3,0,0,'Données projet'!$E$12+1,1))-AVERAGE(OFFSET($H$3,0,0,'Données projet'!$E$12+1,1))</f>
        <v>323.91378047319455</v>
      </c>
      <c r="CE116" s="59">
        <f t="shared" si="94"/>
        <v>212.89889176380288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37.601355356983916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37.601355356983916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>
        <f>CT116*VLOOKUP('Données projet'!$B$13,Paramètres!$A$1:$I$89,3,0)*VLOOKUP('Données projet'!$B$13,Paramètres!$A$1:$I$89,5,0)</f>
        <v>0</v>
      </c>
      <c r="CV116" s="13" t="e">
        <f t="shared" si="95"/>
        <v>#NUM!</v>
      </c>
      <c r="CW116" s="20" t="e">
        <f t="shared" si="67"/>
        <v>#NUM!</v>
      </c>
      <c r="CX116" s="59" t="e">
        <f t="shared" si="68"/>
        <v>#NUM!</v>
      </c>
      <c r="CY116" s="59">
        <f ca="1">AVERAGE(OFFSET($CX$3,0,0,'Données projet'!$E$13+1,1))-AVERAGE(OFFSET($H$3,0,0,'Données projet'!$E$13+1,1))</f>
        <v>356.07880667298025</v>
      </c>
      <c r="CZ116" s="59">
        <f t="shared" si="96"/>
        <v>396.05161661639659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64.199762940667526</v>
      </c>
      <c r="DG116" s="21">
        <f>EXP(-LN(2)/25)*DG115+(1-EXP(-LN(2)/25))/(LN(2)/25)*Calculateur!DB116*Calculateur!DD116*VLOOKUP('Données projet'!$B$13,Paramètres!$A$1:$I$89,3,0)*0.475*44/12</f>
        <v>10.117805882443882</v>
      </c>
      <c r="DH116" s="21">
        <f>EXP(-LN(2)/2)*DH115+(1-EXP(-LN(2)/2))/(LN(2)/2)*DB116*DE116*VLOOKUP('Données projet'!$B$13,Paramètres!$A$1:$I$89,3,0)*0.475*44/12</f>
        <v>3.6110943893339818E-7</v>
      </c>
      <c r="DI116" s="22">
        <f t="shared" si="69"/>
        <v>74.317569184220844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>
        <f>DO116*VLOOKUP('Données projet'!$B$14,Paramètres!$A$1:$I$89,3,0)*VLOOKUP('Données projet'!$B$14,Paramètres!$A$1:$I$89,5,0)</f>
        <v>0</v>
      </c>
      <c r="DQ116" s="13" t="e">
        <f t="shared" si="97"/>
        <v>#NUM!</v>
      </c>
      <c r="DR116" s="20" t="e">
        <f t="shared" si="70"/>
        <v>#NUM!</v>
      </c>
      <c r="DS116" s="59" t="e">
        <f t="shared" si="71"/>
        <v>#NUM!</v>
      </c>
      <c r="DT116" s="59">
        <f ca="1">AVERAGE(OFFSET($DS$3,0,0,'Données projet'!$E$14+1,1))-AVERAGE(OFFSET($H$3,0,0,'Données projet'!$E$14+1,1))</f>
        <v>246.11623544660486</v>
      </c>
      <c r="DU116" s="59">
        <f t="shared" si="98"/>
        <v>273.18950868898253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44.046827145062508</v>
      </c>
      <c r="EB116" s="21">
        <f>EXP(-LN(2)/25)*EB115+(1-EXP(-LN(2)/25))/(LN(2)/25)*Calculateur!DW116*Calculateur!DY116*VLOOKUP('Données projet'!$B$14,Paramètres!$A$1:$I$89,3,0)*0.475*44/12</f>
        <v>9.1900621411138133</v>
      </c>
      <c r="EC116" s="21">
        <f>EXP(-LN(2)/2)*EC115+(1-EXP(-LN(2)/2))/(LN(2)/2)*DW116*DZ116*VLOOKUP('Données projet'!$B$14,Paramètres!$A$1:$I$89,3,0)*0.475*44/12</f>
        <v>3.4312932547637135E-7</v>
      </c>
      <c r="ED116" s="22">
        <f t="shared" si="72"/>
        <v>53.236889629305644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5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67">
        <f t="shared" si="56"/>
        <v>183.33333333333334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4.8</v>
      </c>
      <c r="N117" s="13">
        <f>IF('Données projet'!$A$36&gt;35,N116+M117-V116,IF(A117&lt;'Données projet'!$A$36,$K$205^A117,IF(A117='Données projet'!$A$36,'Données projet'!$B$36,N116+M117-V116)))</f>
        <v>326.19999999999987</v>
      </c>
      <c r="O117" s="13">
        <f>N117*VLOOKUP('Données projet'!$B$9,Paramètres!$A$1:$I$89,3,0)*VLOOKUP('Données projet'!$B$9,Paramètres!$A$1:$I$89,5,0)</f>
        <v>330.76679999999988</v>
      </c>
      <c r="P117" s="13">
        <f t="shared" si="87"/>
        <v>77.589262894669801</v>
      </c>
      <c r="Q117" s="20">
        <f t="shared" si="107"/>
        <v>711.22014287488298</v>
      </c>
      <c r="R117" s="59">
        <f t="shared" si="55"/>
        <v>992.08555790958849</v>
      </c>
      <c r="S117" s="59">
        <f ca="1">AVERAGE(OFFSET($R$3,0,0,'Données projet'!$E$9+1,1))-AVERAGE(OFFSET($H$3,0,0,'Données projet'!$E$9+1,1))</f>
        <v>538.10210778862256</v>
      </c>
      <c r="T117" s="59">
        <f t="shared" si="88"/>
        <v>399.53300632021399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60.655128836191139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60.655128836191139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4.8</v>
      </c>
      <c r="AI117" s="13">
        <f>IF('Données projet'!$A$62&gt;35,AI116+AH117-AQ116,IF(A117&lt;'Données projet'!$A$62,$AF$205^A117,IF(A117='Données projet'!$A$62,'Données projet'!$B$62,AI116+AH117-AQ116)))</f>
        <v>326.19999999999987</v>
      </c>
      <c r="AJ117" s="13">
        <f>AI117*VLOOKUP('Données projet'!$B$10,Paramètres!$A$1:$I$89,3,0)*VLOOKUP('Données projet'!$B$10,Paramètres!$A$1:$I$89,5,0)</f>
        <v>340.94423999999987</v>
      </c>
      <c r="AK117" s="13">
        <f t="shared" si="89"/>
        <v>79.695000884577297</v>
      </c>
      <c r="AL117" s="20">
        <f t="shared" si="58"/>
        <v>732.61334454063854</v>
      </c>
      <c r="AM117" s="59">
        <f t="shared" si="59"/>
        <v>1013.4787595753439</v>
      </c>
      <c r="AN117" s="59">
        <f ca="1">AVERAGE(OFFSET($AM$3,0,0,'Données projet'!$E$10+1,1))-AVERAGE(OFFSET($H$3,0,0,'Données projet'!$E$10+1,1))</f>
        <v>552.26894123675538</v>
      </c>
      <c r="AO117" s="59">
        <f t="shared" si="90"/>
        <v>409.85604950107006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62.521440492689322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62.521440492689322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2.6</v>
      </c>
      <c r="BD117" s="12">
        <f>IF('Données projet'!$A$88&gt;35,BD116+BC117-BL116,IF(A117&lt;'Données projet'!$A$88,$BA$205^A117,IF(A117='Données projet'!$A$88,'Données projet'!$B$88,BD116+BC117-BL116)))</f>
        <v>216.39999999999989</v>
      </c>
      <c r="BE117" s="13">
        <f>BD117*VLOOKUP('Données projet'!$B$11,Paramètres!$A$1:$I$89,3,0)*VLOOKUP('Données projet'!$B$11,Paramètres!$A$1:$I$89,5,0)</f>
        <v>232.93295999999987</v>
      </c>
      <c r="BF117" s="13">
        <f t="shared" si="91"/>
        <v>56.916387611287774</v>
      </c>
      <c r="BG117" s="20">
        <f t="shared" si="61"/>
        <v>504.82094708965923</v>
      </c>
      <c r="BH117" s="59">
        <f t="shared" si="62"/>
        <v>785.68636212436468</v>
      </c>
      <c r="BI117" s="59">
        <f ca="1">AVERAGE(OFFSET($BH$3,0,0,'Données projet'!$E$11+1,1))-AVERAGE(OFFSET($H$3,0,0,'Données projet'!$E$11+1,1))</f>
        <v>361.24725625563468</v>
      </c>
      <c r="BJ117" s="59">
        <f t="shared" si="92"/>
        <v>186.0840067781198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29.102418561821597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29.102418561821597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3.8</v>
      </c>
      <c r="BY117" s="12">
        <f>IF('Données projet'!$A$114&gt;35,BY116+BX117-CG116,IF(A117&lt;'Données projet'!$A$114,$BV$205^A117,IF(A117='Données projet'!$A$114,'Données projet'!$B$114,BY116+BX117-CG116)))</f>
        <v>281.1999999999997</v>
      </c>
      <c r="BZ117" s="13">
        <f>BY117*VLOOKUP('Données projet'!$B$12,Paramètres!$A$1:$I$89,3,0)*VLOOKUP('Données projet'!$B$12,Paramètres!$A$1:$I$89,5,0)</f>
        <v>188.62895999999981</v>
      </c>
      <c r="CA117" s="13">
        <f t="shared" si="93"/>
        <v>47.236707729783255</v>
      </c>
      <c r="CB117" s="20">
        <f t="shared" si="64"/>
        <v>410.79937129603883</v>
      </c>
      <c r="CC117" s="59">
        <f t="shared" si="65"/>
        <v>691.66478633074428</v>
      </c>
      <c r="CD117" s="59">
        <f ca="1">AVERAGE(OFFSET($CC$3,0,0,'Données projet'!$E$12+1,1))-AVERAGE(OFFSET($H$3,0,0,'Données projet'!$E$12+1,1))</f>
        <v>323.91378047319455</v>
      </c>
      <c r="CE117" s="59">
        <f t="shared" si="94"/>
        <v>212.89889176380288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36.864015712995631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36.864015712995631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>
        <f>CT117*VLOOKUP('Données projet'!$B$13,Paramètres!$A$1:$I$89,3,0)*VLOOKUP('Données projet'!$B$13,Paramètres!$A$1:$I$89,5,0)</f>
        <v>0</v>
      </c>
      <c r="CV117" s="13" t="e">
        <f t="shared" si="95"/>
        <v>#NUM!</v>
      </c>
      <c r="CW117" s="20" t="e">
        <f t="shared" si="67"/>
        <v>#NUM!</v>
      </c>
      <c r="CX117" s="59" t="e">
        <f t="shared" si="68"/>
        <v>#NUM!</v>
      </c>
      <c r="CY117" s="59">
        <f ca="1">AVERAGE(OFFSET($CX$3,0,0,'Données projet'!$E$13+1,1))-AVERAGE(OFFSET($H$3,0,0,'Données projet'!$E$13+1,1))</f>
        <v>356.07880667298025</v>
      </c>
      <c r="CZ117" s="59">
        <f t="shared" si="96"/>
        <v>396.05161661639659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62.940844747389896</v>
      </c>
      <c r="DG117" s="21">
        <f>EXP(-LN(2)/25)*DG116+(1-EXP(-LN(2)/25))/(LN(2)/25)*Calculateur!DB117*Calculateur!DD117*VLOOKUP('Données projet'!$B$13,Paramètres!$A$1:$I$89,3,0)*0.475*44/12</f>
        <v>9.841133948516168</v>
      </c>
      <c r="DH117" s="21">
        <f>EXP(-LN(2)/2)*DH116+(1-EXP(-LN(2)/2))/(LN(2)/2)*DB117*DE117*VLOOKUP('Données projet'!$B$13,Paramètres!$A$1:$I$89,3,0)*0.475*44/12</f>
        <v>2.5534293302027533E-7</v>
      </c>
      <c r="DI117" s="22">
        <f t="shared" si="69"/>
        <v>72.781978951249002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>
        <f>DO117*VLOOKUP('Données projet'!$B$14,Paramètres!$A$1:$I$89,3,0)*VLOOKUP('Données projet'!$B$14,Paramètres!$A$1:$I$89,5,0)</f>
        <v>0</v>
      </c>
      <c r="DQ117" s="13" t="e">
        <f t="shared" si="97"/>
        <v>#NUM!</v>
      </c>
      <c r="DR117" s="20" t="e">
        <f t="shared" si="70"/>
        <v>#NUM!</v>
      </c>
      <c r="DS117" s="59" t="e">
        <f t="shared" si="71"/>
        <v>#NUM!</v>
      </c>
      <c r="DT117" s="59">
        <f ca="1">AVERAGE(OFFSET($DS$3,0,0,'Données projet'!$E$14+1,1))-AVERAGE(OFFSET($H$3,0,0,'Données projet'!$E$14+1,1))</f>
        <v>246.11623544660486</v>
      </c>
      <c r="DU117" s="59">
        <f t="shared" si="98"/>
        <v>273.18950868898253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43.183095730659602</v>
      </c>
      <c r="EB117" s="21">
        <f>EXP(-LN(2)/25)*EB116+(1-EXP(-LN(2)/25))/(LN(2)/25)*Calculateur!DW117*Calculateur!DY117*VLOOKUP('Données projet'!$B$14,Paramètres!$A$1:$I$89,3,0)*0.475*44/12</f>
        <v>8.9387594085806921</v>
      </c>
      <c r="EC117" s="21">
        <f>EXP(-LN(2)/2)*EC116+(1-EXP(-LN(2)/2))/(LN(2)/2)*DW117*DZ117*VLOOKUP('Données projet'!$B$14,Paramètres!$A$1:$I$89,3,0)*0.475*44/12</f>
        <v>2.4262907286830816E-7</v>
      </c>
      <c r="ED117" s="22">
        <f t="shared" si="72"/>
        <v>52.121855381869366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5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67">
        <f t="shared" si="56"/>
        <v>183.33333333333334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>
        <f>VLOOKUP(A118,'Données projet'!$A$35:$I$55,2,0)</f>
        <v>331</v>
      </c>
      <c r="L118" s="12">
        <f>VLOOKUP(A118,'Données projet'!$A$35:$I$55,9,0)</f>
        <v>4.8</v>
      </c>
      <c r="M118" s="12">
        <f t="array" ref="M118">INDEX(L:L,MIN(IF(ISNUMBER(L118:L314),ROW(L118:L314),"")))</f>
        <v>4.8</v>
      </c>
      <c r="N118" s="13">
        <f>IF('Données projet'!$A$36&gt;35,N117+M118-V117,IF(A118&lt;'Données projet'!$A$36,$K$205^A118,IF(A118='Données projet'!$A$36,'Données projet'!$B$36,N117+M118-V117)))</f>
        <v>330.99999999999989</v>
      </c>
      <c r="O118" s="13">
        <f>N118*VLOOKUP('Données projet'!$B$9,Paramètres!$A$1:$I$89,3,0)*VLOOKUP('Données projet'!$B$9,Paramètres!$A$1:$I$89,5,0)</f>
        <v>335.6339999999999</v>
      </c>
      <c r="P118" s="13">
        <f t="shared" si="87"/>
        <v>78.597225787708638</v>
      </c>
      <c r="Q118" s="20">
        <f t="shared" si="107"/>
        <v>721.45271824692566</v>
      </c>
      <c r="R118" s="59">
        <f t="shared" si="55"/>
        <v>1002.5344237900229</v>
      </c>
      <c r="S118" s="59">
        <f ca="1">AVERAGE(OFFSET($R$3,0,0,'Données projet'!$E$9+1,1))-AVERAGE(OFFSET($H$3,0,0,'Données projet'!$E$9+1,1))</f>
        <v>538.10210778862256</v>
      </c>
      <c r="T118" s="59">
        <f t="shared" si="88"/>
        <v>399.53300632021399</v>
      </c>
      <c r="U118" s="15">
        <f>IF(ISNA(VLOOKUP(A118,'Données projet'!$A$35:$I$55,3,0)),0,VLOOKUP(A118,'Données projet'!$A$35:$I$55,3,0))</f>
        <v>20</v>
      </c>
      <c r="V118" s="15">
        <f>IF(ISNA(VLOOKUP(A118,'Données projet'!$A$35:$I$55,4,0)),0,VLOOKUP(A118,'Données projet'!$A$35:$I$55,4,0))</f>
        <v>24</v>
      </c>
      <c r="W118" s="16">
        <f>IF(ISNA(VLOOKUP(A118,'Données projet'!$A$35:$I$55,5,0)),0%,VLOOKUP(A118,'Données projet'!$A$35:$I$55,5,0)*VLOOKUP('Données projet'!$B$9,Paramètres!$A$1:$I$89,7,0))</f>
        <v>0.34400000000000003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68.720256897460942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68.720256897460942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>
        <f>VLOOKUP(A118,'Données projet'!$A$61:$I$81,2,0)</f>
        <v>331</v>
      </c>
      <c r="AG118" s="12">
        <f>VLOOKUP(A118,'Données projet'!$A$61:$I$81,9,0)</f>
        <v>4.8</v>
      </c>
      <c r="AH118" s="12">
        <f t="array" ref="AH118">INDEX(AG:AG,MIN(IF(ISNUMBER(AG118:AG314),ROW(AG118:AG314),"")))</f>
        <v>4.8</v>
      </c>
      <c r="AI118" s="13">
        <f>IF('Données projet'!$A$62&gt;35,AI117+AH118-AQ117,IF(A118&lt;'Données projet'!$A$62,$AF$205^A118,IF(A118='Données projet'!$A$62,'Données projet'!$B$62,AI117+AH118-AQ117)))</f>
        <v>330.99999999999989</v>
      </c>
      <c r="AJ118" s="13">
        <f>AI118*VLOOKUP('Données projet'!$B$10,Paramètres!$A$1:$I$89,3,0)*VLOOKUP('Données projet'!$B$10,Paramètres!$A$1:$I$89,5,0)</f>
        <v>345.96119999999991</v>
      </c>
      <c r="AK118" s="13">
        <f t="shared" si="89"/>
        <v>80.730319440978604</v>
      </c>
      <c r="AL118" s="20">
        <f t="shared" si="58"/>
        <v>743.15439635970415</v>
      </c>
      <c r="AM118" s="59">
        <f t="shared" si="59"/>
        <v>1024.2361019028015</v>
      </c>
      <c r="AN118" s="59">
        <f ca="1">AVERAGE(OFFSET($AM$3,0,0,'Données projet'!$E$10+1,1))-AVERAGE(OFFSET($H$3,0,0,'Données projet'!$E$10+1,1))</f>
        <v>552.26894123675538</v>
      </c>
      <c r="AO118" s="59">
        <f t="shared" si="90"/>
        <v>409.85604950107006</v>
      </c>
      <c r="AP118" s="15">
        <f>IF(ISNA(VLOOKUP(A118,'Données projet'!$A$61:$I$81,3,0)),0,VLOOKUP(A118,'Données projet'!$A$61:$I$81,3,0))</f>
        <v>20</v>
      </c>
      <c r="AQ118" s="15">
        <f>IF(ISNA(VLOOKUP(A118,'Données projet'!$A$61:$I$81,4,0)),0,VLOOKUP(A118,'Données projet'!$A$61:$I$81,4,0))</f>
        <v>24</v>
      </c>
      <c r="AR118" s="16">
        <f>IF(ISNA(VLOOKUP(A118,'Données projet'!$A$61:$I$81,5,0)),0%,VLOOKUP(A118,'Données projet'!$A$61:$I$81,5,0)*VLOOKUP('Données projet'!$B$10,Paramètres!$A$1:$I$89,7,0))</f>
        <v>0.34400000000000003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70.834726340459738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70.834726340459738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>
        <f>VLOOKUP(A118,'Données projet'!$A$87:$I$107,2,0)</f>
        <v>219</v>
      </c>
      <c r="BB118" s="12">
        <f>VLOOKUP(A118,'Données projet'!$A$87:$I$107,9,0)</f>
        <v>2.6</v>
      </c>
      <c r="BC118" s="12">
        <f t="array" ref="BC118">INDEX(BB:BB,MIN(IF(ISNUMBER(BB118:BB314),ROW(BB118:BB314),"")))</f>
        <v>2.6</v>
      </c>
      <c r="BD118" s="12">
        <f>IF('Données projet'!$A$88&gt;35,BD117+BC118-BL117,IF(A118&lt;'Données projet'!$A$88,$BA$205^A118,IF(A118='Données projet'!$A$88,'Données projet'!$B$88,BD117+BC118-BL117)))</f>
        <v>218.99999999999989</v>
      </c>
      <c r="BE118" s="13">
        <f>BD118*VLOOKUP('Données projet'!$B$11,Paramètres!$A$1:$I$89,3,0)*VLOOKUP('Données projet'!$B$11,Paramètres!$A$1:$I$89,5,0)</f>
        <v>235.73159999999984</v>
      </c>
      <c r="BF118" s="13">
        <f t="shared" si="91"/>
        <v>57.520206488125218</v>
      </c>
      <c r="BG118" s="20">
        <f t="shared" si="61"/>
        <v>510.74689630015109</v>
      </c>
      <c r="BH118" s="59">
        <f t="shared" si="62"/>
        <v>791.82860184324841</v>
      </c>
      <c r="BI118" s="59">
        <f ca="1">AVERAGE(OFFSET($BH$3,0,0,'Données projet'!$E$11+1,1))-AVERAGE(OFFSET($H$3,0,0,'Données projet'!$E$11+1,1))</f>
        <v>361.24725625563468</v>
      </c>
      <c r="BJ118" s="59">
        <f t="shared" si="92"/>
        <v>186.0840067781198</v>
      </c>
      <c r="BK118" s="15">
        <f>IF(ISNA(VLOOKUP(A118,'Données projet'!$A$87:$I$107,3,0)),0,VLOOKUP(A118,'Données projet'!$A$87:$I$107,3,0))</f>
        <v>19</v>
      </c>
      <c r="BL118" s="15">
        <f>IF(ISNA(VLOOKUP(A118,'Données projet'!$A$87:$I$107,4,0)),0,VLOOKUP(A118,'Données projet'!$A$87:$I$107,4,0))</f>
        <v>13</v>
      </c>
      <c r="BM118" s="16">
        <f>IF(ISNA(VLOOKUP(A118,'Données projet'!$A$87:$I$107,5,0)),0%,VLOOKUP(A118,'Données projet'!$A$87:$I$107,5,0)*VLOOKUP('Données projet'!$B$11,Paramètres!$A$1:$I$89,7,0))</f>
        <v>0.30099999999999999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33.187927387125882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33.187927387125882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>
        <f>VLOOKUP(A118,'Données projet'!$A$113:$I$133,2,0)</f>
        <v>285</v>
      </c>
      <c r="BW118" s="12">
        <f>VLOOKUP(A118,'Données projet'!$A$113:$I$133,9,0)</f>
        <v>3.8</v>
      </c>
      <c r="BX118" s="12">
        <f t="array" ref="BX118">INDEX(BW:BW,MIN(IF(ISNUMBER(BW118:BW314),ROW(BW118:BW314),"")))</f>
        <v>3.8</v>
      </c>
      <c r="BY118" s="12">
        <f>IF('Données projet'!$A$114&gt;35,BY117+BX118-CG117,IF(A118&lt;'Données projet'!$A$114,$BV$205^A118,IF(A118='Données projet'!$A$114,'Données projet'!$B$114,BY117+BX118-CG117)))</f>
        <v>284.99999999999972</v>
      </c>
      <c r="BZ118" s="13">
        <f>BY118*VLOOKUP('Données projet'!$B$12,Paramètres!$A$1:$I$89,3,0)*VLOOKUP('Données projet'!$B$12,Paramètres!$A$1:$I$89,5,0)</f>
        <v>191.1779999999998</v>
      </c>
      <c r="CA118" s="13">
        <f t="shared" si="93"/>
        <v>47.800298165013608</v>
      </c>
      <c r="CB118" s="20">
        <f t="shared" si="64"/>
        <v>416.22053597073165</v>
      </c>
      <c r="CC118" s="59">
        <f t="shared" si="65"/>
        <v>697.3022415138289</v>
      </c>
      <c r="CD118" s="59">
        <f ca="1">AVERAGE(OFFSET($CC$3,0,0,'Données projet'!$E$12+1,1))-AVERAGE(OFFSET($H$3,0,0,'Données projet'!$E$12+1,1))</f>
        <v>323.91378047319455</v>
      </c>
      <c r="CE118" s="59">
        <f t="shared" si="94"/>
        <v>212.89889176380288</v>
      </c>
      <c r="CF118" s="15">
        <f>IF(ISNA(VLOOKUP(A118,'Données projet'!$A$113:$I$133,3,0)),0,VLOOKUP(A118,'Données projet'!$A$113:$I$133,3,0))</f>
        <v>20</v>
      </c>
      <c r="CG118" s="15">
        <f>IF(ISNA(VLOOKUP(A118,'Données projet'!$A$113:$I$133,4,0)),0,VLOOKUP(A118,'Données projet'!$A$113:$I$133,4,0))</f>
        <v>18</v>
      </c>
      <c r="CH118" s="16">
        <f>IF(ISNA(VLOOKUP(A118,'Données projet'!$A$113:$I$133,5,0)),0%,VLOOKUP(A118,'Données projet'!$A$113:$I$133,5,0)*VLOOKUP('Données projet'!$B$12,Paramètres!$A$1:$I$89,7,0))</f>
        <v>0.42400000000000004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41.800640867161427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41.800640867161427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>
        <f>CT118*VLOOKUP('Données projet'!$B$13,Paramètres!$A$1:$I$89,3,0)*VLOOKUP('Données projet'!$B$13,Paramètres!$A$1:$I$89,5,0)</f>
        <v>0</v>
      </c>
      <c r="CV118" s="13" t="e">
        <f t="shared" si="95"/>
        <v>#NUM!</v>
      </c>
      <c r="CW118" s="20" t="e">
        <f t="shared" si="67"/>
        <v>#NUM!</v>
      </c>
      <c r="CX118" s="59" t="e">
        <f t="shared" si="68"/>
        <v>#NUM!</v>
      </c>
      <c r="CY118" s="59">
        <f ca="1">AVERAGE(OFFSET($CX$3,0,0,'Données projet'!$E$13+1,1))-AVERAGE(OFFSET($H$3,0,0,'Données projet'!$E$13+1,1))</f>
        <v>356.07880667298025</v>
      </c>
      <c r="CZ118" s="59">
        <f t="shared" si="96"/>
        <v>396.05161661639659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61.706613172018166</v>
      </c>
      <c r="DG118" s="21">
        <f>EXP(-LN(2)/25)*DG117+(1-EXP(-LN(2)/25))/(LN(2)/25)*Calculateur!DB118*Calculateur!DD118*VLOOKUP('Données projet'!$B$13,Paramètres!$A$1:$I$89,3,0)*0.475*44/12</f>
        <v>9.5720276231712518</v>
      </c>
      <c r="DH118" s="21">
        <f>EXP(-LN(2)/2)*DH117+(1-EXP(-LN(2)/2))/(LN(2)/2)*DB118*DE118*VLOOKUP('Données projet'!$B$13,Paramètres!$A$1:$I$89,3,0)*0.475*44/12</f>
        <v>1.8055471946669909E-7</v>
      </c>
      <c r="DI118" s="22">
        <f t="shared" si="69"/>
        <v>71.278640975744139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>
        <f>DO118*VLOOKUP('Données projet'!$B$14,Paramètres!$A$1:$I$89,3,0)*VLOOKUP('Données projet'!$B$14,Paramètres!$A$1:$I$89,5,0)</f>
        <v>0</v>
      </c>
      <c r="DQ118" s="13" t="e">
        <f t="shared" si="97"/>
        <v>#NUM!</v>
      </c>
      <c r="DR118" s="20" t="e">
        <f t="shared" si="70"/>
        <v>#NUM!</v>
      </c>
      <c r="DS118" s="59" t="e">
        <f t="shared" si="71"/>
        <v>#NUM!</v>
      </c>
      <c r="DT118" s="59">
        <f ca="1">AVERAGE(OFFSET($DS$3,0,0,'Données projet'!$E$14+1,1))-AVERAGE(OFFSET($H$3,0,0,'Données projet'!$E$14+1,1))</f>
        <v>246.11623544660486</v>
      </c>
      <c r="DU118" s="59">
        <f t="shared" si="98"/>
        <v>273.18950868898253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42.336301562468996</v>
      </c>
      <c r="EB118" s="21">
        <f>EXP(-LN(2)/25)*EB117+(1-EXP(-LN(2)/25))/(LN(2)/25)*Calculateur!DW118*Calculateur!DY118*VLOOKUP('Données projet'!$B$14,Paramètres!$A$1:$I$89,3,0)*0.475*44/12</f>
        <v>8.6943285624841256</v>
      </c>
      <c r="EC118" s="21">
        <f>EXP(-LN(2)/2)*EC117+(1-EXP(-LN(2)/2))/(LN(2)/2)*DW118*DZ118*VLOOKUP('Données projet'!$B$14,Paramètres!$A$1:$I$89,3,0)*0.475*44/12</f>
        <v>1.7156466273818567E-7</v>
      </c>
      <c r="ED118" s="22">
        <f t="shared" si="72"/>
        <v>51.030630296517785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5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67">
        <f t="shared" si="56"/>
        <v>183.33333333333334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4.2</v>
      </c>
      <c r="N119" s="13">
        <f>IF('Données projet'!$A$36&gt;35,N118+M119-V118,IF(A119&lt;'Données projet'!$A$36,$K$205^A119,IF(A119='Données projet'!$A$36,'Données projet'!$B$36,N118+M119-V118)))</f>
        <v>311.19999999999987</v>
      </c>
      <c r="O119" s="13">
        <f>N119*VLOOKUP('Données projet'!$B$9,Paramètres!$A$1:$I$89,3,0)*VLOOKUP('Données projet'!$B$9,Paramètres!$A$1:$I$89,5,0)</f>
        <v>315.5567999999999</v>
      </c>
      <c r="P119" s="13">
        <f t="shared" si="87"/>
        <v>74.428108513271013</v>
      </c>
      <c r="Q119" s="20">
        <f t="shared" si="107"/>
        <v>679.22371566061349</v>
      </c>
      <c r="R119" s="59">
        <f t="shared" si="55"/>
        <v>960.51795955533498</v>
      </c>
      <c r="S119" s="59">
        <f ca="1">AVERAGE(OFFSET($R$3,0,0,'Données projet'!$E$9+1,1))-AVERAGE(OFFSET($H$3,0,0,'Données projet'!$E$9+1,1))</f>
        <v>538.10210778862256</v>
      </c>
      <c r="T119" s="59">
        <f t="shared" si="88"/>
        <v>399.53300632021399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67.372694574919663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67.372694574919663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4.2</v>
      </c>
      <c r="AI119" s="13">
        <f>IF('Données projet'!$A$62&gt;35,AI118+AH119-AQ118,IF(A119&lt;'Données projet'!$A$62,$AF$205^A119,IF(A119='Données projet'!$A$62,'Données projet'!$B$62,AI118+AH119-AQ118)))</f>
        <v>311.19999999999987</v>
      </c>
      <c r="AJ119" s="13">
        <f>AI119*VLOOKUP('Données projet'!$B$10,Paramètres!$A$1:$I$89,3,0)*VLOOKUP('Données projet'!$B$10,Paramètres!$A$1:$I$89,5,0)</f>
        <v>325.26623999999993</v>
      </c>
      <c r="AK119" s="13">
        <f t="shared" si="89"/>
        <v>76.448054183152152</v>
      </c>
      <c r="AL119" s="20">
        <f t="shared" si="58"/>
        <v>699.65239570232325</v>
      </c>
      <c r="AM119" s="59">
        <f t="shared" si="59"/>
        <v>980.94663959704474</v>
      </c>
      <c r="AN119" s="59">
        <f ca="1">AVERAGE(OFFSET($AM$3,0,0,'Données projet'!$E$10+1,1))-AVERAGE(OFFSET($H$3,0,0,'Données projet'!$E$10+1,1))</f>
        <v>552.26894123675538</v>
      </c>
      <c r="AO119" s="59">
        <f t="shared" si="90"/>
        <v>409.85604950107006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69.445700561840255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69.445700561840255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3</v>
      </c>
      <c r="BD119" s="12">
        <f>IF('Données projet'!$A$88&gt;35,BD118+BC119-BL118,IF(A119&lt;'Données projet'!$A$88,$BA$205^A119,IF(A119='Données projet'!$A$88,'Données projet'!$B$88,BD118+BC119-BL118)))</f>
        <v>208.99999999999989</v>
      </c>
      <c r="BE119" s="13">
        <f>BD119*VLOOKUP('Données projet'!$B$11,Paramètres!$A$1:$I$89,3,0)*VLOOKUP('Données projet'!$B$11,Paramètres!$A$1:$I$89,5,0)</f>
        <v>224.96759999999989</v>
      </c>
      <c r="BF119" s="13">
        <f t="shared" si="91"/>
        <v>55.193161946335238</v>
      </c>
      <c r="BG119" s="20">
        <f t="shared" si="61"/>
        <v>487.94666038986696</v>
      </c>
      <c r="BH119" s="59">
        <f t="shared" si="62"/>
        <v>769.2409042845884</v>
      </c>
      <c r="BI119" s="59">
        <f ca="1">AVERAGE(OFFSET($BH$3,0,0,'Données projet'!$E$11+1,1))-AVERAGE(OFFSET($H$3,0,0,'Données projet'!$E$11+1,1))</f>
        <v>361.24725625563468</v>
      </c>
      <c r="BJ119" s="59">
        <f t="shared" si="92"/>
        <v>186.0840067781198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32.537132373701255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32.537132373701255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3.6</v>
      </c>
      <c r="BY119" s="12">
        <f>IF('Données projet'!$A$114&gt;35,BY118+BX119-CG118,IF(A119&lt;'Données projet'!$A$114,$BV$205^A119,IF(A119='Données projet'!$A$114,'Données projet'!$B$114,BY118+BX119-CG118)))</f>
        <v>270.59999999999974</v>
      </c>
      <c r="BZ119" s="13">
        <f>BY119*VLOOKUP('Données projet'!$B$12,Paramètres!$A$1:$I$89,3,0)*VLOOKUP('Données projet'!$B$12,Paramètres!$A$1:$I$89,5,0)</f>
        <v>181.51847999999984</v>
      </c>
      <c r="CA119" s="13">
        <f t="shared" si="93"/>
        <v>45.659854640601097</v>
      </c>
      <c r="CB119" s="20">
        <f t="shared" si="64"/>
        <v>395.66893283237999</v>
      </c>
      <c r="CC119" s="59">
        <f t="shared" si="65"/>
        <v>676.96317672710143</v>
      </c>
      <c r="CD119" s="59">
        <f ca="1">AVERAGE(OFFSET($CC$3,0,0,'Données projet'!$E$12+1,1))-AVERAGE(OFFSET($H$3,0,0,'Données projet'!$E$12+1,1))</f>
        <v>323.91378047319455</v>
      </c>
      <c r="CE119" s="59">
        <f t="shared" si="94"/>
        <v>212.89889176380288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40.980955795629811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40.980955795629811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>
        <f>CT119*VLOOKUP('Données projet'!$B$13,Paramètres!$A$1:$I$89,3,0)*VLOOKUP('Données projet'!$B$13,Paramètres!$A$1:$I$89,5,0)</f>
        <v>0</v>
      </c>
      <c r="CV119" s="13" t="e">
        <f t="shared" si="95"/>
        <v>#NUM!</v>
      </c>
      <c r="CW119" s="20" t="e">
        <f t="shared" si="67"/>
        <v>#NUM!</v>
      </c>
      <c r="CX119" s="59" t="e">
        <f t="shared" si="68"/>
        <v>#NUM!</v>
      </c>
      <c r="CY119" s="59">
        <f ca="1">AVERAGE(OFFSET($CX$3,0,0,'Données projet'!$E$13+1,1))-AVERAGE(OFFSET($H$3,0,0,'Données projet'!$E$13+1,1))</f>
        <v>356.07880667298025</v>
      </c>
      <c r="CZ119" s="59">
        <f t="shared" si="96"/>
        <v>396.05161661639659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60.496584125032548</v>
      </c>
      <c r="DG119" s="21">
        <f>EXP(-LN(2)/25)*DG118+(1-EXP(-LN(2)/25))/(LN(2)/25)*Calculateur!DB119*Calculateur!DD119*VLOOKUP('Données projet'!$B$13,Paramètres!$A$1:$I$89,3,0)*0.475*44/12</f>
        <v>9.3102800244445785</v>
      </c>
      <c r="DH119" s="21">
        <f>EXP(-LN(2)/2)*DH118+(1-EXP(-LN(2)/2))/(LN(2)/2)*DB119*DE119*VLOOKUP('Données projet'!$B$13,Paramètres!$A$1:$I$89,3,0)*0.475*44/12</f>
        <v>1.2767146651013766E-7</v>
      </c>
      <c r="DI119" s="22">
        <f t="shared" si="69"/>
        <v>69.806864277148591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>
        <f>DO119*VLOOKUP('Données projet'!$B$14,Paramètres!$A$1:$I$89,3,0)*VLOOKUP('Données projet'!$B$14,Paramètres!$A$1:$I$89,5,0)</f>
        <v>0</v>
      </c>
      <c r="DQ119" s="13" t="e">
        <f t="shared" si="97"/>
        <v>#NUM!</v>
      </c>
      <c r="DR119" s="20" t="e">
        <f t="shared" si="70"/>
        <v>#NUM!</v>
      </c>
      <c r="DS119" s="59" t="e">
        <f t="shared" si="71"/>
        <v>#NUM!</v>
      </c>
      <c r="DT119" s="59">
        <f ca="1">AVERAGE(OFFSET($DS$3,0,0,'Données projet'!$E$14+1,1))-AVERAGE(OFFSET($H$3,0,0,'Données projet'!$E$14+1,1))</f>
        <v>246.11623544660486</v>
      </c>
      <c r="DU119" s="59">
        <f t="shared" si="98"/>
        <v>273.18950868898253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41.506112511423161</v>
      </c>
      <c r="EB119" s="21">
        <f>EXP(-LN(2)/25)*EB118+(1-EXP(-LN(2)/25))/(LN(2)/25)*Calculateur!DW119*Calculateur!DY119*VLOOKUP('Données projet'!$B$14,Paramètres!$A$1:$I$89,3,0)*0.475*44/12</f>
        <v>8.4565816907281288</v>
      </c>
      <c r="EC119" s="21">
        <f>EXP(-LN(2)/2)*EC118+(1-EXP(-LN(2)/2))/(LN(2)/2)*DW119*DZ119*VLOOKUP('Données projet'!$B$14,Paramètres!$A$1:$I$89,3,0)*0.475*44/12</f>
        <v>1.2131453643415408E-7</v>
      </c>
      <c r="ED119" s="22">
        <f t="shared" si="72"/>
        <v>49.962694323465826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5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67">
        <f t="shared" si="56"/>
        <v>183.33333333333334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4.2</v>
      </c>
      <c r="N120" s="13">
        <f>IF('Données projet'!$A$36&gt;35,N119+M120-V119,IF(A120&lt;'Données projet'!$A$36,$K$205^A120,IF(A120='Données projet'!$A$36,'Données projet'!$B$36,N119+M120-V119)))</f>
        <v>315.39999999999986</v>
      </c>
      <c r="O120" s="13">
        <f>N120*VLOOKUP('Données projet'!$B$9,Paramètres!$A$1:$I$89,3,0)*VLOOKUP('Données projet'!$B$9,Paramètres!$A$1:$I$89,5,0)</f>
        <v>319.81559999999985</v>
      </c>
      <c r="P120" s="13">
        <f t="shared" si="87"/>
        <v>75.314984369601916</v>
      </c>
      <c r="Q120" s="20">
        <f t="shared" si="107"/>
        <v>688.1857677770563</v>
      </c>
      <c r="R120" s="59">
        <f t="shared" si="55"/>
        <v>969.68886295816594</v>
      </c>
      <c r="S120" s="59">
        <f ca="1">AVERAGE(OFFSET($R$3,0,0,'Données projet'!$E$9+1,1))-AVERAGE(OFFSET($H$3,0,0,'Données projet'!$E$9+1,1))</f>
        <v>538.10210778862256</v>
      </c>
      <c r="T120" s="59">
        <f t="shared" si="88"/>
        <v>399.53300632021399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66.051557127591551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66.051557127591551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4.2</v>
      </c>
      <c r="AI120" s="13">
        <f>IF('Données projet'!$A$62&gt;35,AI119+AH120-AQ119,IF(A120&lt;'Données projet'!$A$62,$AF$205^A120,IF(A120='Données projet'!$A$62,'Données projet'!$B$62,AI119+AH120-AQ119)))</f>
        <v>315.39999999999986</v>
      </c>
      <c r="AJ120" s="13">
        <f>AI120*VLOOKUP('Données projet'!$B$10,Paramètres!$A$1:$I$89,3,0)*VLOOKUP('Données projet'!$B$10,Paramètres!$A$1:$I$89,5,0)</f>
        <v>329.65607999999992</v>
      </c>
      <c r="AK120" s="13">
        <f t="shared" si="89"/>
        <v>77.358999454674404</v>
      </c>
      <c r="AL120" s="20">
        <f t="shared" si="58"/>
        <v>708.884596716891</v>
      </c>
      <c r="AM120" s="59">
        <f t="shared" si="59"/>
        <v>990.38769189800064</v>
      </c>
      <c r="AN120" s="59">
        <f ca="1">AVERAGE(OFFSET($AM$3,0,0,'Données projet'!$E$10+1,1))-AVERAGE(OFFSET($H$3,0,0,'Données projet'!$E$10+1,1))</f>
        <v>552.26894123675538</v>
      </c>
      <c r="AO120" s="59">
        <f t="shared" si="90"/>
        <v>409.85604950107006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68.08391273151743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68.08391273151743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3</v>
      </c>
      <c r="BD120" s="12">
        <f>IF('Données projet'!$A$88&gt;35,BD119+BC120-BL119,IF(A120&lt;'Données projet'!$A$88,$BA$205^A120,IF(A120='Données projet'!$A$88,'Données projet'!$B$88,BD119+BC120-BL119)))</f>
        <v>211.99999999999989</v>
      </c>
      <c r="BE120" s="13">
        <f>BD120*VLOOKUP('Données projet'!$B$11,Paramètres!$A$1:$I$89,3,0)*VLOOKUP('Données projet'!$B$11,Paramètres!$A$1:$I$89,5,0)</f>
        <v>228.19679999999988</v>
      </c>
      <c r="BF120" s="13">
        <f t="shared" si="91"/>
        <v>55.892609107161952</v>
      </c>
      <c r="BG120" s="20">
        <f t="shared" si="61"/>
        <v>494.78905419497352</v>
      </c>
      <c r="BH120" s="59">
        <f t="shared" si="62"/>
        <v>776.29214937608322</v>
      </c>
      <c r="BI120" s="59">
        <f ca="1">AVERAGE(OFFSET($BH$3,0,0,'Données projet'!$E$11+1,1))-AVERAGE(OFFSET($H$3,0,0,'Données projet'!$E$11+1,1))</f>
        <v>361.24725625563468</v>
      </c>
      <c r="BJ120" s="59">
        <f t="shared" si="92"/>
        <v>186.0840067781198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31.89909905354412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31.89909905354412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3.6</v>
      </c>
      <c r="BY120" s="12">
        <f>IF('Données projet'!$A$114&gt;35,BY119+BX120-CG119,IF(A120&lt;'Données projet'!$A$114,$BV$205^A120,IF(A120='Données projet'!$A$114,'Données projet'!$B$114,BY119+BX120-CG119)))</f>
        <v>274.19999999999976</v>
      </c>
      <c r="BZ120" s="13">
        <f>BY120*VLOOKUP('Données projet'!$B$12,Paramètres!$A$1:$I$89,3,0)*VLOOKUP('Données projet'!$B$12,Paramètres!$A$1:$I$89,5,0)</f>
        <v>183.93335999999985</v>
      </c>
      <c r="CA120" s="13">
        <f t="shared" si="93"/>
        <v>46.196182305298308</v>
      </c>
      <c r="CB120" s="20">
        <f t="shared" si="64"/>
        <v>400.80895284839431</v>
      </c>
      <c r="CC120" s="59">
        <f t="shared" si="65"/>
        <v>682.31204802950401</v>
      </c>
      <c r="CD120" s="59">
        <f ca="1">AVERAGE(OFFSET($CC$3,0,0,'Données projet'!$E$12+1,1))-AVERAGE(OFFSET($H$3,0,0,'Données projet'!$E$12+1,1))</f>
        <v>323.91378047319455</v>
      </c>
      <c r="CE120" s="59">
        <f t="shared" si="94"/>
        <v>212.89889176380288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40.177344248392401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40.177344248392401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>
        <f>CT120*VLOOKUP('Données projet'!$B$13,Paramètres!$A$1:$I$89,3,0)*VLOOKUP('Données projet'!$B$13,Paramètres!$A$1:$I$89,5,0)</f>
        <v>0</v>
      </c>
      <c r="CV120" s="13" t="e">
        <f t="shared" si="95"/>
        <v>#NUM!</v>
      </c>
      <c r="CW120" s="20" t="e">
        <f t="shared" si="67"/>
        <v>#NUM!</v>
      </c>
      <c r="CX120" s="59" t="e">
        <f t="shared" si="68"/>
        <v>#NUM!</v>
      </c>
      <c r="CY120" s="59">
        <f ca="1">AVERAGE(OFFSET($CX$3,0,0,'Données projet'!$E$13+1,1))-AVERAGE(OFFSET($H$3,0,0,'Données projet'!$E$13+1,1))</f>
        <v>356.07880667298025</v>
      </c>
      <c r="CZ120" s="59">
        <f t="shared" si="96"/>
        <v>396.05161661639659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59.310283009613478</v>
      </c>
      <c r="DG120" s="21">
        <f>EXP(-LN(2)/25)*DG119+(1-EXP(-LN(2)/25))/(LN(2)/25)*Calculateur!DB120*Calculateur!DD120*VLOOKUP('Données projet'!$B$13,Paramètres!$A$1:$I$89,3,0)*0.475*44/12</f>
        <v>9.0556899275697944</v>
      </c>
      <c r="DH120" s="21">
        <f>EXP(-LN(2)/2)*DH119+(1-EXP(-LN(2)/2))/(LN(2)/2)*DB120*DE120*VLOOKUP('Données projet'!$B$13,Paramètres!$A$1:$I$89,3,0)*0.475*44/12</f>
        <v>9.0277359733349545E-8</v>
      </c>
      <c r="DI120" s="22">
        <f t="shared" si="69"/>
        <v>68.365973027460626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>
        <f>DO120*VLOOKUP('Données projet'!$B$14,Paramètres!$A$1:$I$89,3,0)*VLOOKUP('Données projet'!$B$14,Paramètres!$A$1:$I$89,5,0)</f>
        <v>0</v>
      </c>
      <c r="DQ120" s="13" t="e">
        <f t="shared" si="97"/>
        <v>#NUM!</v>
      </c>
      <c r="DR120" s="20" t="e">
        <f t="shared" si="70"/>
        <v>#NUM!</v>
      </c>
      <c r="DS120" s="59" t="e">
        <f t="shared" si="71"/>
        <v>#NUM!</v>
      </c>
      <c r="DT120" s="59">
        <f ca="1">AVERAGE(OFFSET($DS$3,0,0,'Données projet'!$E$14+1,1))-AVERAGE(OFFSET($H$3,0,0,'Données projet'!$E$14+1,1))</f>
        <v>246.11623544660486</v>
      </c>
      <c r="DU120" s="59">
        <f t="shared" si="98"/>
        <v>273.18950868898253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40.692202961303018</v>
      </c>
      <c r="EB120" s="21">
        <f>EXP(-LN(2)/25)*EB119+(1-EXP(-LN(2)/25))/(LN(2)/25)*Calculateur!DW120*Calculateur!DY120*VLOOKUP('Données projet'!$B$14,Paramètres!$A$1:$I$89,3,0)*0.475*44/12</f>
        <v>8.2253360196828655</v>
      </c>
      <c r="EC120" s="21">
        <f>EXP(-LN(2)/2)*EC119+(1-EXP(-LN(2)/2))/(LN(2)/2)*DW120*DZ120*VLOOKUP('Données projet'!$B$14,Paramètres!$A$1:$I$89,3,0)*0.475*44/12</f>
        <v>8.5782331369092836E-8</v>
      </c>
      <c r="ED120" s="22">
        <f t="shared" si="72"/>
        <v>48.917539066768214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5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67">
        <f t="shared" si="56"/>
        <v>183.33333333333334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4.2</v>
      </c>
      <c r="N121" s="13">
        <f>IF('Données projet'!$A$36&gt;35,N120+M121-V120,IF(A121&lt;'Données projet'!$A$36,$K$205^A121,IF(A121='Données projet'!$A$36,'Données projet'!$B$36,N120+M121-V120)))</f>
        <v>319.59999999999985</v>
      </c>
      <c r="O121" s="13">
        <f>N121*VLOOKUP('Données projet'!$B$9,Paramètres!$A$1:$I$89,3,0)*VLOOKUP('Données projet'!$B$9,Paramètres!$A$1:$I$89,5,0)</f>
        <v>324.07439999999991</v>
      </c>
      <c r="P121" s="13">
        <f t="shared" si="87"/>
        <v>76.200486562159924</v>
      </c>
      <c r="Q121" s="20">
        <f t="shared" si="107"/>
        <v>697.14542742909498</v>
      </c>
      <c r="R121" s="59">
        <f t="shared" si="55"/>
        <v>978.85375079369533</v>
      </c>
      <c r="S121" s="59">
        <f ca="1">AVERAGE(OFFSET($R$3,0,0,'Données projet'!$E$9+1,1))-AVERAGE(OFFSET($H$3,0,0,'Données projet'!$E$9+1,1))</f>
        <v>538.10210778862256</v>
      </c>
      <c r="T121" s="59">
        <f t="shared" si="88"/>
        <v>399.53300632021399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64.756326379791275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64.756326379791275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4.2</v>
      </c>
      <c r="AI121" s="13">
        <f>IF('Données projet'!$A$62&gt;35,AI120+AH121-AQ120,IF(A121&lt;'Données projet'!$A$62,$AF$205^A121,IF(A121='Données projet'!$A$62,'Données projet'!$B$62,AI120+AH121-AQ120)))</f>
        <v>319.59999999999985</v>
      </c>
      <c r="AJ121" s="13">
        <f>AI121*VLOOKUP('Données projet'!$B$10,Paramètres!$A$1:$I$89,3,0)*VLOOKUP('Données projet'!$B$10,Paramètres!$A$1:$I$89,5,0)</f>
        <v>334.04591999999991</v>
      </c>
      <c r="AK121" s="13">
        <f t="shared" si="89"/>
        <v>78.26853378180175</v>
      </c>
      <c r="AL121" s="20">
        <f t="shared" si="58"/>
        <v>718.11434033663784</v>
      </c>
      <c r="AM121" s="59">
        <f t="shared" si="59"/>
        <v>999.8226637012383</v>
      </c>
      <c r="AN121" s="59">
        <f ca="1">AVERAGE(OFFSET($AM$3,0,0,'Données projet'!$E$10+1,1))-AVERAGE(OFFSET($H$3,0,0,'Données projet'!$E$10+1,1))</f>
        <v>552.26894123675538</v>
      </c>
      <c r="AO121" s="59">
        <f t="shared" si="90"/>
        <v>409.85604950107006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66.74882872993868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66.74882872993868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3</v>
      </c>
      <c r="BD121" s="12">
        <f>IF('Données projet'!$A$88&gt;35,BD120+BC121-BL120,IF(A121&lt;'Données projet'!$A$88,$BA$205^A121,IF(A121='Données projet'!$A$88,'Données projet'!$B$88,BD120+BC121-BL120)))</f>
        <v>214.99999999999989</v>
      </c>
      <c r="BE121" s="13">
        <f>BD121*VLOOKUP('Données projet'!$B$11,Paramètres!$A$1:$I$89,3,0)*VLOOKUP('Données projet'!$B$11,Paramètres!$A$1:$I$89,5,0)</f>
        <v>231.42599999999987</v>
      </c>
      <c r="BF121" s="13">
        <f t="shared" si="91"/>
        <v>56.590905067453171</v>
      </c>
      <c r="BG121" s="20">
        <f t="shared" si="61"/>
        <v>501.62944299248062</v>
      </c>
      <c r="BH121" s="59">
        <f t="shared" si="62"/>
        <v>783.33776635708102</v>
      </c>
      <c r="BI121" s="59">
        <f ca="1">AVERAGE(OFFSET($BH$3,0,0,'Données projet'!$E$11+1,1))-AVERAGE(OFFSET($H$3,0,0,'Données projet'!$E$11+1,1))</f>
        <v>361.24725625563468</v>
      </c>
      <c r="BJ121" s="59">
        <f t="shared" si="92"/>
        <v>186.0840067781198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31.273577177633371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31.273577177633371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3.6</v>
      </c>
      <c r="BY121" s="12">
        <f>IF('Données projet'!$A$114&gt;35,BY120+BX121-CG120,IF(A121&lt;'Données projet'!$A$114,$BV$205^A121,IF(A121='Données projet'!$A$114,'Données projet'!$B$114,BY120+BX121-CG120)))</f>
        <v>277.79999999999978</v>
      </c>
      <c r="BZ121" s="13">
        <f>BY121*VLOOKUP('Données projet'!$B$12,Paramètres!$A$1:$I$89,3,0)*VLOOKUP('Données projet'!$B$12,Paramètres!$A$1:$I$89,5,0)</f>
        <v>186.34823999999986</v>
      </c>
      <c r="CA121" s="13">
        <f t="shared" si="93"/>
        <v>46.731690940362114</v>
      </c>
      <c r="CB121" s="20">
        <f t="shared" si="64"/>
        <v>405.9475463877971</v>
      </c>
      <c r="CC121" s="59">
        <f t="shared" si="65"/>
        <v>687.65586975239751</v>
      </c>
      <c r="CD121" s="59">
        <f ca="1">AVERAGE(OFFSET($CC$3,0,0,'Données projet'!$E$12+1,1))-AVERAGE(OFFSET($H$3,0,0,'Données projet'!$E$12+1,1))</f>
        <v>323.91378047319455</v>
      </c>
      <c r="CE121" s="59">
        <f t="shared" si="94"/>
        <v>212.89889176380288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39.389491033441672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39.389491033441672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>
        <f>CT121*VLOOKUP('Données projet'!$B$13,Paramètres!$A$1:$I$89,3,0)*VLOOKUP('Données projet'!$B$13,Paramètres!$A$1:$I$89,5,0)</f>
        <v>0</v>
      </c>
      <c r="CV121" s="13" t="e">
        <f t="shared" si="95"/>
        <v>#NUM!</v>
      </c>
      <c r="CW121" s="20" t="e">
        <f t="shared" si="67"/>
        <v>#NUM!</v>
      </c>
      <c r="CX121" s="59" t="e">
        <f t="shared" si="68"/>
        <v>#NUM!</v>
      </c>
      <c r="CY121" s="59">
        <f ca="1">AVERAGE(OFFSET($CX$3,0,0,'Données projet'!$E$13+1,1))-AVERAGE(OFFSET($H$3,0,0,'Données projet'!$E$13+1,1))</f>
        <v>356.07880667298025</v>
      </c>
      <c r="CZ121" s="59">
        <f t="shared" si="96"/>
        <v>396.05161661639659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58.147244535495538</v>
      </c>
      <c r="DG121" s="21">
        <f>EXP(-LN(2)/25)*DG120+(1-EXP(-LN(2)/25))/(LN(2)/25)*Calculateur!DB121*Calculateur!DD121*VLOOKUP('Données projet'!$B$13,Paramètres!$A$1:$I$89,3,0)*0.475*44/12</f>
        <v>8.8080616102823619</v>
      </c>
      <c r="DH121" s="21">
        <f>EXP(-LN(2)/2)*DH120+(1-EXP(-LN(2)/2))/(LN(2)/2)*DB121*DE121*VLOOKUP('Données projet'!$B$13,Paramètres!$A$1:$I$89,3,0)*0.475*44/12</f>
        <v>6.3835733255068832E-8</v>
      </c>
      <c r="DI121" s="22">
        <f t="shared" si="69"/>
        <v>66.955306209613624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>
        <f>DO121*VLOOKUP('Données projet'!$B$14,Paramètres!$A$1:$I$89,3,0)*VLOOKUP('Données projet'!$B$14,Paramètres!$A$1:$I$89,5,0)</f>
        <v>0</v>
      </c>
      <c r="DQ121" s="13" t="e">
        <f t="shared" si="97"/>
        <v>#NUM!</v>
      </c>
      <c r="DR121" s="20" t="e">
        <f t="shared" si="70"/>
        <v>#NUM!</v>
      </c>
      <c r="DS121" s="59" t="e">
        <f t="shared" si="71"/>
        <v>#NUM!</v>
      </c>
      <c r="DT121" s="59">
        <f ca="1">AVERAGE(OFFSET($DS$3,0,0,'Données projet'!$E$14+1,1))-AVERAGE(OFFSET($H$3,0,0,'Données projet'!$E$14+1,1))</f>
        <v>246.11623544660486</v>
      </c>
      <c r="DU121" s="59">
        <f t="shared" si="98"/>
        <v>273.18950868898253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39.894253681024921</v>
      </c>
      <c r="EB121" s="21">
        <f>EXP(-LN(2)/25)*EB120+(1-EXP(-LN(2)/25))/(LN(2)/25)*Calculateur!DW121*Calculateur!DY121*VLOOKUP('Données projet'!$B$14,Paramètres!$A$1:$I$89,3,0)*0.475*44/12</f>
        <v>8.0004137736730154</v>
      </c>
      <c r="EC121" s="21">
        <f>EXP(-LN(2)/2)*EC120+(1-EXP(-LN(2)/2))/(LN(2)/2)*DW121*DZ121*VLOOKUP('Données projet'!$B$14,Paramètres!$A$1:$I$89,3,0)*0.475*44/12</f>
        <v>6.0657268217077039E-8</v>
      </c>
      <c r="ED121" s="22">
        <f t="shared" si="72"/>
        <v>47.894667515355209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5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67">
        <f t="shared" si="56"/>
        <v>183.33333333333334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4.2</v>
      </c>
      <c r="N122" s="13">
        <f>IF('Données projet'!$A$36&gt;35,N121+M122-V121,IF(A122&lt;'Données projet'!$A$36,$K$205^A122,IF(A122='Données projet'!$A$36,'Données projet'!$B$36,N121+M122-V121)))</f>
        <v>323.79999999999984</v>
      </c>
      <c r="O122" s="13">
        <f>N122*VLOOKUP('Données projet'!$B$9,Paramètres!$A$1:$I$89,3,0)*VLOOKUP('Données projet'!$B$9,Paramètres!$A$1:$I$89,5,0)</f>
        <v>328.33319999999986</v>
      </c>
      <c r="P122" s="13">
        <f t="shared" si="87"/>
        <v>77.084635229848772</v>
      </c>
      <c r="Q122" s="20">
        <f t="shared" si="107"/>
        <v>706.10272969198616</v>
      </c>
      <c r="R122" s="59">
        <f t="shared" si="55"/>
        <v>988.01272098991535</v>
      </c>
      <c r="S122" s="59">
        <f ca="1">AVERAGE(OFFSET($R$3,0,0,'Données projet'!$E$9+1,1))-AVERAGE(OFFSET($H$3,0,0,'Données projet'!$E$9+1,1))</f>
        <v>538.10210778862256</v>
      </c>
      <c r="T122" s="59">
        <f t="shared" si="88"/>
        <v>399.53300632021399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63.486494316942611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63.486494316942611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4.2</v>
      </c>
      <c r="AI122" s="13">
        <f>IF('Données projet'!$A$62&gt;35,AI121+AH122-AQ121,IF(A122&lt;'Données projet'!$A$62,$AF$205^A122,IF(A122='Données projet'!$A$62,'Données projet'!$B$62,AI121+AH122-AQ121)))</f>
        <v>323.79999999999984</v>
      </c>
      <c r="AJ122" s="13">
        <f>AI122*VLOOKUP('Données projet'!$B$10,Paramètres!$A$1:$I$89,3,0)*VLOOKUP('Données projet'!$B$10,Paramètres!$A$1:$I$89,5,0)</f>
        <v>338.4357599999999</v>
      </c>
      <c r="AK122" s="13">
        <f t="shared" si="89"/>
        <v>79.176677849998555</v>
      </c>
      <c r="AL122" s="20">
        <f t="shared" si="58"/>
        <v>727.34166258874723</v>
      </c>
      <c r="AM122" s="59">
        <f t="shared" si="59"/>
        <v>1009.2516538866764</v>
      </c>
      <c r="AN122" s="59">
        <f ca="1">AVERAGE(OFFSET($AM$3,0,0,'Données projet'!$E$10+1,1))-AVERAGE(OFFSET($H$3,0,0,'Données projet'!$E$10+1,1))</f>
        <v>552.26894123675538</v>
      </c>
      <c r="AO122" s="59">
        <f t="shared" si="90"/>
        <v>409.85604950107006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65.439924911310058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65.439924911310058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3</v>
      </c>
      <c r="BD122" s="12">
        <f>IF('Données projet'!$A$88&gt;35,BD121+BC122-BL121,IF(A122&lt;'Données projet'!$A$88,$BA$205^A122,IF(A122='Données projet'!$A$88,'Données projet'!$B$88,BD121+BC122-BL121)))</f>
        <v>217.99999999999989</v>
      </c>
      <c r="BE122" s="13">
        <f>BD122*VLOOKUP('Données projet'!$B$11,Paramètres!$A$1:$I$89,3,0)*VLOOKUP('Données projet'!$B$11,Paramètres!$A$1:$I$89,5,0)</f>
        <v>234.65519999999987</v>
      </c>
      <c r="BF122" s="13">
        <f t="shared" si="91"/>
        <v>57.288067746850942</v>
      </c>
      <c r="BG122" s="20">
        <f t="shared" si="61"/>
        <v>508.46785799243179</v>
      </c>
      <c r="BH122" s="59">
        <f t="shared" si="62"/>
        <v>790.37784929036093</v>
      </c>
      <c r="BI122" s="59">
        <f ca="1">AVERAGE(OFFSET($BH$3,0,0,'Données projet'!$E$11+1,1))-AVERAGE(OFFSET($H$3,0,0,'Données projet'!$E$11+1,1))</f>
        <v>361.24725625563468</v>
      </c>
      <c r="BJ122" s="59">
        <f t="shared" si="92"/>
        <v>186.0840067781198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30.660321404178561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30.660321404178561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3.6</v>
      </c>
      <c r="BY122" s="12">
        <f>IF('Données projet'!$A$114&gt;35,BY121+BX122-CG121,IF(A122&lt;'Données projet'!$A$114,$BV$205^A122,IF(A122='Données projet'!$A$114,'Données projet'!$B$114,BY121+BX122-CG121)))</f>
        <v>281.39999999999981</v>
      </c>
      <c r="BZ122" s="13">
        <f>BY122*VLOOKUP('Données projet'!$B$12,Paramètres!$A$1:$I$89,3,0)*VLOOKUP('Données projet'!$B$12,Paramètres!$A$1:$I$89,5,0)</f>
        <v>188.76311999999987</v>
      </c>
      <c r="CA122" s="13">
        <f t="shared" si="93"/>
        <v>47.266392386745324</v>
      </c>
      <c r="CB122" s="20">
        <f t="shared" si="64"/>
        <v>411.08473407358116</v>
      </c>
      <c r="CC122" s="59">
        <f t="shared" si="65"/>
        <v>692.9947253715103</v>
      </c>
      <c r="CD122" s="59">
        <f ca="1">AVERAGE(OFFSET($CC$3,0,0,'Données projet'!$E$12+1,1))-AVERAGE(OFFSET($H$3,0,0,'Données projet'!$E$12+1,1))</f>
        <v>323.91378047319455</v>
      </c>
      <c r="CE122" s="59">
        <f t="shared" si="94"/>
        <v>212.89889176380288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38.617087139493115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38.617087139493115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>
        <f>CT122*VLOOKUP('Données projet'!$B$13,Paramètres!$A$1:$I$89,3,0)*VLOOKUP('Données projet'!$B$13,Paramètres!$A$1:$I$89,5,0)</f>
        <v>0</v>
      </c>
      <c r="CV122" s="13" t="e">
        <f t="shared" si="95"/>
        <v>#NUM!</v>
      </c>
      <c r="CW122" s="20" t="e">
        <f t="shared" si="67"/>
        <v>#NUM!</v>
      </c>
      <c r="CX122" s="59" t="e">
        <f t="shared" si="68"/>
        <v>#NUM!</v>
      </c>
      <c r="CY122" s="59">
        <f ca="1">AVERAGE(OFFSET($CX$3,0,0,'Données projet'!$E$13+1,1))-AVERAGE(OFFSET($H$3,0,0,'Données projet'!$E$13+1,1))</f>
        <v>356.07880667298025</v>
      </c>
      <c r="CZ122" s="59">
        <f t="shared" si="96"/>
        <v>396.05161661639659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57.007012536471628</v>
      </c>
      <c r="DG122" s="21">
        <f>EXP(-LN(2)/25)*DG121+(1-EXP(-LN(2)/25))/(LN(2)/25)*Calculateur!DB122*Calculateur!DD122*VLOOKUP('Données projet'!$B$13,Paramètres!$A$1:$I$89,3,0)*0.475*44/12</f>
        <v>8.5672047023533615</v>
      </c>
      <c r="DH122" s="21">
        <f>EXP(-LN(2)/2)*DH121+(1-EXP(-LN(2)/2))/(LN(2)/2)*DB122*DE122*VLOOKUP('Données projet'!$B$13,Paramètres!$A$1:$I$89,3,0)*0.475*44/12</f>
        <v>4.5138679866674773E-8</v>
      </c>
      <c r="DI122" s="22">
        <f t="shared" si="69"/>
        <v>65.574217283963662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>
        <f>DO122*VLOOKUP('Données projet'!$B$14,Paramètres!$A$1:$I$89,3,0)*VLOOKUP('Données projet'!$B$14,Paramètres!$A$1:$I$89,5,0)</f>
        <v>0</v>
      </c>
      <c r="DQ122" s="13" t="e">
        <f t="shared" si="97"/>
        <v>#NUM!</v>
      </c>
      <c r="DR122" s="20" t="e">
        <f t="shared" si="70"/>
        <v>#NUM!</v>
      </c>
      <c r="DS122" s="59" t="e">
        <f t="shared" si="71"/>
        <v>#NUM!</v>
      </c>
      <c r="DT122" s="59">
        <f ca="1">AVERAGE(OFFSET($DS$3,0,0,'Données projet'!$E$14+1,1))-AVERAGE(OFFSET($H$3,0,0,'Données projet'!$E$14+1,1))</f>
        <v>246.11623544660486</v>
      </c>
      <c r="DU122" s="59">
        <f t="shared" si="98"/>
        <v>273.18950868898253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39.111951699432076</v>
      </c>
      <c r="EB122" s="21">
        <f>EXP(-LN(2)/25)*EB121+(1-EXP(-LN(2)/25))/(LN(2)/25)*Calculateur!DW122*Calculateur!DY122*VLOOKUP('Données projet'!$B$14,Paramètres!$A$1:$I$89,3,0)*0.475*44/12</f>
        <v>7.7816420383084512</v>
      </c>
      <c r="EC122" s="21">
        <f>EXP(-LN(2)/2)*EC121+(1-EXP(-LN(2)/2))/(LN(2)/2)*DW122*DZ122*VLOOKUP('Données projet'!$B$14,Paramètres!$A$1:$I$89,3,0)*0.475*44/12</f>
        <v>4.2891165684546418E-8</v>
      </c>
      <c r="ED122" s="22">
        <f t="shared" si="72"/>
        <v>46.893593780631697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5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67">
        <f t="shared" si="56"/>
        <v>183.33333333333334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>
        <f>VLOOKUP(A123,'Données projet'!$A$35:$I$55,2,0)</f>
        <v>328</v>
      </c>
      <c r="L123" s="12">
        <f>VLOOKUP(A123,'Données projet'!$A$35:$I$55,9,0)</f>
        <v>4.2</v>
      </c>
      <c r="M123" s="12">
        <f t="array" ref="M123">INDEX(L:L,MIN(IF(ISNUMBER(L123:L319),ROW(L123:L319),"")))</f>
        <v>4.2</v>
      </c>
      <c r="N123" s="13">
        <f>IF('Données projet'!$A$36&gt;35,N122+M123-V122,IF(A123&lt;'Données projet'!$A$36,$K$205^A123,IF(A123='Données projet'!$A$36,'Données projet'!$B$36,N122+M123-V122)))</f>
        <v>327.99999999999983</v>
      </c>
      <c r="O123" s="13">
        <f>N123*VLOOKUP('Données projet'!$B$9,Paramètres!$A$1:$I$89,3,0)*VLOOKUP('Données projet'!$B$9,Paramètres!$A$1:$I$89,5,0)</f>
        <v>332.59199999999987</v>
      </c>
      <c r="P123" s="13">
        <f t="shared" si="87"/>
        <v>77.967449959094594</v>
      </c>
      <c r="Q123" s="20">
        <f t="shared" si="107"/>
        <v>715.05770867875617</v>
      </c>
      <c r="R123" s="59">
        <f t="shared" si="55"/>
        <v>997.16586942223284</v>
      </c>
      <c r="S123" s="59">
        <f ca="1">AVERAGE(OFFSET($R$3,0,0,'Données projet'!$E$9+1,1))-AVERAGE(OFFSET($H$3,0,0,'Données projet'!$E$9+1,1))</f>
        <v>538.10210778862256</v>
      </c>
      <c r="T123" s="59">
        <f t="shared" si="88"/>
        <v>399.53300632021399</v>
      </c>
      <c r="U123" s="15">
        <f>IF(ISNA(VLOOKUP(A123,'Données projet'!$A$35:$I$55,3,0)),0,VLOOKUP(A123,'Données projet'!$A$35:$I$55,3,0))</f>
        <v>21</v>
      </c>
      <c r="V123" s="15">
        <f>IF(ISNA(VLOOKUP(A123,'Données projet'!$A$35:$I$55,4,0)),0,VLOOKUP(A123,'Données projet'!$A$35:$I$55,4,0))</f>
        <v>328</v>
      </c>
      <c r="W123" s="16">
        <f>IF(ISNA(VLOOKUP(A123,'Données projet'!$A$35:$I$55,5,0)),0%,VLOOKUP(A123,'Données projet'!$A$35:$I$55,5,0)*VLOOKUP('Données projet'!$B$9,Paramètres!$A$1:$I$89,7,0))</f>
        <v>0.38700000000000001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204.53008681606946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204.53008681606946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>
        <f>VLOOKUP(A123,'Données projet'!$A$61:$I$81,2,0)</f>
        <v>328</v>
      </c>
      <c r="AG123" s="12">
        <f>VLOOKUP(A123,'Données projet'!$A$61:$I$81,9,0)</f>
        <v>4.2</v>
      </c>
      <c r="AH123" s="12">
        <f t="array" ref="AH123">INDEX(AG:AG,MIN(IF(ISNUMBER(AG123:AG319),ROW(AG123:AG319),"")))</f>
        <v>4.2</v>
      </c>
      <c r="AI123" s="13">
        <f>IF('Données projet'!$A$62&gt;35,AI122+AH123-AQ122,IF(A123&lt;'Données projet'!$A$62,$AF$205^A123,IF(A123='Données projet'!$A$62,'Données projet'!$B$62,AI122+AH123-AQ122)))</f>
        <v>327.99999999999983</v>
      </c>
      <c r="AJ123" s="13">
        <f>AI123*VLOOKUP('Données projet'!$B$10,Paramètres!$A$1:$I$89,3,0)*VLOOKUP('Données projet'!$B$10,Paramètres!$A$1:$I$89,5,0)</f>
        <v>342.82559999999984</v>
      </c>
      <c r="AK123" s="13">
        <f t="shared" si="89"/>
        <v>80.083451777257963</v>
      </c>
      <c r="AL123" s="20">
        <f t="shared" si="58"/>
        <v>736.56659851205734</v>
      </c>
      <c r="AM123" s="59">
        <f t="shared" si="59"/>
        <v>1018.6747592555339</v>
      </c>
      <c r="AN123" s="59">
        <f ca="1">AVERAGE(OFFSET($AM$3,0,0,'Données projet'!$E$10+1,1))-AVERAGE(OFFSET($H$3,0,0,'Données projet'!$E$10+1,1))</f>
        <v>552.26894123675538</v>
      </c>
      <c r="AO123" s="59">
        <f t="shared" si="90"/>
        <v>409.85604950107006</v>
      </c>
      <c r="AP123" s="15">
        <f>IF(ISNA(VLOOKUP(A123,'Données projet'!$A$61:$I$81,3,0)),0,VLOOKUP(A123,'Données projet'!$A$61:$I$81,3,0))</f>
        <v>21</v>
      </c>
      <c r="AQ123" s="15">
        <f>IF(ISNA(VLOOKUP(A123,'Données projet'!$A$61:$I$81,4,0)),0,VLOOKUP(A123,'Données projet'!$A$61:$I$81,4,0))</f>
        <v>328</v>
      </c>
      <c r="AR123" s="16">
        <f>IF(ISNA(VLOOKUP(A123,'Données projet'!$A$61:$I$81,5,0)),0%,VLOOKUP(A123,'Données projet'!$A$61:$I$81,5,0)*VLOOKUP('Données projet'!$B$10,Paramètres!$A$1:$I$89,7,0))</f>
        <v>0.38700000000000001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210.82332025656387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210.82332025656387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>
        <f>VLOOKUP(A123,'Données projet'!$A$87:$I$107,2,0)</f>
        <v>221</v>
      </c>
      <c r="BB123" s="12">
        <f>VLOOKUP(A123,'Données projet'!$A$87:$I$107,9,0)</f>
        <v>3</v>
      </c>
      <c r="BC123" s="12">
        <f t="array" ref="BC123">INDEX(BB:BB,MIN(IF(ISNUMBER(BB123:BB319),ROW(BB123:BB319),"")))</f>
        <v>3</v>
      </c>
      <c r="BD123" s="12">
        <f>IF('Données projet'!$A$88&gt;35,BD122+BC123-BL122,IF(A123&lt;'Données projet'!$A$88,$BA$205^A123,IF(A123='Données projet'!$A$88,'Données projet'!$B$88,BD122+BC123-BL122)))</f>
        <v>220.99999999999989</v>
      </c>
      <c r="BE123" s="13">
        <f>BD123*VLOOKUP('Données projet'!$B$11,Paramètres!$A$1:$I$89,3,0)*VLOOKUP('Données projet'!$B$11,Paramètres!$A$1:$I$89,5,0)</f>
        <v>237.88439999999989</v>
      </c>
      <c r="BF123" s="13">
        <f t="shared" si="91"/>
        <v>57.984114543460535</v>
      </c>
      <c r="BG123" s="20">
        <f t="shared" si="61"/>
        <v>515.30432949652698</v>
      </c>
      <c r="BH123" s="59">
        <f t="shared" si="62"/>
        <v>797.41249024000354</v>
      </c>
      <c r="BI123" s="59">
        <f ca="1">AVERAGE(OFFSET($BH$3,0,0,'Données projet'!$E$11+1,1))-AVERAGE(OFFSET($H$3,0,0,'Données projet'!$E$11+1,1))</f>
        <v>361.24725625563468</v>
      </c>
      <c r="BJ123" s="59">
        <f t="shared" si="92"/>
        <v>186.0840067781198</v>
      </c>
      <c r="BK123" s="15">
        <f>IF(ISNA(VLOOKUP(A123,'Données projet'!$A$87:$I$107,3,0)),0,VLOOKUP(A123,'Données projet'!$A$87:$I$107,3,0))</f>
        <v>20</v>
      </c>
      <c r="BL123" s="15">
        <f>IF(ISNA(VLOOKUP(A123,'Données projet'!$A$87:$I$107,4,0)),0,VLOOKUP(A123,'Données projet'!$A$87:$I$107,4,0))</f>
        <v>221</v>
      </c>
      <c r="BM123" s="16">
        <f>IF(ISNA(VLOOKUP(A123,'Données projet'!$A$87:$I$107,5,0)),0%,VLOOKUP(A123,'Données projet'!$A$87:$I$107,5,0)*VLOOKUP('Données projet'!$B$11,Paramètres!$A$1:$I$89,7,0))</f>
        <v>0.34400000000000003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120.52220153821315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120.52220153821315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>
        <f>VLOOKUP(A123,'Données projet'!$A$113:$I$133,2,0)</f>
        <v>285</v>
      </c>
      <c r="BW123" s="12">
        <f>VLOOKUP(A123,'Données projet'!$A$113:$I$133,9,0)</f>
        <v>3.6</v>
      </c>
      <c r="BX123" s="12">
        <f t="array" ref="BX123">INDEX(BW:BW,MIN(IF(ISNUMBER(BW123:BW319),ROW(BW123:BW319),"")))</f>
        <v>3.6</v>
      </c>
      <c r="BY123" s="12">
        <f>IF('Données projet'!$A$114&gt;35,BY122+BX123-CG122,IF(A123&lt;'Données projet'!$A$114,$BV$205^A123,IF(A123='Données projet'!$A$114,'Données projet'!$B$114,BY122+BX123-CG122)))</f>
        <v>284.99999999999983</v>
      </c>
      <c r="BZ123" s="13">
        <f>BY123*VLOOKUP('Données projet'!$B$12,Paramètres!$A$1:$I$89,3,0)*VLOOKUP('Données projet'!$B$12,Paramètres!$A$1:$I$89,5,0)</f>
        <v>191.17799999999988</v>
      </c>
      <c r="CA123" s="13">
        <f t="shared" si="93"/>
        <v>47.80029816501365</v>
      </c>
      <c r="CB123" s="20">
        <f t="shared" si="64"/>
        <v>416.22053597073187</v>
      </c>
      <c r="CC123" s="59">
        <f t="shared" si="65"/>
        <v>698.32869671420849</v>
      </c>
      <c r="CD123" s="59">
        <f ca="1">AVERAGE(OFFSET($CC$3,0,0,'Données projet'!$E$12+1,1))-AVERAGE(OFFSET($H$3,0,0,'Données projet'!$E$12+1,1))</f>
        <v>323.91378047319455</v>
      </c>
      <c r="CE123" s="59">
        <f t="shared" si="94"/>
        <v>212.89889176380288</v>
      </c>
      <c r="CF123" s="15">
        <f>IF(ISNA(VLOOKUP(A123,'Données projet'!$A$113:$I$133,3,0)),0,VLOOKUP(A123,'Données projet'!$A$113:$I$133,3,0))</f>
        <v>21</v>
      </c>
      <c r="CG123" s="15">
        <f>IF(ISNA(VLOOKUP(A123,'Données projet'!$A$113:$I$133,4,0)),0,VLOOKUP(A123,'Données projet'!$A$113:$I$133,4,0))</f>
        <v>285</v>
      </c>
      <c r="CH123" s="16">
        <f>IF(ISNA(VLOOKUP(A123,'Données projet'!$A$113:$I$133,5,0)),0%,VLOOKUP(A123,'Données projet'!$A$113:$I$133,5,0)*VLOOKUP('Données projet'!$B$12,Paramètres!$A$1:$I$89,7,0))</f>
        <v>0.42400000000000004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127.46867489136559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127.46867489136559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>
        <f>CT123*VLOOKUP('Données projet'!$B$13,Paramètres!$A$1:$I$89,3,0)*VLOOKUP('Données projet'!$B$13,Paramètres!$A$1:$I$89,5,0)</f>
        <v>0</v>
      </c>
      <c r="CV123" s="13" t="e">
        <f t="shared" si="95"/>
        <v>#NUM!</v>
      </c>
      <c r="CW123" s="20" t="e">
        <f t="shared" si="67"/>
        <v>#NUM!</v>
      </c>
      <c r="CX123" s="59" t="e">
        <f t="shared" si="68"/>
        <v>#NUM!</v>
      </c>
      <c r="CY123" s="59">
        <f ca="1">AVERAGE(OFFSET($CX$3,0,0,'Données projet'!$E$13+1,1))-AVERAGE(OFFSET($H$3,0,0,'Données projet'!$E$13+1,1))</f>
        <v>356.07880667298025</v>
      </c>
      <c r="CZ123" s="59">
        <f t="shared" si="96"/>
        <v>396.05161661639659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55.889139791475728</v>
      </c>
      <c r="DG123" s="21">
        <f>EXP(-LN(2)/25)*DG122+(1-EXP(-LN(2)/25))/(LN(2)/25)*Calculateur!DB123*Calculateur!DD123*VLOOKUP('Données projet'!$B$13,Paramètres!$A$1:$I$89,3,0)*0.475*44/12</f>
        <v>8.3329340392377933</v>
      </c>
      <c r="DH123" s="21">
        <f>EXP(-LN(2)/2)*DH122+(1-EXP(-LN(2)/2))/(LN(2)/2)*DB123*DE123*VLOOKUP('Données projet'!$B$13,Paramètres!$A$1:$I$89,3,0)*0.475*44/12</f>
        <v>3.1917866627534416E-8</v>
      </c>
      <c r="DI123" s="22">
        <f t="shared" si="69"/>
        <v>64.22207386263139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>
        <f>DO123*VLOOKUP('Données projet'!$B$14,Paramètres!$A$1:$I$89,3,0)*VLOOKUP('Données projet'!$B$14,Paramètres!$A$1:$I$89,5,0)</f>
        <v>0</v>
      </c>
      <c r="DQ123" s="13" t="e">
        <f t="shared" si="97"/>
        <v>#NUM!</v>
      </c>
      <c r="DR123" s="20" t="e">
        <f t="shared" si="70"/>
        <v>#NUM!</v>
      </c>
      <c r="DS123" s="59" t="e">
        <f t="shared" si="71"/>
        <v>#NUM!</v>
      </c>
      <c r="DT123" s="59">
        <f ca="1">AVERAGE(OFFSET($DS$3,0,0,'Données projet'!$E$14+1,1))-AVERAGE(OFFSET($H$3,0,0,'Données projet'!$E$14+1,1))</f>
        <v>246.11623544660486</v>
      </c>
      <c r="DU123" s="59">
        <f t="shared" si="98"/>
        <v>273.18950868898253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38.344990182541174</v>
      </c>
      <c r="EB123" s="21">
        <f>EXP(-LN(2)/25)*EB122+(1-EXP(-LN(2)/25))/(LN(2)/25)*Calculateur!DW123*Calculateur!DY123*VLOOKUP('Données projet'!$B$14,Paramètres!$A$1:$I$89,3,0)*0.475*44/12</f>
        <v>7.5688526275521371</v>
      </c>
      <c r="EC123" s="21">
        <f>EXP(-LN(2)/2)*EC122+(1-EXP(-LN(2)/2))/(LN(2)/2)*DW123*DZ123*VLOOKUP('Données projet'!$B$14,Paramètres!$A$1:$I$89,3,0)*0.475*44/12</f>
        <v>3.032863410853852E-8</v>
      </c>
      <c r="ED123" s="22">
        <f t="shared" si="72"/>
        <v>45.91384284042195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5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67">
        <f t="shared" si="56"/>
        <v>183.33333333333334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-1.7053025658242404E-13</v>
      </c>
      <c r="O124" s="13">
        <f>N124*VLOOKUP('Données projet'!$B$9,Paramètres!$A$1:$I$89,3,0)*VLOOKUP('Données projet'!$B$9,Paramètres!$A$1:$I$89,5,0)</f>
        <v>-1.72917680174578E-13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538.10210778862256</v>
      </c>
      <c r="T124" s="59">
        <f t="shared" si="88"/>
        <v>399.53300632021399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200.51937656464116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200.51937656464116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-1.7053025658242404E-13</v>
      </c>
      <c r="AJ124" s="13">
        <f>AI124*VLOOKUP('Données projet'!$B$10,Paramètres!$A$1:$I$89,3,0)*VLOOKUP('Données projet'!$B$10,Paramètres!$A$1:$I$89,5,0)</f>
        <v>-1.7823822417994965E-13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552.26894123675538</v>
      </c>
      <c r="AO124" s="59">
        <f t="shared" si="90"/>
        <v>409.85604950107006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206.68920353586086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206.68920353586086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-1.1368683772161603E-13</v>
      </c>
      <c r="BE124" s="13">
        <f>BD124*VLOOKUP('Données projet'!$B$11,Paramètres!$A$1:$I$89,3,0)*VLOOKUP('Données projet'!$B$11,Paramètres!$A$1:$I$89,5,0)</f>
        <v>-1.223725121235475E-13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361.24725625563468</v>
      </c>
      <c r="BJ124" s="59">
        <f t="shared" si="92"/>
        <v>186.0840067781198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118.15883467733309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118.15883467733309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-1.7053025658242404E-13</v>
      </c>
      <c r="BZ124" s="13">
        <f>BY124*VLOOKUP('Données projet'!$B$12,Paramètres!$A$1:$I$89,3,0)*VLOOKUP('Données projet'!$B$12,Paramètres!$A$1:$I$89,5,0)</f>
        <v>-1.1439169611549005E-13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323.91378047319455</v>
      </c>
      <c r="CE124" s="59">
        <f t="shared" si="94"/>
        <v>212.89889176380288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124.96909192496059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124.96909192496059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>
        <f>CT124*VLOOKUP('Données projet'!$B$13,Paramètres!$A$1:$I$89,3,0)*VLOOKUP('Données projet'!$B$13,Paramètres!$A$1:$I$89,5,0)</f>
        <v>0</v>
      </c>
      <c r="CV124" s="13" t="e">
        <f t="shared" si="95"/>
        <v>#NUM!</v>
      </c>
      <c r="CW124" s="20" t="e">
        <f t="shared" si="67"/>
        <v>#NUM!</v>
      </c>
      <c r="CX124" s="59" t="e">
        <f t="shared" si="68"/>
        <v>#NUM!</v>
      </c>
      <c r="CY124" s="59">
        <f ca="1">AVERAGE(OFFSET($CX$3,0,0,'Données projet'!$E$13+1,1))-AVERAGE(OFFSET($H$3,0,0,'Données projet'!$E$13+1,1))</f>
        <v>356.07880667298025</v>
      </c>
      <c r="CZ124" s="59">
        <f t="shared" si="96"/>
        <v>396.05161661639659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54.793187849174153</v>
      </c>
      <c r="DG124" s="21">
        <f>EXP(-LN(2)/25)*DG123+(1-EXP(-LN(2)/25))/(LN(2)/25)*Calculateur!DB124*Calculateur!DD124*VLOOKUP('Données projet'!$B$13,Paramètres!$A$1:$I$89,3,0)*0.475*44/12</f>
        <v>8.1050695197248803</v>
      </c>
      <c r="DH124" s="21">
        <f>EXP(-LN(2)/2)*DH123+(1-EXP(-LN(2)/2))/(LN(2)/2)*DB124*DE124*VLOOKUP('Données projet'!$B$13,Paramètres!$A$1:$I$89,3,0)*0.475*44/12</f>
        <v>2.2569339933337386E-8</v>
      </c>
      <c r="DI124" s="22">
        <f t="shared" si="69"/>
        <v>62.89825739146837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>
        <f>DO124*VLOOKUP('Données projet'!$B$14,Paramètres!$A$1:$I$89,3,0)*VLOOKUP('Données projet'!$B$14,Paramètres!$A$1:$I$89,5,0)</f>
        <v>0</v>
      </c>
      <c r="DQ124" s="13" t="e">
        <f t="shared" si="97"/>
        <v>#NUM!</v>
      </c>
      <c r="DR124" s="20" t="e">
        <f t="shared" si="70"/>
        <v>#NUM!</v>
      </c>
      <c r="DS124" s="59" t="e">
        <f t="shared" si="71"/>
        <v>#NUM!</v>
      </c>
      <c r="DT124" s="59">
        <f ca="1">AVERAGE(OFFSET($DS$3,0,0,'Données projet'!$E$14+1,1))-AVERAGE(OFFSET($H$3,0,0,'Données projet'!$E$14+1,1))</f>
        <v>246.11623544660486</v>
      </c>
      <c r="DU124" s="59">
        <f t="shared" si="98"/>
        <v>273.18950868898253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37.59306831319617</v>
      </c>
      <c r="EB124" s="21">
        <f>EXP(-LN(2)/25)*EB123+(1-EXP(-LN(2)/25))/(LN(2)/25)*Calculateur!DW124*Calculateur!DY124*VLOOKUP('Données projet'!$B$14,Paramètres!$A$1:$I$89,3,0)*0.475*44/12</f>
        <v>7.3618819544230627</v>
      </c>
      <c r="EC124" s="21">
        <f>EXP(-LN(2)/2)*EC123+(1-EXP(-LN(2)/2))/(LN(2)/2)*DW124*DZ124*VLOOKUP('Données projet'!$B$14,Paramètres!$A$1:$I$89,3,0)*0.475*44/12</f>
        <v>2.1445582842273209E-8</v>
      </c>
      <c r="ED124" s="22">
        <f t="shared" si="72"/>
        <v>44.954950289064811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5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67">
        <f t="shared" si="56"/>
        <v>183.33333333333334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-1.7053025658242404E-13</v>
      </c>
      <c r="O125" s="13">
        <f>N125*VLOOKUP('Données projet'!$B$9,Paramètres!$A$1:$I$89,3,0)*VLOOKUP('Données projet'!$B$9,Paramètres!$A$1:$I$89,5,0)</f>
        <v>-1.72917680174578E-13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538.10210778862256</v>
      </c>
      <c r="T125" s="59">
        <f t="shared" si="88"/>
        <v>399.53300632021399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196.58731389495168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196.58731389495168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-1.7053025658242404E-13</v>
      </c>
      <c r="AJ125" s="13">
        <f>AI125*VLOOKUP('Données projet'!$B$10,Paramètres!$A$1:$I$89,3,0)*VLOOKUP('Données projet'!$B$10,Paramètres!$A$1:$I$89,5,0)</f>
        <v>-1.7823822417994965E-13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552.26894123675538</v>
      </c>
      <c r="AO125" s="59">
        <f t="shared" si="90"/>
        <v>409.85604950107006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202.63615432248861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202.63615432248861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-1.1368683772161603E-13</v>
      </c>
      <c r="BE125" s="13">
        <f>BD125*VLOOKUP('Données projet'!$B$11,Paramètres!$A$1:$I$89,3,0)*VLOOKUP('Données projet'!$B$11,Paramètres!$A$1:$I$89,5,0)</f>
        <v>-1.223725121235475E-13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361.24725625563468</v>
      </c>
      <c r="BJ125" s="59">
        <f t="shared" si="92"/>
        <v>186.0840067781198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115.84181199908345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115.84181199908345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-1.7053025658242404E-13</v>
      </c>
      <c r="BZ125" s="13">
        <f>BY125*VLOOKUP('Données projet'!$B$12,Paramètres!$A$1:$I$89,3,0)*VLOOKUP('Données projet'!$B$12,Paramètres!$A$1:$I$89,5,0)</f>
        <v>-1.1439169611549005E-13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323.91378047319455</v>
      </c>
      <c r="CE125" s="59">
        <f t="shared" si="94"/>
        <v>212.89889176380288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122.51852425593174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122.51852425593174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>
        <f>CT125*VLOOKUP('Données projet'!$B$13,Paramètres!$A$1:$I$89,3,0)*VLOOKUP('Données projet'!$B$13,Paramètres!$A$1:$I$89,5,0)</f>
        <v>0</v>
      </c>
      <c r="CV125" s="13" t="e">
        <f t="shared" si="95"/>
        <v>#NUM!</v>
      </c>
      <c r="CW125" s="20" t="e">
        <f t="shared" si="67"/>
        <v>#NUM!</v>
      </c>
      <c r="CX125" s="59" t="e">
        <f t="shared" si="68"/>
        <v>#NUM!</v>
      </c>
      <c r="CY125" s="59">
        <f ca="1">AVERAGE(OFFSET($CX$3,0,0,'Données projet'!$E$13+1,1))-AVERAGE(OFFSET($H$3,0,0,'Données projet'!$E$13+1,1))</f>
        <v>356.07880667298025</v>
      </c>
      <c r="CZ125" s="59">
        <f t="shared" si="96"/>
        <v>396.05161661639659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53.718726855996429</v>
      </c>
      <c r="DG125" s="21">
        <f>EXP(-LN(2)/25)*DG124+(1-EXP(-LN(2)/25))/(LN(2)/25)*Calculateur!DB125*Calculateur!DD125*VLOOKUP('Données projet'!$B$13,Paramètres!$A$1:$I$89,3,0)*0.475*44/12</f>
        <v>7.8834359674809216</v>
      </c>
      <c r="DH125" s="21">
        <f>EXP(-LN(2)/2)*DH124+(1-EXP(-LN(2)/2))/(LN(2)/2)*DB125*DE125*VLOOKUP('Données projet'!$B$13,Paramètres!$A$1:$I$89,3,0)*0.475*44/12</f>
        <v>1.5958933313767208E-8</v>
      </c>
      <c r="DI125" s="22">
        <f t="shared" si="69"/>
        <v>61.602162839436282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>
        <f>DO125*VLOOKUP('Données projet'!$B$14,Paramètres!$A$1:$I$89,3,0)*VLOOKUP('Données projet'!$B$14,Paramètres!$A$1:$I$89,5,0)</f>
        <v>0</v>
      </c>
      <c r="DQ125" s="13" t="e">
        <f t="shared" si="97"/>
        <v>#NUM!</v>
      </c>
      <c r="DR125" s="20" t="e">
        <f t="shared" si="70"/>
        <v>#NUM!</v>
      </c>
      <c r="DS125" s="59" t="e">
        <f t="shared" si="71"/>
        <v>#NUM!</v>
      </c>
      <c r="DT125" s="59">
        <f ca="1">AVERAGE(OFFSET($DS$3,0,0,'Données projet'!$E$14+1,1))-AVERAGE(OFFSET($H$3,0,0,'Données projet'!$E$14+1,1))</f>
        <v>246.11623544660486</v>
      </c>
      <c r="DU125" s="59">
        <f t="shared" si="98"/>
        <v>273.18950868898253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36.855891173081964</v>
      </c>
      <c r="EB125" s="21">
        <f>EXP(-LN(2)/25)*EB124+(1-EXP(-LN(2)/25))/(LN(2)/25)*Calculateur!DW125*Calculateur!DY125*VLOOKUP('Données projet'!$B$14,Paramètres!$A$1:$I$89,3,0)*0.475*44/12</f>
        <v>7.1605709052348177</v>
      </c>
      <c r="EC125" s="21">
        <f>EXP(-LN(2)/2)*EC124+(1-EXP(-LN(2)/2))/(LN(2)/2)*DW125*DZ125*VLOOKUP('Données projet'!$B$14,Paramètres!$A$1:$I$89,3,0)*0.475*44/12</f>
        <v>1.516431705426926E-8</v>
      </c>
      <c r="ED125" s="22">
        <f t="shared" si="72"/>
        <v>44.016462093481103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5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67">
        <f t="shared" si="56"/>
        <v>183.33333333333334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-1.7053025658242404E-13</v>
      </c>
      <c r="O126" s="13">
        <f>N126*VLOOKUP('Données projet'!$B$9,Paramètres!$A$1:$I$89,3,0)*VLOOKUP('Données projet'!$B$9,Paramètres!$A$1:$I$89,5,0)</f>
        <v>-1.72917680174578E-13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538.10210778862256</v>
      </c>
      <c r="T126" s="59">
        <f t="shared" si="88"/>
        <v>399.53300632021399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192.73235657589336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192.73235657589336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-1.7053025658242404E-13</v>
      </c>
      <c r="AJ126" s="13">
        <f>AI126*VLOOKUP('Données projet'!$B$10,Paramètres!$A$1:$I$89,3,0)*VLOOKUP('Données projet'!$B$10,Paramètres!$A$1:$I$89,5,0)</f>
        <v>-1.7823822417994965E-13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552.26894123675538</v>
      </c>
      <c r="AO126" s="59">
        <f t="shared" si="90"/>
        <v>409.85604950107006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198.66258293207466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198.66258293207466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-1.1368683772161603E-13</v>
      </c>
      <c r="BE126" s="13">
        <f>BD126*VLOOKUP('Données projet'!$B$11,Paramètres!$A$1:$I$89,3,0)*VLOOKUP('Données projet'!$B$11,Paramètres!$A$1:$I$89,5,0)</f>
        <v>-1.223725121235475E-13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361.24725625563468</v>
      </c>
      <c r="BJ126" s="59">
        <f t="shared" si="92"/>
        <v>186.0840067781198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113.57022472230999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113.57022472230999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-1.7053025658242404E-13</v>
      </c>
      <c r="BZ126" s="13">
        <f>BY126*VLOOKUP('Données projet'!$B$12,Paramètres!$A$1:$I$89,3,0)*VLOOKUP('Données projet'!$B$12,Paramètres!$A$1:$I$89,5,0)</f>
        <v>-1.1439169611549005E-13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323.91378047319455</v>
      </c>
      <c r="CE126" s="59">
        <f t="shared" si="94"/>
        <v>212.89889176380288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120.11601072419384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120.11601072419384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>
        <f>CT126*VLOOKUP('Données projet'!$B$13,Paramètres!$A$1:$I$89,3,0)*VLOOKUP('Données projet'!$B$13,Paramètres!$A$1:$I$89,5,0)</f>
        <v>0</v>
      </c>
      <c r="CV126" s="13" t="e">
        <f t="shared" si="95"/>
        <v>#NUM!</v>
      </c>
      <c r="CW126" s="20" t="e">
        <f t="shared" si="67"/>
        <v>#NUM!</v>
      </c>
      <c r="CX126" s="59" t="e">
        <f t="shared" si="68"/>
        <v>#NUM!</v>
      </c>
      <c r="CY126" s="59">
        <f ca="1">AVERAGE(OFFSET($CX$3,0,0,'Données projet'!$E$13+1,1))-AVERAGE(OFFSET($H$3,0,0,'Données projet'!$E$13+1,1))</f>
        <v>356.07880667298025</v>
      </c>
      <c r="CZ126" s="59">
        <f t="shared" si="96"/>
        <v>396.05161661639659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52.665335387538427</v>
      </c>
      <c r="DG126" s="21">
        <f>EXP(-LN(2)/25)*DG125+(1-EXP(-LN(2)/25))/(LN(2)/25)*Calculateur!DB126*Calculateur!DD126*VLOOKUP('Données projet'!$B$13,Paramètres!$A$1:$I$89,3,0)*0.475*44/12</f>
        <v>7.6678629963782763</v>
      </c>
      <c r="DH126" s="21">
        <f>EXP(-LN(2)/2)*DH125+(1-EXP(-LN(2)/2))/(LN(2)/2)*DB126*DE126*VLOOKUP('Données projet'!$B$13,Paramètres!$A$1:$I$89,3,0)*0.475*44/12</f>
        <v>1.1284669966668693E-8</v>
      </c>
      <c r="DI126" s="22">
        <f t="shared" si="69"/>
        <v>60.333198395201372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>
        <f>DO126*VLOOKUP('Données projet'!$B$14,Paramètres!$A$1:$I$89,3,0)*VLOOKUP('Données projet'!$B$14,Paramètres!$A$1:$I$89,5,0)</f>
        <v>0</v>
      </c>
      <c r="DQ126" s="13" t="e">
        <f t="shared" si="97"/>
        <v>#NUM!</v>
      </c>
      <c r="DR126" s="20" t="e">
        <f t="shared" si="70"/>
        <v>#NUM!</v>
      </c>
      <c r="DS126" s="59" t="e">
        <f t="shared" si="71"/>
        <v>#NUM!</v>
      </c>
      <c r="DT126" s="59">
        <f ca="1">AVERAGE(OFFSET($DS$3,0,0,'Données projet'!$E$14+1,1))-AVERAGE(OFFSET($H$3,0,0,'Données projet'!$E$14+1,1))</f>
        <v>246.11623544660486</v>
      </c>
      <c r="DU126" s="59">
        <f t="shared" si="98"/>
        <v>273.18950868898253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36.133169627051743</v>
      </c>
      <c r="EB126" s="21">
        <f>EXP(-LN(2)/25)*EB125+(1-EXP(-LN(2)/25))/(LN(2)/25)*Calculateur!DW126*Calculateur!DY126*VLOOKUP('Données projet'!$B$14,Paramètres!$A$1:$I$89,3,0)*0.475*44/12</f>
        <v>6.9647647172731135</v>
      </c>
      <c r="EC126" s="21">
        <f>EXP(-LN(2)/2)*EC125+(1-EXP(-LN(2)/2))/(LN(2)/2)*DW126*DZ126*VLOOKUP('Données projet'!$B$14,Paramètres!$A$1:$I$89,3,0)*0.475*44/12</f>
        <v>1.0722791421136605E-8</v>
      </c>
      <c r="ED126" s="22">
        <f t="shared" si="72"/>
        <v>43.097934355047649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5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67">
        <f t="shared" si="56"/>
        <v>183.33333333333334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-1.7053025658242404E-13</v>
      </c>
      <c r="O127" s="13">
        <f>N127*VLOOKUP('Données projet'!$B$9,Paramètres!$A$1:$I$89,3,0)*VLOOKUP('Données projet'!$B$9,Paramètres!$A$1:$I$89,5,0)</f>
        <v>-1.72917680174578E-13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538.10210778862256</v>
      </c>
      <c r="T127" s="59">
        <f t="shared" si="88"/>
        <v>399.53300632021399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188.95299261856999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188.95299261856999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-1.7053025658242404E-13</v>
      </c>
      <c r="AJ127" s="13">
        <f>AI127*VLOOKUP('Données projet'!$B$10,Paramètres!$A$1:$I$89,3,0)*VLOOKUP('Données projet'!$B$10,Paramètres!$A$1:$I$89,5,0)</f>
        <v>-1.7823822417994965E-13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552.26894123675538</v>
      </c>
      <c r="AO127" s="59">
        <f t="shared" si="90"/>
        <v>409.85604950107006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194.76693085298749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194.76693085298749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-1.1368683772161603E-13</v>
      </c>
      <c r="BE127" s="13">
        <f>BD127*VLOOKUP('Données projet'!$B$11,Paramètres!$A$1:$I$89,3,0)*VLOOKUP('Données projet'!$B$11,Paramètres!$A$1:$I$89,5,0)</f>
        <v>-1.223725121235475E-13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361.24725625563468</v>
      </c>
      <c r="BJ127" s="59">
        <f t="shared" si="92"/>
        <v>186.0840067781198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111.34318188650262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111.34318188650262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-1.7053025658242404E-13</v>
      </c>
      <c r="BZ127" s="13">
        <f>BY127*VLOOKUP('Données projet'!$B$12,Paramètres!$A$1:$I$89,3,0)*VLOOKUP('Données projet'!$B$12,Paramètres!$A$1:$I$89,5,0)</f>
        <v>-1.1439169611549005E-13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323.91378047319455</v>
      </c>
      <c r="CE127" s="59">
        <f t="shared" si="94"/>
        <v>212.89889176380288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117.76060901742477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117.76060901742477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>
        <f>CT127*VLOOKUP('Données projet'!$B$13,Paramètres!$A$1:$I$89,3,0)*VLOOKUP('Données projet'!$B$13,Paramètres!$A$1:$I$89,5,0)</f>
        <v>0</v>
      </c>
      <c r="CV127" s="13" t="e">
        <f t="shared" si="95"/>
        <v>#NUM!</v>
      </c>
      <c r="CW127" s="20" t="e">
        <f t="shared" si="67"/>
        <v>#NUM!</v>
      </c>
      <c r="CX127" s="59" t="e">
        <f t="shared" si="68"/>
        <v>#NUM!</v>
      </c>
      <c r="CY127" s="59">
        <f ca="1">AVERAGE(OFFSET($CX$3,0,0,'Données projet'!$E$13+1,1))-AVERAGE(OFFSET($H$3,0,0,'Données projet'!$E$13+1,1))</f>
        <v>356.07880667298025</v>
      </c>
      <c r="CZ127" s="59">
        <f t="shared" si="96"/>
        <v>396.05161661639659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51.632600283271536</v>
      </c>
      <c r="DG127" s="21">
        <f>EXP(-LN(2)/25)*DG126+(1-EXP(-LN(2)/25))/(LN(2)/25)*Calculateur!DB127*Calculateur!DD127*VLOOKUP('Données projet'!$B$13,Paramètres!$A$1:$I$89,3,0)*0.475*44/12</f>
        <v>7.4581848795069225</v>
      </c>
      <c r="DH127" s="21">
        <f>EXP(-LN(2)/2)*DH126+(1-EXP(-LN(2)/2))/(LN(2)/2)*DB127*DE127*VLOOKUP('Données projet'!$B$13,Paramètres!$A$1:$I$89,3,0)*0.475*44/12</f>
        <v>7.979466656883604E-9</v>
      </c>
      <c r="DI127" s="22">
        <f t="shared" si="69"/>
        <v>59.090785170757925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>
        <f>DO127*VLOOKUP('Données projet'!$B$14,Paramètres!$A$1:$I$89,3,0)*VLOOKUP('Données projet'!$B$14,Paramètres!$A$1:$I$89,5,0)</f>
        <v>0</v>
      </c>
      <c r="DQ127" s="13" t="e">
        <f t="shared" si="97"/>
        <v>#NUM!</v>
      </c>
      <c r="DR127" s="20" t="e">
        <f t="shared" si="70"/>
        <v>#NUM!</v>
      </c>
      <c r="DS127" s="59" t="e">
        <f t="shared" si="71"/>
        <v>#NUM!</v>
      </c>
      <c r="DT127" s="59">
        <f ca="1">AVERAGE(OFFSET($DS$3,0,0,'Données projet'!$E$14+1,1))-AVERAGE(OFFSET($H$3,0,0,'Données projet'!$E$14+1,1))</f>
        <v>246.11623544660486</v>
      </c>
      <c r="DU127" s="59">
        <f t="shared" si="98"/>
        <v>273.18950868898253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35.424620209722555</v>
      </c>
      <c r="EB127" s="21">
        <f>EXP(-LN(2)/25)*EB126+(1-EXP(-LN(2)/25))/(LN(2)/25)*Calculateur!DW127*Calculateur!DY127*VLOOKUP('Données projet'!$B$14,Paramètres!$A$1:$I$89,3,0)*0.475*44/12</f>
        <v>6.7743128598182221</v>
      </c>
      <c r="EC127" s="21">
        <f>EXP(-LN(2)/2)*EC126+(1-EXP(-LN(2)/2))/(LN(2)/2)*DW127*DZ127*VLOOKUP('Données projet'!$B$14,Paramètres!$A$1:$I$89,3,0)*0.475*44/12</f>
        <v>7.5821585271346299E-9</v>
      </c>
      <c r="ED127" s="22">
        <f t="shared" si="72"/>
        <v>42.198933077122938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5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67">
        <f t="shared" si="56"/>
        <v>183.33333333333334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-1.7053025658242404E-13</v>
      </c>
      <c r="O128" s="13">
        <f>N128*VLOOKUP('Données projet'!$B$9,Paramètres!$A$1:$I$89,3,0)*VLOOKUP('Données projet'!$B$9,Paramètres!$A$1:$I$89,5,0)</f>
        <v>-1.72917680174578E-13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538.10210778862256</v>
      </c>
      <c r="T128" s="59">
        <f t="shared" si="88"/>
        <v>399.53300632021399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185.24773968326534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185.24773968326534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-1.7053025658242404E-13</v>
      </c>
      <c r="AJ128" s="13">
        <f>AI128*VLOOKUP('Données projet'!$B$10,Paramètres!$A$1:$I$89,3,0)*VLOOKUP('Données projet'!$B$10,Paramètres!$A$1:$I$89,5,0)</f>
        <v>-1.7823822417994965E-13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552.26894123675538</v>
      </c>
      <c r="AO128" s="59">
        <f t="shared" si="90"/>
        <v>409.85604950107006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190.94767013505808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190.94767013505808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-1.1368683772161603E-13</v>
      </c>
      <c r="BE128" s="13">
        <f>BD128*VLOOKUP('Données projet'!$B$11,Paramètres!$A$1:$I$89,3,0)*VLOOKUP('Données projet'!$B$11,Paramètres!$A$1:$I$89,5,0)</f>
        <v>-1.223725121235475E-13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361.24725625563468</v>
      </c>
      <c r="BJ128" s="59">
        <f t="shared" si="92"/>
        <v>186.0840067781198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109.15981000234343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109.15981000234343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-1.7053025658242404E-13</v>
      </c>
      <c r="BZ128" s="13">
        <f>BY128*VLOOKUP('Données projet'!$B$12,Paramètres!$A$1:$I$89,3,0)*VLOOKUP('Données projet'!$B$12,Paramètres!$A$1:$I$89,5,0)</f>
        <v>-1.1439169611549005E-13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323.91378047319455</v>
      </c>
      <c r="CE128" s="59">
        <f t="shared" si="94"/>
        <v>212.89889176380288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115.45139530147226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115.45139530147226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>
        <f>CT128*VLOOKUP('Données projet'!$B$13,Paramètres!$A$1:$I$89,3,0)*VLOOKUP('Données projet'!$B$13,Paramètres!$A$1:$I$89,5,0)</f>
        <v>0</v>
      </c>
      <c r="CV128" s="13" t="e">
        <f t="shared" si="95"/>
        <v>#NUM!</v>
      </c>
      <c r="CW128" s="20" t="e">
        <f t="shared" si="67"/>
        <v>#NUM!</v>
      </c>
      <c r="CX128" s="59" t="e">
        <f t="shared" si="68"/>
        <v>#NUM!</v>
      </c>
      <c r="CY128" s="59">
        <f ca="1">AVERAGE(OFFSET($CX$3,0,0,'Données projet'!$E$13+1,1))-AVERAGE(OFFSET($H$3,0,0,'Données projet'!$E$13+1,1))</f>
        <v>356.07880667298025</v>
      </c>
      <c r="CZ128" s="59">
        <f t="shared" si="96"/>
        <v>396.05161661639659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50.620116484493103</v>
      </c>
      <c r="DG128" s="21">
        <f>EXP(-LN(2)/25)*DG127+(1-EXP(-LN(2)/25))/(LN(2)/25)*Calculateur!DB128*Calculateur!DD128*VLOOKUP('Données projet'!$B$13,Paramètres!$A$1:$I$89,3,0)*0.475*44/12</f>
        <v>7.2542404217679088</v>
      </c>
      <c r="DH128" s="21">
        <f>EXP(-LN(2)/2)*DH127+(1-EXP(-LN(2)/2))/(LN(2)/2)*DB128*DE128*VLOOKUP('Données projet'!$B$13,Paramètres!$A$1:$I$89,3,0)*0.475*44/12</f>
        <v>5.6423349833343466E-9</v>
      </c>
      <c r="DI128" s="22">
        <f t="shared" si="69"/>
        <v>57.874356911903348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>
        <f>DO128*VLOOKUP('Données projet'!$B$14,Paramètres!$A$1:$I$89,3,0)*VLOOKUP('Données projet'!$B$14,Paramètres!$A$1:$I$89,5,0)</f>
        <v>0</v>
      </c>
      <c r="DQ128" s="13" t="e">
        <f t="shared" si="97"/>
        <v>#NUM!</v>
      </c>
      <c r="DR128" s="20" t="e">
        <f t="shared" si="70"/>
        <v>#NUM!</v>
      </c>
      <c r="DS128" s="59" t="e">
        <f t="shared" si="71"/>
        <v>#NUM!</v>
      </c>
      <c r="DT128" s="59">
        <f ca="1">AVERAGE(OFFSET($DS$3,0,0,'Données projet'!$E$14+1,1))-AVERAGE(OFFSET($H$3,0,0,'Données projet'!$E$14+1,1))</f>
        <v>246.11623544660486</v>
      </c>
      <c r="DU128" s="59">
        <f t="shared" si="98"/>
        <v>273.18950868898253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34.72996501429472</v>
      </c>
      <c r="EB128" s="21">
        <f>EXP(-LN(2)/25)*EB127+(1-EXP(-LN(2)/25))/(LN(2)/25)*Calculateur!DW128*Calculateur!DY128*VLOOKUP('Données projet'!$B$14,Paramètres!$A$1:$I$89,3,0)*0.475*44/12</f>
        <v>6.5890689184208622</v>
      </c>
      <c r="EC128" s="21">
        <f>EXP(-LN(2)/2)*EC127+(1-EXP(-LN(2)/2))/(LN(2)/2)*DW128*DZ128*VLOOKUP('Données projet'!$B$14,Paramètres!$A$1:$I$89,3,0)*0.475*44/12</f>
        <v>5.3613957105683023E-9</v>
      </c>
      <c r="ED128" s="22">
        <f t="shared" si="72"/>
        <v>41.319033938076977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5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67">
        <f t="shared" si="56"/>
        <v>183.33333333333334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-1.7053025658242404E-13</v>
      </c>
      <c r="O129" s="13">
        <f>N129*VLOOKUP('Données projet'!$B$9,Paramètres!$A$1:$I$89,3,0)*VLOOKUP('Données projet'!$B$9,Paramètres!$A$1:$I$89,5,0)</f>
        <v>-1.72917680174578E-13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538.10210778862256</v>
      </c>
      <c r="T129" s="59">
        <f t="shared" si="88"/>
        <v>399.53300632021399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181.61514449804088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181.61514449804088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-1.7053025658242404E-13</v>
      </c>
      <c r="AJ129" s="13">
        <f>AI129*VLOOKUP('Données projet'!$B$10,Paramètres!$A$1:$I$89,3,0)*VLOOKUP('Données projet'!$B$10,Paramètres!$A$1:$I$89,5,0)</f>
        <v>-1.7823822417994965E-13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552.26894123675538</v>
      </c>
      <c r="AO129" s="59">
        <f t="shared" si="90"/>
        <v>409.85604950107006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187.20330279028826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187.20330279028826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-1.1368683772161603E-13</v>
      </c>
      <c r="BE129" s="13">
        <f>BD129*VLOOKUP('Données projet'!$B$11,Paramètres!$A$1:$I$89,3,0)*VLOOKUP('Données projet'!$B$11,Paramètres!$A$1:$I$89,5,0)</f>
        <v>-1.223725121235475E-13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361.24725625563468</v>
      </c>
      <c r="BJ129" s="59">
        <f t="shared" si="92"/>
        <v>186.0840067781198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107.01925270910726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107.01925270910726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-1.7053025658242404E-13</v>
      </c>
      <c r="BZ129" s="13">
        <f>BY129*VLOOKUP('Données projet'!$B$12,Paramètres!$A$1:$I$89,3,0)*VLOOKUP('Données projet'!$B$12,Paramètres!$A$1:$I$89,5,0)</f>
        <v>-1.1439169611549005E-13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323.91378047319455</v>
      </c>
      <c r="CE129" s="59">
        <f t="shared" si="94"/>
        <v>212.89889176380288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113.18746385800829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113.18746385800829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>
        <f>CT129*VLOOKUP('Données projet'!$B$13,Paramètres!$A$1:$I$89,3,0)*VLOOKUP('Données projet'!$B$13,Paramètres!$A$1:$I$89,5,0)</f>
        <v>0</v>
      </c>
      <c r="CV129" s="13" t="e">
        <f t="shared" si="95"/>
        <v>#NUM!</v>
      </c>
      <c r="CW129" s="20" t="e">
        <f t="shared" si="67"/>
        <v>#NUM!</v>
      </c>
      <c r="CX129" s="59" t="e">
        <f t="shared" si="68"/>
        <v>#NUM!</v>
      </c>
      <c r="CY129" s="59">
        <f ca="1">AVERAGE(OFFSET($CX$3,0,0,'Données projet'!$E$13+1,1))-AVERAGE(OFFSET($H$3,0,0,'Données projet'!$E$13+1,1))</f>
        <v>356.07880667298025</v>
      </c>
      <c r="CZ129" s="59">
        <f t="shared" si="96"/>
        <v>396.05161661639659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49.627486875454572</v>
      </c>
      <c r="DG129" s="21">
        <f>EXP(-LN(2)/25)*DG128+(1-EXP(-LN(2)/25))/(LN(2)/25)*Calculateur!DB129*Calculateur!DD129*VLOOKUP('Données projet'!$B$13,Paramètres!$A$1:$I$89,3,0)*0.475*44/12</f>
        <v>7.0558728359507414</v>
      </c>
      <c r="DH129" s="21">
        <f>EXP(-LN(2)/2)*DH128+(1-EXP(-LN(2)/2))/(LN(2)/2)*DB129*DE129*VLOOKUP('Données projet'!$B$13,Paramètres!$A$1:$I$89,3,0)*0.475*44/12</f>
        <v>3.989733328441802E-9</v>
      </c>
      <c r="DI129" s="22">
        <f t="shared" si="69"/>
        <v>56.683359715395049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>
        <f>DO129*VLOOKUP('Données projet'!$B$14,Paramètres!$A$1:$I$89,3,0)*VLOOKUP('Données projet'!$B$14,Paramètres!$A$1:$I$89,5,0)</f>
        <v>0</v>
      </c>
      <c r="DQ129" s="13" t="e">
        <f t="shared" si="97"/>
        <v>#NUM!</v>
      </c>
      <c r="DR129" s="20" t="e">
        <f t="shared" si="70"/>
        <v>#NUM!</v>
      </c>
      <c r="DS129" s="59" t="e">
        <f t="shared" si="71"/>
        <v>#NUM!</v>
      </c>
      <c r="DT129" s="59">
        <f ca="1">AVERAGE(OFFSET($DS$3,0,0,'Données projet'!$E$14+1,1))-AVERAGE(OFFSET($H$3,0,0,'Données projet'!$E$14+1,1))</f>
        <v>246.11623544660486</v>
      </c>
      <c r="DU129" s="59">
        <f t="shared" si="98"/>
        <v>273.18950868898253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34.048931583551393</v>
      </c>
      <c r="EB129" s="21">
        <f>EXP(-LN(2)/25)*EB128+(1-EXP(-LN(2)/25))/(LN(2)/25)*Calculateur!DW129*Calculateur!DY129*VLOOKUP('Données projet'!$B$14,Paramètres!$A$1:$I$89,3,0)*0.475*44/12</f>
        <v>6.408890482342569</v>
      </c>
      <c r="EC129" s="21">
        <f>EXP(-LN(2)/2)*EC128+(1-EXP(-LN(2)/2))/(LN(2)/2)*DW129*DZ129*VLOOKUP('Données projet'!$B$14,Paramètres!$A$1:$I$89,3,0)*0.475*44/12</f>
        <v>3.7910792635673149E-9</v>
      </c>
      <c r="ED129" s="22">
        <f t="shared" si="72"/>
        <v>40.457822069685044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5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67">
        <f t="shared" si="56"/>
        <v>183.33333333333334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-1.7053025658242404E-13</v>
      </c>
      <c r="O130" s="13">
        <f>N130*VLOOKUP('Données projet'!$B$9,Paramètres!$A$1:$I$89,3,0)*VLOOKUP('Données projet'!$B$9,Paramètres!$A$1:$I$89,5,0)</f>
        <v>-1.72917680174578E-13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538.10210778862256</v>
      </c>
      <c r="T130" s="59">
        <f t="shared" si="88"/>
        <v>399.53300632021399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178.0537822887344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178.0537822887344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-1.7053025658242404E-13</v>
      </c>
      <c r="AJ130" s="13">
        <f>AI130*VLOOKUP('Données projet'!$B$10,Paramètres!$A$1:$I$89,3,0)*VLOOKUP('Données projet'!$B$10,Paramètres!$A$1:$I$89,5,0)</f>
        <v>-1.7823822417994965E-13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552.26894123675538</v>
      </c>
      <c r="AO130" s="59">
        <f t="shared" si="90"/>
        <v>409.85604950107006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183.53236020531079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183.53236020531079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-1.1368683772161603E-13</v>
      </c>
      <c r="BE130" s="13">
        <f>BD130*VLOOKUP('Données projet'!$B$11,Paramètres!$A$1:$I$89,3,0)*VLOOKUP('Données projet'!$B$11,Paramètres!$A$1:$I$89,5,0)</f>
        <v>-1.223725121235475E-13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361.24725625563468</v>
      </c>
      <c r="BJ130" s="59">
        <f t="shared" si="92"/>
        <v>186.0840067781198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104.92067043878042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104.92067043878042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-1.7053025658242404E-13</v>
      </c>
      <c r="BZ130" s="13">
        <f>BY130*VLOOKUP('Données projet'!$B$12,Paramètres!$A$1:$I$89,3,0)*VLOOKUP('Données projet'!$B$12,Paramètres!$A$1:$I$89,5,0)</f>
        <v>-1.1439169611549005E-13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323.91378047319455</v>
      </c>
      <c r="CE130" s="59">
        <f t="shared" si="94"/>
        <v>212.89889176380288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110.96792672928881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110.96792672928881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>
        <f>CT130*VLOOKUP('Données projet'!$B$13,Paramètres!$A$1:$I$89,3,0)*VLOOKUP('Données projet'!$B$13,Paramètres!$A$1:$I$89,5,0)</f>
        <v>0</v>
      </c>
      <c r="CV130" s="13" t="e">
        <f t="shared" si="95"/>
        <v>#NUM!</v>
      </c>
      <c r="CW130" s="20" t="e">
        <f t="shared" si="67"/>
        <v>#NUM!</v>
      </c>
      <c r="CX130" s="59" t="e">
        <f t="shared" si="68"/>
        <v>#NUM!</v>
      </c>
      <c r="CY130" s="59">
        <f ca="1">AVERAGE(OFFSET($CX$3,0,0,'Données projet'!$E$13+1,1))-AVERAGE(OFFSET($H$3,0,0,'Données projet'!$E$13+1,1))</f>
        <v>356.07880667298025</v>
      </c>
      <c r="CZ130" s="59">
        <f t="shared" si="96"/>
        <v>396.05161661639659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48.654322127605006</v>
      </c>
      <c r="DG130" s="21">
        <f>EXP(-LN(2)/25)*DG129+(1-EXP(-LN(2)/25))/(LN(2)/25)*Calculateur!DB130*Calculateur!DD130*VLOOKUP('Données projet'!$B$13,Paramètres!$A$1:$I$89,3,0)*0.475*44/12</f>
        <v>6.8629296221994425</v>
      </c>
      <c r="DH130" s="21">
        <f>EXP(-LN(2)/2)*DH129+(1-EXP(-LN(2)/2))/(LN(2)/2)*DB130*DE130*VLOOKUP('Données projet'!$B$13,Paramètres!$A$1:$I$89,3,0)*0.475*44/12</f>
        <v>2.8211674916671733E-9</v>
      </c>
      <c r="DI130" s="22">
        <f t="shared" si="69"/>
        <v>55.517251752625619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>
        <f>DO130*VLOOKUP('Données projet'!$B$14,Paramètres!$A$1:$I$89,3,0)*VLOOKUP('Données projet'!$B$14,Paramètres!$A$1:$I$89,5,0)</f>
        <v>0</v>
      </c>
      <c r="DQ130" s="13" t="e">
        <f t="shared" si="97"/>
        <v>#NUM!</v>
      </c>
      <c r="DR130" s="20" t="e">
        <f t="shared" si="70"/>
        <v>#NUM!</v>
      </c>
      <c r="DS130" s="59" t="e">
        <f t="shared" si="71"/>
        <v>#NUM!</v>
      </c>
      <c r="DT130" s="59">
        <f ca="1">AVERAGE(OFFSET($DS$3,0,0,'Données projet'!$E$14+1,1))-AVERAGE(OFFSET($H$3,0,0,'Données projet'!$E$14+1,1))</f>
        <v>246.11623544660486</v>
      </c>
      <c r="DU130" s="59">
        <f t="shared" si="98"/>
        <v>273.18950868898253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33.381252802995569</v>
      </c>
      <c r="EB130" s="21">
        <f>EXP(-LN(2)/25)*EB129+(1-EXP(-LN(2)/25))/(LN(2)/25)*Calculateur!DW130*Calculateur!DY130*VLOOKUP('Données projet'!$B$14,Paramètres!$A$1:$I$89,3,0)*0.475*44/12</f>
        <v>6.2336390350740087</v>
      </c>
      <c r="EC130" s="21">
        <f>EXP(-LN(2)/2)*EC129+(1-EXP(-LN(2)/2))/(LN(2)/2)*DW130*DZ130*VLOOKUP('Données projet'!$B$14,Paramètres!$A$1:$I$89,3,0)*0.475*44/12</f>
        <v>2.6806978552841511E-9</v>
      </c>
      <c r="ED130" s="22">
        <f t="shared" si="72"/>
        <v>39.614891840750275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5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67">
        <f t="shared" si="56"/>
        <v>183.33333333333334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-1.7053025658242404E-13</v>
      </c>
      <c r="O131" s="13">
        <f>N131*VLOOKUP('Données projet'!$B$9,Paramètres!$A$1:$I$89,3,0)*VLOOKUP('Données projet'!$B$9,Paramètres!$A$1:$I$89,5,0)</f>
        <v>-1.72917680174578E-13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538.10210778862256</v>
      </c>
      <c r="T131" s="59">
        <f t="shared" si="88"/>
        <v>399.53300632021399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174.56225622013594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174.56225622013594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-1.7053025658242404E-13</v>
      </c>
      <c r="AJ131" s="13">
        <f>AI131*VLOOKUP('Données projet'!$B$10,Paramètres!$A$1:$I$89,3,0)*VLOOKUP('Données projet'!$B$10,Paramètres!$A$1:$I$89,5,0)</f>
        <v>-1.7823822417994965E-13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552.26894123675538</v>
      </c>
      <c r="AO131" s="59">
        <f t="shared" si="90"/>
        <v>409.85604950107006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179.93340256537084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179.93340256537084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-1.1368683772161603E-13</v>
      </c>
      <c r="BE131" s="13">
        <f>BD131*VLOOKUP('Données projet'!$B$11,Paramètres!$A$1:$I$89,3,0)*VLOOKUP('Données projet'!$B$11,Paramètres!$A$1:$I$89,5,0)</f>
        <v>-1.223725121235475E-13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361.24725625563468</v>
      </c>
      <c r="BJ131" s="59">
        <f t="shared" si="92"/>
        <v>186.0840067781198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102.8632400867659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102.8632400867659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-1.7053025658242404E-13</v>
      </c>
      <c r="BZ131" s="13">
        <f>BY131*VLOOKUP('Données projet'!$B$12,Paramètres!$A$1:$I$89,3,0)*VLOOKUP('Données projet'!$B$12,Paramètres!$A$1:$I$89,5,0)</f>
        <v>-1.1439169611549005E-13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323.91378047319455</v>
      </c>
      <c r="CE131" s="59">
        <f t="shared" si="94"/>
        <v>212.89889176380288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108.79191336987954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108.79191336987954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>
        <f>CT131*VLOOKUP('Données projet'!$B$13,Paramètres!$A$1:$I$89,3,0)*VLOOKUP('Données projet'!$B$13,Paramètres!$A$1:$I$89,5,0)</f>
        <v>0</v>
      </c>
      <c r="CV131" s="13" t="e">
        <f t="shared" si="95"/>
        <v>#NUM!</v>
      </c>
      <c r="CW131" s="20" t="e">
        <f t="shared" si="67"/>
        <v>#NUM!</v>
      </c>
      <c r="CX131" s="59" t="e">
        <f t="shared" si="68"/>
        <v>#NUM!</v>
      </c>
      <c r="CY131" s="59">
        <f ca="1">AVERAGE(OFFSET($CX$3,0,0,'Données projet'!$E$13+1,1))-AVERAGE(OFFSET($H$3,0,0,'Données projet'!$E$13+1,1))</f>
        <v>356.07880667298025</v>
      </c>
      <c r="CZ131" s="59">
        <f t="shared" si="96"/>
        <v>396.05161661639659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47.700240546888885</v>
      </c>
      <c r="DG131" s="21">
        <f>EXP(-LN(2)/25)*DG130+(1-EXP(-LN(2)/25))/(LN(2)/25)*Calculateur!DB131*Calculateur!DD131*VLOOKUP('Données projet'!$B$13,Paramètres!$A$1:$I$89,3,0)*0.475*44/12</f>
        <v>6.675262450774615</v>
      </c>
      <c r="DH131" s="21">
        <f>EXP(-LN(2)/2)*DH130+(1-EXP(-LN(2)/2))/(LN(2)/2)*DB131*DE131*VLOOKUP('Données projet'!$B$13,Paramètres!$A$1:$I$89,3,0)*0.475*44/12</f>
        <v>1.994866664220901E-9</v>
      </c>
      <c r="DI131" s="22">
        <f t="shared" si="69"/>
        <v>54.375502999658373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>
        <f>DO131*VLOOKUP('Données projet'!$B$14,Paramètres!$A$1:$I$89,3,0)*VLOOKUP('Données projet'!$B$14,Paramètres!$A$1:$I$89,5,0)</f>
        <v>0</v>
      </c>
      <c r="DQ131" s="13" t="e">
        <f t="shared" si="97"/>
        <v>#NUM!</v>
      </c>
      <c r="DR131" s="20" t="e">
        <f t="shared" si="70"/>
        <v>#NUM!</v>
      </c>
      <c r="DS131" s="59" t="e">
        <f t="shared" si="71"/>
        <v>#NUM!</v>
      </c>
      <c r="DT131" s="59">
        <f ca="1">AVERAGE(OFFSET($DS$3,0,0,'Données projet'!$E$14+1,1))-AVERAGE(OFFSET($H$3,0,0,'Données projet'!$E$14+1,1))</f>
        <v>246.11623544660486</v>
      </c>
      <c r="DU131" s="59">
        <f t="shared" si="98"/>
        <v>273.18950868898253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32.726666796082597</v>
      </c>
      <c r="EB131" s="21">
        <f>EXP(-LN(2)/25)*EB130+(1-EXP(-LN(2)/25))/(LN(2)/25)*Calculateur!DW131*Calculateur!DY131*VLOOKUP('Données projet'!$B$14,Paramètres!$A$1:$I$89,3,0)*0.475*44/12</f>
        <v>6.0631798478470804</v>
      </c>
      <c r="EC131" s="21">
        <f>EXP(-LN(2)/2)*EC130+(1-EXP(-LN(2)/2))/(LN(2)/2)*DW131*DZ131*VLOOKUP('Données projet'!$B$14,Paramètres!$A$1:$I$89,3,0)*0.475*44/12</f>
        <v>1.8955396317836575E-9</v>
      </c>
      <c r="ED131" s="22">
        <f t="shared" si="72"/>
        <v>38.789846645825214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5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67">
        <f t="shared" ref="H132:H195" si="110">(B132+E132+F132)*44/12+(C132+D132)*0.475*44/12</f>
        <v>183.33333333333334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-1.7053025658242404E-13</v>
      </c>
      <c r="O132" s="13">
        <f>N132*VLOOKUP('Données projet'!$B$9,Paramètres!$A$1:$I$89,3,0)*VLOOKUP('Données projet'!$B$9,Paramètres!$A$1:$I$89,5,0)</f>
        <v>-1.72917680174578E-13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538.10210778862256</v>
      </c>
      <c r="T132" s="59">
        <f t="shared" si="88"/>
        <v>399.53300632021399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171.13919684812208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171.13919684812208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-1.7053025658242404E-13</v>
      </c>
      <c r="AJ132" s="13">
        <f>AI132*VLOOKUP('Données projet'!$B$10,Paramètres!$A$1:$I$89,3,0)*VLOOKUP('Données projet'!$B$10,Paramètres!$A$1:$I$89,5,0)</f>
        <v>-1.7823822417994965E-13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552.26894123675538</v>
      </c>
      <c r="AO132" s="59">
        <f t="shared" si="90"/>
        <v>409.85604950107006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176.40501828960271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176.40501828960271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-1.1368683772161603E-13</v>
      </c>
      <c r="BE132" s="13">
        <f>BD132*VLOOKUP('Données projet'!$B$11,Paramètres!$A$1:$I$89,3,0)*VLOOKUP('Données projet'!$B$11,Paramètres!$A$1:$I$89,5,0)</f>
        <v>-1.223725121235475E-13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361.24725625563468</v>
      </c>
      <c r="BJ132" s="59">
        <f t="shared" si="92"/>
        <v>186.0840067781198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100.84615468904578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100.84615468904578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-1.7053025658242404E-13</v>
      </c>
      <c r="BZ132" s="13">
        <f>BY132*VLOOKUP('Données projet'!$B$12,Paramètres!$A$1:$I$89,3,0)*VLOOKUP('Données projet'!$B$12,Paramètres!$A$1:$I$89,5,0)</f>
        <v>-1.1439169611549005E-13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323.91378047319455</v>
      </c>
      <c r="CE132" s="59">
        <f t="shared" si="94"/>
        <v>212.89889176380288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106.6585703052112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106.6585703052112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>
        <f>CT132*VLOOKUP('Données projet'!$B$13,Paramètres!$A$1:$I$89,3,0)*VLOOKUP('Données projet'!$B$13,Paramètres!$A$1:$I$89,5,0)</f>
        <v>0</v>
      </c>
      <c r="CV132" s="13" t="e">
        <f t="shared" si="95"/>
        <v>#NUM!</v>
      </c>
      <c r="CW132" s="20" t="e">
        <f t="shared" ref="CW132:CW153" si="121">(CU132+CV132)*0.475*44/12</f>
        <v>#NUM!</v>
      </c>
      <c r="CX132" s="59" t="e">
        <f t="shared" ref="CX132:CX195" si="122">CW132+(CO132+CP132)*44/12</f>
        <v>#NUM!</v>
      </c>
      <c r="CY132" s="59">
        <f ca="1">AVERAGE(OFFSET($CX$3,0,0,'Données projet'!$E$13+1,1))-AVERAGE(OFFSET($H$3,0,0,'Données projet'!$E$13+1,1))</f>
        <v>356.07880667298025</v>
      </c>
      <c r="CZ132" s="59">
        <f t="shared" si="96"/>
        <v>396.05161661639659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46.764867924038306</v>
      </c>
      <c r="DG132" s="21">
        <f>EXP(-LN(2)/25)*DG131+(1-EXP(-LN(2)/25))/(LN(2)/25)*Calculateur!DB132*Calculateur!DD132*VLOOKUP('Données projet'!$B$13,Paramètres!$A$1:$I$89,3,0)*0.475*44/12</f>
        <v>6.4927270480213872</v>
      </c>
      <c r="DH132" s="21">
        <f>EXP(-LN(2)/2)*DH131+(1-EXP(-LN(2)/2))/(LN(2)/2)*DB132*DE132*VLOOKUP('Données projet'!$B$13,Paramètres!$A$1:$I$89,3,0)*0.475*44/12</f>
        <v>1.4105837458335866E-9</v>
      </c>
      <c r="DI132" s="22">
        <f t="shared" ref="DI132:DI153" si="123">SUM(DF132:DH132)</f>
        <v>53.257594973470276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>
        <f>DO132*VLOOKUP('Données projet'!$B$14,Paramètres!$A$1:$I$89,3,0)*VLOOKUP('Données projet'!$B$14,Paramètres!$A$1:$I$89,5,0)</f>
        <v>0</v>
      </c>
      <c r="DQ132" s="13" t="e">
        <f t="shared" si="97"/>
        <v>#NUM!</v>
      </c>
      <c r="DR132" s="20" t="e">
        <f t="shared" ref="DR132:DR153" si="124">(DP132+DQ132)*0.475*44/12</f>
        <v>#NUM!</v>
      </c>
      <c r="DS132" s="59" t="e">
        <f t="shared" ref="DS132:DS195" si="125">DR132+(DJ132+DK132)*44/12</f>
        <v>#NUM!</v>
      </c>
      <c r="DT132" s="59">
        <f ca="1">AVERAGE(OFFSET($DS$3,0,0,'Données projet'!$E$14+1,1))-AVERAGE(OFFSET($H$3,0,0,'Données projet'!$E$14+1,1))</f>
        <v>246.11623544660486</v>
      </c>
      <c r="DU132" s="59">
        <f t="shared" si="98"/>
        <v>273.18950868898253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32.08491682150715</v>
      </c>
      <c r="EB132" s="21">
        <f>EXP(-LN(2)/25)*EB131+(1-EXP(-LN(2)/25))/(LN(2)/25)*Calculateur!DW132*Calculateur!DY132*VLOOKUP('Données projet'!$B$14,Paramètres!$A$1:$I$89,3,0)*0.475*44/12</f>
        <v>5.8973818760589314</v>
      </c>
      <c r="EC132" s="21">
        <f>EXP(-LN(2)/2)*EC131+(1-EXP(-LN(2)/2))/(LN(2)/2)*DW132*DZ132*VLOOKUP('Données projet'!$B$14,Paramètres!$A$1:$I$89,3,0)*0.475*44/12</f>
        <v>1.3403489276420756E-9</v>
      </c>
      <c r="ED132" s="22">
        <f t="shared" ref="ED132:ED153" si="126">SUM(EA132:EC132)</f>
        <v>37.982298698906426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5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67">
        <f t="shared" si="110"/>
        <v>183.33333333333334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-1.7053025658242404E-13</v>
      </c>
      <c r="O133" s="13">
        <f>N133*VLOOKUP('Données projet'!$B$9,Paramètres!$A$1:$I$89,3,0)*VLOOKUP('Données projet'!$B$9,Paramètres!$A$1:$I$89,5,0)</f>
        <v>-1.72917680174578E-13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538.10210778862256</v>
      </c>
      <c r="T133" s="59">
        <f t="shared" ref="T133:T196" si="142">$T$3</f>
        <v>399.53300632021399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167.78326158253336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167.78326158253336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-1.7053025658242404E-13</v>
      </c>
      <c r="AJ133" s="13">
        <f>AI133*VLOOKUP('Données projet'!$B$10,Paramètres!$A$1:$I$89,3,0)*VLOOKUP('Données projet'!$B$10,Paramètres!$A$1:$I$89,5,0)</f>
        <v>-1.7823822417994965E-13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552.26894123675538</v>
      </c>
      <c r="AO133" s="59">
        <f t="shared" ref="AO133:AO196" si="144">$AO$3</f>
        <v>409.85604950107006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172.94582347738049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172.94582347738049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-1.1368683772161603E-13</v>
      </c>
      <c r="BE133" s="13">
        <f>BD133*VLOOKUP('Données projet'!$B$11,Paramètres!$A$1:$I$89,3,0)*VLOOKUP('Données projet'!$B$11,Paramètres!$A$1:$I$89,5,0)</f>
        <v>-1.223725121235475E-13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361.24725625563468</v>
      </c>
      <c r="BJ133" s="59">
        <f t="shared" ref="BJ133:BJ196" si="146">$BJ$3</f>
        <v>186.0840067781198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98.868623105674331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98.868623105674331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-1.7053025658242404E-13</v>
      </c>
      <c r="BZ133" s="13">
        <f>BY133*VLOOKUP('Données projet'!$B$12,Paramètres!$A$1:$I$89,3,0)*VLOOKUP('Données projet'!$B$12,Paramètres!$A$1:$I$89,5,0)</f>
        <v>-1.1439169611549005E-13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323.91378047319455</v>
      </c>
      <c r="CE133" s="59">
        <f t="shared" ref="CE133:CE196" si="148">$CE$3</f>
        <v>212.89889176380288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104.56706079683022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104.56706079683022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>
        <f>CT133*VLOOKUP('Données projet'!$B$13,Paramètres!$A$1:$I$89,3,0)*VLOOKUP('Données projet'!$B$13,Paramètres!$A$1:$I$89,5,0)</f>
        <v>0</v>
      </c>
      <c r="CV133" s="13" t="e">
        <f t="shared" ref="CV133:CV153" si="149">EXP(-1.0587+0.8836*LN(CU133)+0.284)</f>
        <v>#NUM!</v>
      </c>
      <c r="CW133" s="20" t="e">
        <f t="shared" si="121"/>
        <v>#NUM!</v>
      </c>
      <c r="CX133" s="59" t="e">
        <f t="shared" si="122"/>
        <v>#NUM!</v>
      </c>
      <c r="CY133" s="59">
        <f ca="1">AVERAGE(OFFSET($CX$3,0,0,'Données projet'!$E$13+1,1))-AVERAGE(OFFSET($H$3,0,0,'Données projet'!$E$13+1,1))</f>
        <v>356.07880667298025</v>
      </c>
      <c r="CZ133" s="59">
        <f t="shared" ref="CZ133:CZ196" si="150">$CZ$3</f>
        <v>396.05161661639659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45.847837387800865</v>
      </c>
      <c r="DG133" s="21">
        <f>EXP(-LN(2)/25)*DG132+(1-EXP(-LN(2)/25))/(LN(2)/25)*Calculateur!DB133*Calculateur!DD133*VLOOKUP('Données projet'!$B$13,Paramètres!$A$1:$I$89,3,0)*0.475*44/12</f>
        <v>6.3151830854555664</v>
      </c>
      <c r="DH133" s="21">
        <f>EXP(-LN(2)/2)*DH132+(1-EXP(-LN(2)/2))/(LN(2)/2)*DB133*DE133*VLOOKUP('Données projet'!$B$13,Paramètres!$A$1:$I$89,3,0)*0.475*44/12</f>
        <v>9.974333321104505E-10</v>
      </c>
      <c r="DI133" s="22">
        <f t="shared" si="123"/>
        <v>52.163020474253862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>
        <f>DO133*VLOOKUP('Données projet'!$B$14,Paramètres!$A$1:$I$89,3,0)*VLOOKUP('Données projet'!$B$14,Paramètres!$A$1:$I$89,5,0)</f>
        <v>0</v>
      </c>
      <c r="DQ133" s="13" t="e">
        <f t="shared" ref="DQ133:DQ153" si="151">EXP(-1.0587+0.8836*LN(DP133)+0.284)</f>
        <v>#NUM!</v>
      </c>
      <c r="DR133" s="20" t="e">
        <f t="shared" si="124"/>
        <v>#NUM!</v>
      </c>
      <c r="DS133" s="59" t="e">
        <f t="shared" si="125"/>
        <v>#NUM!</v>
      </c>
      <c r="DT133" s="59">
        <f ca="1">AVERAGE(OFFSET($DS$3,0,0,'Données projet'!$E$14+1,1))-AVERAGE(OFFSET($H$3,0,0,'Données projet'!$E$14+1,1))</f>
        <v>246.11623544660486</v>
      </c>
      <c r="DU133" s="59">
        <f t="shared" ref="DU133:DU196" si="152">$DU$3</f>
        <v>273.18950868898253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31.455751172504293</v>
      </c>
      <c r="EB133" s="21">
        <f>EXP(-LN(2)/25)*EB132+(1-EXP(-LN(2)/25))/(LN(2)/25)*Calculateur!DW133*Calculateur!DY133*VLOOKUP('Données projet'!$B$14,Paramètres!$A$1:$I$89,3,0)*0.475*44/12</f>
        <v>5.7361176585282658</v>
      </c>
      <c r="EC133" s="21">
        <f>EXP(-LN(2)/2)*EC132+(1-EXP(-LN(2)/2))/(LN(2)/2)*DW133*DZ133*VLOOKUP('Données projet'!$B$14,Paramètres!$A$1:$I$89,3,0)*0.475*44/12</f>
        <v>9.4776981589182874E-10</v>
      </c>
      <c r="ED133" s="22">
        <f t="shared" si="126"/>
        <v>37.191868831980329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5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67">
        <f t="shared" si="110"/>
        <v>183.33333333333334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-1.7053025658242404E-13</v>
      </c>
      <c r="O134" s="13">
        <f>N134*VLOOKUP('Données projet'!$B$9,Paramètres!$A$1:$I$89,3,0)*VLOOKUP('Données projet'!$B$9,Paramètres!$A$1:$I$89,5,0)</f>
        <v>-1.72917680174578E-13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538.10210778862256</v>
      </c>
      <c r="T134" s="59">
        <f t="shared" si="142"/>
        <v>399.53300632021399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164.49313416058445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164.49313416058445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-1.7053025658242404E-13</v>
      </c>
      <c r="AJ134" s="13">
        <f>AI134*VLOOKUP('Données projet'!$B$10,Paramètres!$A$1:$I$89,3,0)*VLOOKUP('Données projet'!$B$10,Paramètres!$A$1:$I$89,5,0)</f>
        <v>-1.7823822417994965E-13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552.26894123675538</v>
      </c>
      <c r="AO134" s="59">
        <f t="shared" si="144"/>
        <v>409.85604950107006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169.55446136552544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169.55446136552544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-1.1368683772161603E-13</v>
      </c>
      <c r="BE134" s="13">
        <f>BD134*VLOOKUP('Données projet'!$B$11,Paramètres!$A$1:$I$89,3,0)*VLOOKUP('Données projet'!$B$11,Paramètres!$A$1:$I$89,5,0)</f>
        <v>-1.223725121235475E-13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361.24725625563468</v>
      </c>
      <c r="BJ134" s="59">
        <f t="shared" si="146"/>
        <v>186.0840067781198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96.929869710477632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96.929869710477632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-1.7053025658242404E-13</v>
      </c>
      <c r="BZ134" s="13">
        <f>BY134*VLOOKUP('Données projet'!$B$12,Paramètres!$A$1:$I$89,3,0)*VLOOKUP('Données projet'!$B$12,Paramètres!$A$1:$I$89,5,0)</f>
        <v>-1.1439169611549005E-13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323.91378047319455</v>
      </c>
      <c r="CE134" s="59">
        <f t="shared" si="148"/>
        <v>212.89889176380288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102.51656451421375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102.51656451421375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>
        <f>CT134*VLOOKUP('Données projet'!$B$13,Paramètres!$A$1:$I$89,3,0)*VLOOKUP('Données projet'!$B$13,Paramètres!$A$1:$I$89,5,0)</f>
        <v>0</v>
      </c>
      <c r="CV134" s="13" t="e">
        <f t="shared" si="149"/>
        <v>#NUM!</v>
      </c>
      <c r="CW134" s="20" t="e">
        <f t="shared" si="121"/>
        <v>#NUM!</v>
      </c>
      <c r="CX134" s="59" t="e">
        <f t="shared" si="122"/>
        <v>#NUM!</v>
      </c>
      <c r="CY134" s="59">
        <f ca="1">AVERAGE(OFFSET($CX$3,0,0,'Données projet'!$E$13+1,1))-AVERAGE(OFFSET($H$3,0,0,'Données projet'!$E$13+1,1))</f>
        <v>356.07880667298025</v>
      </c>
      <c r="CZ134" s="59">
        <f t="shared" si="150"/>
        <v>396.05161661639659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44.94878926104564</v>
      </c>
      <c r="DG134" s="21">
        <f>EXP(-LN(2)/25)*DG133+(1-EXP(-LN(2)/25))/(LN(2)/25)*Calculateur!DB134*Calculateur!DD134*VLOOKUP('Données projet'!$B$13,Paramètres!$A$1:$I$89,3,0)*0.475*44/12</f>
        <v>6.142494071882739</v>
      </c>
      <c r="DH134" s="21">
        <f>EXP(-LN(2)/2)*DH133+(1-EXP(-LN(2)/2))/(LN(2)/2)*DB134*DE134*VLOOKUP('Données projet'!$B$13,Paramètres!$A$1:$I$89,3,0)*0.475*44/12</f>
        <v>7.0529187291679332E-10</v>
      </c>
      <c r="DI134" s="22">
        <f t="shared" si="123"/>
        <v>51.091283333633669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>
        <f>DO134*VLOOKUP('Données projet'!$B$14,Paramètres!$A$1:$I$89,3,0)*VLOOKUP('Données projet'!$B$14,Paramètres!$A$1:$I$89,5,0)</f>
        <v>0</v>
      </c>
      <c r="DQ134" s="13" t="e">
        <f t="shared" si="151"/>
        <v>#NUM!</v>
      </c>
      <c r="DR134" s="20" t="e">
        <f t="shared" si="124"/>
        <v>#NUM!</v>
      </c>
      <c r="DS134" s="59" t="e">
        <f t="shared" si="125"/>
        <v>#NUM!</v>
      </c>
      <c r="DT134" s="59">
        <f ca="1">AVERAGE(OFFSET($DS$3,0,0,'Données projet'!$E$14+1,1))-AVERAGE(OFFSET($H$3,0,0,'Données projet'!$E$14+1,1))</f>
        <v>246.11623544660486</v>
      </c>
      <c r="DU134" s="59">
        <f t="shared" si="152"/>
        <v>273.18950868898253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30.838923078125227</v>
      </c>
      <c r="EB134" s="21">
        <f>EXP(-LN(2)/25)*EB133+(1-EXP(-LN(2)/25))/(LN(2)/25)*Calculateur!DW134*Calculateur!DY134*VLOOKUP('Données projet'!$B$14,Paramètres!$A$1:$I$89,3,0)*0.475*44/12</f>
        <v>5.5792632195064931</v>
      </c>
      <c r="EC134" s="21">
        <f>EXP(-LN(2)/2)*EC133+(1-EXP(-LN(2)/2))/(LN(2)/2)*DW134*DZ134*VLOOKUP('Données projet'!$B$14,Paramètres!$A$1:$I$89,3,0)*0.475*44/12</f>
        <v>6.7017446382103778E-10</v>
      </c>
      <c r="ED134" s="22">
        <f t="shared" si="126"/>
        <v>36.418186298301897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5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67">
        <f t="shared" si="110"/>
        <v>183.33333333333334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-1.7053025658242404E-13</v>
      </c>
      <c r="O135" s="13">
        <f>N135*VLOOKUP('Données projet'!$B$9,Paramètres!$A$1:$I$89,3,0)*VLOOKUP('Données projet'!$B$9,Paramètres!$A$1:$I$89,5,0)</f>
        <v>-1.72917680174578E-13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538.10210778862256</v>
      </c>
      <c r="T135" s="59">
        <f t="shared" si="142"/>
        <v>399.53300632021399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161.26752413060038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161.26752413060038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-1.7053025658242404E-13</v>
      </c>
      <c r="AJ135" s="13">
        <f>AI135*VLOOKUP('Données projet'!$B$10,Paramètres!$A$1:$I$89,3,0)*VLOOKUP('Données projet'!$B$10,Paramètres!$A$1:$I$89,5,0)</f>
        <v>-1.7823822417994965E-13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552.26894123675538</v>
      </c>
      <c r="AO135" s="59">
        <f t="shared" si="144"/>
        <v>409.85604950107006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166.22960179615723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166.22960179615723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-1.1368683772161603E-13</v>
      </c>
      <c r="BE135" s="13">
        <f>BD135*VLOOKUP('Données projet'!$B$11,Paramètres!$A$1:$I$89,3,0)*VLOOKUP('Données projet'!$B$11,Paramètres!$A$1:$I$89,5,0)</f>
        <v>-1.223725121235475E-13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361.24725625563468</v>
      </c>
      <c r="BJ135" s="59">
        <f t="shared" si="146"/>
        <v>186.0840067781198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95.029134086837942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95.029134086837942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-1.7053025658242404E-13</v>
      </c>
      <c r="BZ135" s="13">
        <f>BY135*VLOOKUP('Données projet'!$B$12,Paramètres!$A$1:$I$89,3,0)*VLOOKUP('Données projet'!$B$12,Paramètres!$A$1:$I$89,5,0)</f>
        <v>-1.1439169611549005E-13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323.91378047319455</v>
      </c>
      <c r="CE135" s="59">
        <f t="shared" si="148"/>
        <v>212.89889176380288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100.50627721302016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100.50627721302016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>
        <f>CT135*VLOOKUP('Données projet'!$B$13,Paramètres!$A$1:$I$89,3,0)*VLOOKUP('Données projet'!$B$13,Paramètres!$A$1:$I$89,5,0)</f>
        <v>0</v>
      </c>
      <c r="CV135" s="13" t="e">
        <f t="shared" si="149"/>
        <v>#NUM!</v>
      </c>
      <c r="CW135" s="20" t="e">
        <f t="shared" si="121"/>
        <v>#NUM!</v>
      </c>
      <c r="CX135" s="59" t="e">
        <f t="shared" si="122"/>
        <v>#NUM!</v>
      </c>
      <c r="CY135" s="59">
        <f ca="1">AVERAGE(OFFSET($CX$3,0,0,'Données projet'!$E$13+1,1))-AVERAGE(OFFSET($H$3,0,0,'Données projet'!$E$13+1,1))</f>
        <v>356.07880667298025</v>
      </c>
      <c r="CZ135" s="59">
        <f t="shared" si="150"/>
        <v>396.05161661639659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44.067370919690873</v>
      </c>
      <c r="DG135" s="21">
        <f>EXP(-LN(2)/25)*DG134+(1-EXP(-LN(2)/25))/(LN(2)/25)*Calculateur!DB135*Calculateur!DD135*VLOOKUP('Données projet'!$B$13,Paramètres!$A$1:$I$89,3,0)*0.475*44/12</f>
        <v>5.974527248467381</v>
      </c>
      <c r="DH135" s="21">
        <f>EXP(-LN(2)/2)*DH134+(1-EXP(-LN(2)/2))/(LN(2)/2)*DB135*DE135*VLOOKUP('Données projet'!$B$13,Paramètres!$A$1:$I$89,3,0)*0.475*44/12</f>
        <v>4.9871666605522525E-10</v>
      </c>
      <c r="DI135" s="22">
        <f t="shared" si="123"/>
        <v>50.041898168656971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>
        <f>DO135*VLOOKUP('Données projet'!$B$14,Paramètres!$A$1:$I$89,3,0)*VLOOKUP('Données projet'!$B$14,Paramètres!$A$1:$I$89,5,0)</f>
        <v>0</v>
      </c>
      <c r="DQ135" s="13" t="e">
        <f t="shared" si="151"/>
        <v>#NUM!</v>
      </c>
      <c r="DR135" s="20" t="e">
        <f t="shared" si="124"/>
        <v>#NUM!</v>
      </c>
      <c r="DS135" s="59" t="e">
        <f t="shared" si="125"/>
        <v>#NUM!</v>
      </c>
      <c r="DT135" s="59">
        <f ca="1">AVERAGE(OFFSET($DS$3,0,0,'Données projet'!$E$14+1,1))-AVERAGE(OFFSET($H$3,0,0,'Données projet'!$E$14+1,1))</f>
        <v>246.11623544660486</v>
      </c>
      <c r="DU135" s="59">
        <f t="shared" si="152"/>
        <v>273.18950868898253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30.234190606448948</v>
      </c>
      <c r="EB135" s="21">
        <f>EXP(-LN(2)/25)*EB134+(1-EXP(-LN(2)/25))/(LN(2)/25)*Calculateur!DW135*Calculateur!DY135*VLOOKUP('Données projet'!$B$14,Paramètres!$A$1:$I$89,3,0)*0.475*44/12</f>
        <v>5.4266979733683867</v>
      </c>
      <c r="EC135" s="21">
        <f>EXP(-LN(2)/2)*EC134+(1-EXP(-LN(2)/2))/(LN(2)/2)*DW135*DZ135*VLOOKUP('Données projet'!$B$14,Paramètres!$A$1:$I$89,3,0)*0.475*44/12</f>
        <v>4.7388490794591437E-10</v>
      </c>
      <c r="ED135" s="22">
        <f t="shared" si="126"/>
        <v>35.660888580291214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5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67">
        <f t="shared" si="110"/>
        <v>183.33333333333334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-1.7053025658242404E-13</v>
      </c>
      <c r="O136" s="13">
        <f>N136*VLOOKUP('Données projet'!$B$9,Paramètres!$A$1:$I$89,3,0)*VLOOKUP('Données projet'!$B$9,Paramètres!$A$1:$I$89,5,0)</f>
        <v>-1.72917680174578E-13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538.10210778862256</v>
      </c>
      <c r="T136" s="59">
        <f t="shared" si="142"/>
        <v>399.53300632021399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158.10516634587643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158.10516634587643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-1.7053025658242404E-13</v>
      </c>
      <c r="AJ136" s="13">
        <f>AI136*VLOOKUP('Données projet'!$B$10,Paramètres!$A$1:$I$89,3,0)*VLOOKUP('Données projet'!$B$10,Paramètres!$A$1:$I$89,5,0)</f>
        <v>-1.7823822417994965E-13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552.26894123675538</v>
      </c>
      <c r="AO136" s="59">
        <f t="shared" si="144"/>
        <v>409.85604950107006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162.96994069498024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162.96994069498024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-1.1368683772161603E-13</v>
      </c>
      <c r="BE136" s="13">
        <f>BD136*VLOOKUP('Données projet'!$B$11,Paramètres!$A$1:$I$89,3,0)*VLOOKUP('Données projet'!$B$11,Paramètres!$A$1:$I$89,5,0)</f>
        <v>-1.223725121235475E-13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361.24725625563468</v>
      </c>
      <c r="BJ136" s="59">
        <f t="shared" si="146"/>
        <v>186.0840067781198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93.165670729443562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93.165670729443562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-1.7053025658242404E-13</v>
      </c>
      <c r="BZ136" s="13">
        <f>BY136*VLOOKUP('Données projet'!$B$12,Paramètres!$A$1:$I$89,3,0)*VLOOKUP('Données projet'!$B$12,Paramètres!$A$1:$I$89,5,0)</f>
        <v>-1.1439169611549005E-13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323.91378047319455</v>
      </c>
      <c r="CE136" s="59">
        <f t="shared" si="148"/>
        <v>212.89889176380288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98.535410419648784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98.535410419648784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>
        <f>CT136*VLOOKUP('Données projet'!$B$13,Paramètres!$A$1:$I$89,3,0)*VLOOKUP('Données projet'!$B$13,Paramètres!$A$1:$I$89,5,0)</f>
        <v>0</v>
      </c>
      <c r="CV136" s="13" t="e">
        <f t="shared" si="149"/>
        <v>#NUM!</v>
      </c>
      <c r="CW136" s="20" t="e">
        <f t="shared" si="121"/>
        <v>#NUM!</v>
      </c>
      <c r="CX136" s="59" t="e">
        <f t="shared" si="122"/>
        <v>#NUM!</v>
      </c>
      <c r="CY136" s="59">
        <f ca="1">AVERAGE(OFFSET($CX$3,0,0,'Données projet'!$E$13+1,1))-AVERAGE(OFFSET($H$3,0,0,'Données projet'!$E$13+1,1))</f>
        <v>356.07880667298025</v>
      </c>
      <c r="CZ136" s="59">
        <f t="shared" si="150"/>
        <v>396.05161661639659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43.203236654397969</v>
      </c>
      <c r="DG136" s="21">
        <f>EXP(-LN(2)/25)*DG135+(1-EXP(-LN(2)/25))/(LN(2)/25)*Calculateur!DB136*Calculateur!DD136*VLOOKUP('Données projet'!$B$13,Paramètres!$A$1:$I$89,3,0)*0.475*44/12</f>
        <v>5.8111534866713077</v>
      </c>
      <c r="DH136" s="21">
        <f>EXP(-LN(2)/2)*DH135+(1-EXP(-LN(2)/2))/(LN(2)/2)*DB136*DE136*VLOOKUP('Données projet'!$B$13,Paramètres!$A$1:$I$89,3,0)*0.475*44/12</f>
        <v>3.5264593645839666E-10</v>
      </c>
      <c r="DI136" s="22">
        <f t="shared" si="123"/>
        <v>49.014390141421927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>
        <f>DO136*VLOOKUP('Données projet'!$B$14,Paramètres!$A$1:$I$89,3,0)*VLOOKUP('Données projet'!$B$14,Paramètres!$A$1:$I$89,5,0)</f>
        <v>0</v>
      </c>
      <c r="DQ136" s="13" t="e">
        <f t="shared" si="151"/>
        <v>#NUM!</v>
      </c>
      <c r="DR136" s="20" t="e">
        <f t="shared" si="124"/>
        <v>#NUM!</v>
      </c>
      <c r="DS136" s="59" t="e">
        <f t="shared" si="125"/>
        <v>#NUM!</v>
      </c>
      <c r="DT136" s="59">
        <f ca="1">AVERAGE(OFFSET($DS$3,0,0,'Données projet'!$E$14+1,1))-AVERAGE(OFFSET($H$3,0,0,'Données projet'!$E$14+1,1))</f>
        <v>246.11623544660486</v>
      </c>
      <c r="DU136" s="59">
        <f t="shared" si="152"/>
        <v>273.18950868898253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29.641316569691853</v>
      </c>
      <c r="EB136" s="21">
        <f>EXP(-LN(2)/25)*EB135+(1-EXP(-LN(2)/25))/(LN(2)/25)*Calculateur!DW136*Calculateur!DY136*VLOOKUP('Données projet'!$B$14,Paramètres!$A$1:$I$89,3,0)*0.475*44/12</f>
        <v>5.278304631908985</v>
      </c>
      <c r="EC136" s="21">
        <f>EXP(-LN(2)/2)*EC135+(1-EXP(-LN(2)/2))/(LN(2)/2)*DW136*DZ136*VLOOKUP('Données projet'!$B$14,Paramètres!$A$1:$I$89,3,0)*0.475*44/12</f>
        <v>3.3508723191051889E-10</v>
      </c>
      <c r="ED136" s="22">
        <f t="shared" si="126"/>
        <v>34.919621201935925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5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67">
        <f t="shared" si="110"/>
        <v>183.33333333333334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-1.7053025658242404E-13</v>
      </c>
      <c r="O137" s="13">
        <f>N137*VLOOKUP('Données projet'!$B$9,Paramètres!$A$1:$I$89,3,0)*VLOOKUP('Données projet'!$B$9,Paramètres!$A$1:$I$89,5,0)</f>
        <v>-1.72917680174578E-13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538.10210778862256</v>
      </c>
      <c r="T137" s="59">
        <f t="shared" si="142"/>
        <v>399.53300632021399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155.00482046846312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155.00482046846312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-1.7053025658242404E-13</v>
      </c>
      <c r="AJ137" s="13">
        <f>AI137*VLOOKUP('Données projet'!$B$10,Paramètres!$A$1:$I$89,3,0)*VLOOKUP('Données projet'!$B$10,Paramètres!$A$1:$I$89,5,0)</f>
        <v>-1.7823822417994965E-13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552.26894123675538</v>
      </c>
      <c r="AO137" s="59">
        <f t="shared" si="144"/>
        <v>409.85604950107006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159.77419955980039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159.77419955980039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-1.1368683772161603E-13</v>
      </c>
      <c r="BE137" s="13">
        <f>BD137*VLOOKUP('Données projet'!$B$11,Paramètres!$A$1:$I$89,3,0)*VLOOKUP('Données projet'!$B$11,Paramètres!$A$1:$I$89,5,0)</f>
        <v>-1.223725121235475E-13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361.24725625563468</v>
      </c>
      <c r="BJ137" s="59">
        <f t="shared" si="146"/>
        <v>186.0840067781198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91.338748751887266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91.338748751887266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-1.7053025658242404E-13</v>
      </c>
      <c r="BZ137" s="13">
        <f>BY137*VLOOKUP('Données projet'!$B$12,Paramètres!$A$1:$I$89,3,0)*VLOOKUP('Données projet'!$B$12,Paramètres!$A$1:$I$89,5,0)</f>
        <v>-1.1439169611549005E-13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323.91378047319455</v>
      </c>
      <c r="CE137" s="59">
        <f t="shared" si="148"/>
        <v>212.89889176380288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96.603191121985375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96.603191121985375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>
        <f>CT137*VLOOKUP('Données projet'!$B$13,Paramètres!$A$1:$I$89,3,0)*VLOOKUP('Données projet'!$B$13,Paramètres!$A$1:$I$89,5,0)</f>
        <v>0</v>
      </c>
      <c r="CV137" s="13" t="e">
        <f t="shared" si="149"/>
        <v>#NUM!</v>
      </c>
      <c r="CW137" s="20" t="e">
        <f t="shared" si="121"/>
        <v>#NUM!</v>
      </c>
      <c r="CX137" s="59" t="e">
        <f t="shared" si="122"/>
        <v>#NUM!</v>
      </c>
      <c r="CY137" s="59">
        <f ca="1">AVERAGE(OFFSET($CX$3,0,0,'Données projet'!$E$13+1,1))-AVERAGE(OFFSET($H$3,0,0,'Données projet'!$E$13+1,1))</f>
        <v>356.07880667298025</v>
      </c>
      <c r="CZ137" s="59">
        <f t="shared" si="150"/>
        <v>396.05161661639659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42.356047534977606</v>
      </c>
      <c r="DG137" s="21">
        <f>EXP(-LN(2)/25)*DG136+(1-EXP(-LN(2)/25))/(LN(2)/25)*Calculateur!DB137*Calculateur!DD137*VLOOKUP('Données projet'!$B$13,Paramètres!$A$1:$I$89,3,0)*0.475*44/12</f>
        <v>5.6522471889830008</v>
      </c>
      <c r="DH137" s="21">
        <f>EXP(-LN(2)/2)*DH136+(1-EXP(-LN(2)/2))/(LN(2)/2)*DB137*DE137*VLOOKUP('Données projet'!$B$13,Paramètres!$A$1:$I$89,3,0)*0.475*44/12</f>
        <v>2.4935833302761263E-10</v>
      </c>
      <c r="DI137" s="22">
        <f t="shared" si="123"/>
        <v>48.008294724209961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>
        <f>DO137*VLOOKUP('Données projet'!$B$14,Paramètres!$A$1:$I$89,3,0)*VLOOKUP('Données projet'!$B$14,Paramètres!$A$1:$I$89,5,0)</f>
        <v>0</v>
      </c>
      <c r="DQ137" s="13" t="e">
        <f t="shared" si="151"/>
        <v>#NUM!</v>
      </c>
      <c r="DR137" s="20" t="e">
        <f t="shared" si="124"/>
        <v>#NUM!</v>
      </c>
      <c r="DS137" s="59" t="e">
        <f t="shared" si="125"/>
        <v>#NUM!</v>
      </c>
      <c r="DT137" s="59">
        <f ca="1">AVERAGE(OFFSET($DS$3,0,0,'Données projet'!$E$14+1,1))-AVERAGE(OFFSET($H$3,0,0,'Données projet'!$E$14+1,1))</f>
        <v>246.11623544660486</v>
      </c>
      <c r="DU137" s="59">
        <f t="shared" si="152"/>
        <v>273.18950868898253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29.060068431178109</v>
      </c>
      <c r="EB137" s="21">
        <f>EXP(-LN(2)/25)*EB136+(1-EXP(-LN(2)/25))/(LN(2)/25)*Calculateur!DW137*Calculateur!DY137*VLOOKUP('Données projet'!$B$14,Paramètres!$A$1:$I$89,3,0)*0.475*44/12</f>
        <v>5.1339691141754571</v>
      </c>
      <c r="EC137" s="21">
        <f>EXP(-LN(2)/2)*EC136+(1-EXP(-LN(2)/2))/(LN(2)/2)*DW137*DZ137*VLOOKUP('Données projet'!$B$14,Paramètres!$A$1:$I$89,3,0)*0.475*44/12</f>
        <v>2.3694245397295718E-10</v>
      </c>
      <c r="ED137" s="22">
        <f t="shared" si="126"/>
        <v>34.194037545590511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5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67">
        <f t="shared" si="110"/>
        <v>183.33333333333334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-1.7053025658242404E-13</v>
      </c>
      <c r="O138" s="13">
        <f>N138*VLOOKUP('Données projet'!$B$9,Paramètres!$A$1:$I$89,3,0)*VLOOKUP('Données projet'!$B$9,Paramètres!$A$1:$I$89,5,0)</f>
        <v>-1.72917680174578E-13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538.10210778862256</v>
      </c>
      <c r="T138" s="59">
        <f t="shared" si="142"/>
        <v>399.53300632021399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151.96527048268163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151.96527048268163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-1.7053025658242404E-13</v>
      </c>
      <c r="AJ138" s="13">
        <f>AI138*VLOOKUP('Données projet'!$B$10,Paramètres!$A$1:$I$89,3,0)*VLOOKUP('Données projet'!$B$10,Paramètres!$A$1:$I$89,5,0)</f>
        <v>-1.7823822417994965E-13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552.26894123675538</v>
      </c>
      <c r="AO138" s="59">
        <f t="shared" si="144"/>
        <v>409.85604950107006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156.64112495907179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156.64112495907179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-1.1368683772161603E-13</v>
      </c>
      <c r="BE138" s="13">
        <f>BD138*VLOOKUP('Données projet'!$B$11,Paramètres!$A$1:$I$89,3,0)*VLOOKUP('Données projet'!$B$11,Paramètres!$A$1:$I$89,5,0)</f>
        <v>-1.223725121235475E-13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361.24725625563468</v>
      </c>
      <c r="BJ138" s="59">
        <f t="shared" si="146"/>
        <v>186.0840067781198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89.547651599998474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89.547651599998474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-1.7053025658242404E-13</v>
      </c>
      <c r="BZ138" s="13">
        <f>BY138*VLOOKUP('Données projet'!$B$12,Paramètres!$A$1:$I$89,3,0)*VLOOKUP('Données projet'!$B$12,Paramètres!$A$1:$I$89,5,0)</f>
        <v>-1.1439169611549005E-13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323.91378047319455</v>
      </c>
      <c r="CE138" s="59">
        <f t="shared" si="148"/>
        <v>212.89889176380288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94.708861466211744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94.708861466211744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>
        <f>CT138*VLOOKUP('Données projet'!$B$13,Paramètres!$A$1:$I$89,3,0)*VLOOKUP('Données projet'!$B$13,Paramètres!$A$1:$I$89,5,0)</f>
        <v>0</v>
      </c>
      <c r="CV138" s="13" t="e">
        <f t="shared" si="149"/>
        <v>#NUM!</v>
      </c>
      <c r="CW138" s="20" t="e">
        <f t="shared" si="121"/>
        <v>#NUM!</v>
      </c>
      <c r="CX138" s="59" t="e">
        <f t="shared" si="122"/>
        <v>#NUM!</v>
      </c>
      <c r="CY138" s="59">
        <f ca="1">AVERAGE(OFFSET($CX$3,0,0,'Données projet'!$E$13+1,1))-AVERAGE(OFFSET($H$3,0,0,'Données projet'!$E$13+1,1))</f>
        <v>356.07880667298025</v>
      </c>
      <c r="CZ138" s="59">
        <f t="shared" si="150"/>
        <v>396.05161661639659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41.525471277454734</v>
      </c>
      <c r="DG138" s="21">
        <f>EXP(-LN(2)/25)*DG137+(1-EXP(-LN(2)/25))/(LN(2)/25)*Calculateur!DB138*Calculateur!DD138*VLOOKUP('Données projet'!$B$13,Paramètres!$A$1:$I$89,3,0)*0.475*44/12</f>
        <v>5.497686192361499</v>
      </c>
      <c r="DH138" s="21">
        <f>EXP(-LN(2)/2)*DH137+(1-EXP(-LN(2)/2))/(LN(2)/2)*DB138*DE138*VLOOKUP('Données projet'!$B$13,Paramètres!$A$1:$I$89,3,0)*0.475*44/12</f>
        <v>1.7632296822919833E-10</v>
      </c>
      <c r="DI138" s="22">
        <f t="shared" si="123"/>
        <v>47.023157469992555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>
        <f>DO138*VLOOKUP('Données projet'!$B$14,Paramètres!$A$1:$I$89,3,0)*VLOOKUP('Données projet'!$B$14,Paramètres!$A$1:$I$89,5,0)</f>
        <v>0</v>
      </c>
      <c r="DQ138" s="13" t="e">
        <f t="shared" si="151"/>
        <v>#NUM!</v>
      </c>
      <c r="DR138" s="20" t="e">
        <f t="shared" si="124"/>
        <v>#NUM!</v>
      </c>
      <c r="DS138" s="59" t="e">
        <f t="shared" si="125"/>
        <v>#NUM!</v>
      </c>
      <c r="DT138" s="59">
        <f ca="1">AVERAGE(OFFSET($DS$3,0,0,'Données projet'!$E$14+1,1))-AVERAGE(OFFSET($H$3,0,0,'Données projet'!$E$14+1,1))</f>
        <v>246.11623544660486</v>
      </c>
      <c r="DU138" s="59">
        <f t="shared" si="152"/>
        <v>273.18950868898253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28.490218214134263</v>
      </c>
      <c r="EB138" s="21">
        <f>EXP(-LN(2)/25)*EB137+(1-EXP(-LN(2)/25))/(LN(2)/25)*Calculateur!DW138*Calculateur!DY138*VLOOKUP('Données projet'!$B$14,Paramètres!$A$1:$I$89,3,0)*0.475*44/12</f>
        <v>4.9935804587646277</v>
      </c>
      <c r="EC138" s="21">
        <f>EXP(-LN(2)/2)*EC137+(1-EXP(-LN(2)/2))/(LN(2)/2)*DW138*DZ138*VLOOKUP('Données projet'!$B$14,Paramètres!$A$1:$I$89,3,0)*0.475*44/12</f>
        <v>1.6754361595525945E-10</v>
      </c>
      <c r="ED138" s="22">
        <f t="shared" si="126"/>
        <v>33.483798673066438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5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67">
        <f t="shared" si="110"/>
        <v>183.33333333333334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-1.7053025658242404E-13</v>
      </c>
      <c r="O139" s="13">
        <f>N139*VLOOKUP('Données projet'!$B$9,Paramètres!$A$1:$I$89,3,0)*VLOOKUP('Données projet'!$B$9,Paramètres!$A$1:$I$89,5,0)</f>
        <v>-1.72917680174578E-13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538.10210778862256</v>
      </c>
      <c r="T139" s="59">
        <f t="shared" si="142"/>
        <v>399.53300632021399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148.9853242181789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148.9853242181789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-1.7053025658242404E-13</v>
      </c>
      <c r="AJ139" s="13">
        <f>AI139*VLOOKUP('Données projet'!$B$10,Paramètres!$A$1:$I$89,3,0)*VLOOKUP('Données projet'!$B$10,Paramètres!$A$1:$I$89,5,0)</f>
        <v>-1.7823822417994965E-13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552.26894123675538</v>
      </c>
      <c r="AO139" s="59">
        <f t="shared" si="144"/>
        <v>409.85604950107006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153.56948804027667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153.56948804027667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-1.1368683772161603E-13</v>
      </c>
      <c r="BE139" s="13">
        <f>BD139*VLOOKUP('Données projet'!$B$11,Paramètres!$A$1:$I$89,3,0)*VLOOKUP('Données projet'!$B$11,Paramètres!$A$1:$I$89,5,0)</f>
        <v>-1.223725121235475E-13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361.24725625563468</v>
      </c>
      <c r="BJ139" s="59">
        <f t="shared" si="146"/>
        <v>186.0840067781198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87.79167677079684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87.79167677079684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-1.7053025658242404E-13</v>
      </c>
      <c r="BZ139" s="13">
        <f>BY139*VLOOKUP('Données projet'!$B$12,Paramètres!$A$1:$I$89,3,0)*VLOOKUP('Données projet'!$B$12,Paramètres!$A$1:$I$89,5,0)</f>
        <v>-1.1439169611549005E-13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323.91378047319455</v>
      </c>
      <c r="CE139" s="59">
        <f t="shared" si="148"/>
        <v>212.89889176380288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92.851678459560844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92.851678459560844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>
        <f>CT139*VLOOKUP('Données projet'!$B$13,Paramètres!$A$1:$I$89,3,0)*VLOOKUP('Données projet'!$B$13,Paramètres!$A$1:$I$89,5,0)</f>
        <v>0</v>
      </c>
      <c r="CV139" s="13" t="e">
        <f t="shared" si="149"/>
        <v>#NUM!</v>
      </c>
      <c r="CW139" s="20" t="e">
        <f t="shared" si="121"/>
        <v>#NUM!</v>
      </c>
      <c r="CX139" s="59" t="e">
        <f t="shared" si="122"/>
        <v>#NUM!</v>
      </c>
      <c r="CY139" s="59">
        <f ca="1">AVERAGE(OFFSET($CX$3,0,0,'Données projet'!$E$13+1,1))-AVERAGE(OFFSET($H$3,0,0,'Données projet'!$E$13+1,1))</f>
        <v>356.07880667298025</v>
      </c>
      <c r="CZ139" s="59">
        <f t="shared" si="150"/>
        <v>396.05161661639659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40.711182113740392</v>
      </c>
      <c r="DG139" s="21">
        <f>EXP(-LN(2)/25)*DG138+(1-EXP(-LN(2)/25))/(LN(2)/25)*Calculateur!DB139*Calculateur!DD139*VLOOKUP('Données projet'!$B$13,Paramètres!$A$1:$I$89,3,0)*0.475*44/12</f>
        <v>5.3473516743206222</v>
      </c>
      <c r="DH139" s="21">
        <f>EXP(-LN(2)/2)*DH138+(1-EXP(-LN(2)/2))/(LN(2)/2)*DB139*DE139*VLOOKUP('Données projet'!$B$13,Paramètres!$A$1:$I$89,3,0)*0.475*44/12</f>
        <v>1.2467916651380631E-10</v>
      </c>
      <c r="DI139" s="22">
        <f t="shared" si="123"/>
        <v>46.058533788185692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>
        <f>DO139*VLOOKUP('Données projet'!$B$14,Paramètres!$A$1:$I$89,3,0)*VLOOKUP('Données projet'!$B$14,Paramètres!$A$1:$I$89,5,0)</f>
        <v>0</v>
      </c>
      <c r="DQ139" s="13" t="e">
        <f t="shared" si="151"/>
        <v>#NUM!</v>
      </c>
      <c r="DR139" s="20" t="e">
        <f t="shared" si="124"/>
        <v>#NUM!</v>
      </c>
      <c r="DS139" s="59" t="e">
        <f t="shared" si="125"/>
        <v>#NUM!</v>
      </c>
      <c r="DT139" s="59">
        <f ca="1">AVERAGE(OFFSET($DS$3,0,0,'Données projet'!$E$14+1,1))-AVERAGE(OFFSET($H$3,0,0,'Données projet'!$E$14+1,1))</f>
        <v>246.11623544660486</v>
      </c>
      <c r="DU139" s="59">
        <f t="shared" si="152"/>
        <v>273.18950868898253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27.931542412272332</v>
      </c>
      <c r="EB139" s="21">
        <f>EXP(-LN(2)/25)*EB138+(1-EXP(-LN(2)/25))/(LN(2)/25)*Calculateur!DW139*Calculateur!DY139*VLOOKUP('Données projet'!$B$14,Paramètres!$A$1:$I$89,3,0)*0.475*44/12</f>
        <v>4.8570307385187252</v>
      </c>
      <c r="EC139" s="21">
        <f>EXP(-LN(2)/2)*EC138+(1-EXP(-LN(2)/2))/(LN(2)/2)*DW139*DZ139*VLOOKUP('Données projet'!$B$14,Paramètres!$A$1:$I$89,3,0)*0.475*44/12</f>
        <v>1.1847122698647859E-10</v>
      </c>
      <c r="ED139" s="22">
        <f t="shared" si="126"/>
        <v>32.788573150909528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5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67">
        <f t="shared" si="110"/>
        <v>183.33333333333334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-1.7053025658242404E-13</v>
      </c>
      <c r="O140" s="13">
        <f>N140*VLOOKUP('Données projet'!$B$9,Paramètres!$A$1:$I$89,3,0)*VLOOKUP('Données projet'!$B$9,Paramètres!$A$1:$I$89,5,0)</f>
        <v>-1.72917680174578E-13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538.10210778862256</v>
      </c>
      <c r="T140" s="59">
        <f t="shared" si="142"/>
        <v>399.53300632021399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146.06381288233533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146.06381288233533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-1.7053025658242404E-13</v>
      </c>
      <c r="AJ140" s="13">
        <f>AI140*VLOOKUP('Données projet'!$B$10,Paramètres!$A$1:$I$89,3,0)*VLOOKUP('Données projet'!$B$10,Paramètres!$A$1:$I$89,5,0)</f>
        <v>-1.7823822417994965E-13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552.26894123675538</v>
      </c>
      <c r="AO140" s="59">
        <f t="shared" si="144"/>
        <v>409.85604950107006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150.55808404794558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150.55808404794558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-1.1368683772161603E-13</v>
      </c>
      <c r="BE140" s="13">
        <f>BD140*VLOOKUP('Données projet'!$B$11,Paramètres!$A$1:$I$89,3,0)*VLOOKUP('Données projet'!$B$11,Paramètres!$A$1:$I$89,5,0)</f>
        <v>-1.223725121235475E-13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361.24725625563468</v>
      </c>
      <c r="BJ140" s="59">
        <f t="shared" si="146"/>
        <v>186.0840067781198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86.070135536956954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86.070135536956954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-1.7053025658242404E-13</v>
      </c>
      <c r="BZ140" s="13">
        <f>BY140*VLOOKUP('Données projet'!$B$12,Paramètres!$A$1:$I$89,3,0)*VLOOKUP('Données projet'!$B$12,Paramètres!$A$1:$I$89,5,0)</f>
        <v>-1.1439169611549005E-13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323.91378047319455</v>
      </c>
      <c r="CE140" s="59">
        <f t="shared" si="148"/>
        <v>212.89889176380288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91.030913678900575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91.030913678900575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>
        <f>CT140*VLOOKUP('Données projet'!$B$13,Paramètres!$A$1:$I$89,3,0)*VLOOKUP('Données projet'!$B$13,Paramètres!$A$1:$I$89,5,0)</f>
        <v>0</v>
      </c>
      <c r="CV140" s="13" t="e">
        <f t="shared" si="149"/>
        <v>#NUM!</v>
      </c>
      <c r="CW140" s="20" t="e">
        <f t="shared" si="121"/>
        <v>#NUM!</v>
      </c>
      <c r="CX140" s="59" t="e">
        <f t="shared" si="122"/>
        <v>#NUM!</v>
      </c>
      <c r="CY140" s="59">
        <f ca="1">AVERAGE(OFFSET($CX$3,0,0,'Données projet'!$E$13+1,1))-AVERAGE(OFFSET($H$3,0,0,'Données projet'!$E$13+1,1))</f>
        <v>356.07880667298025</v>
      </c>
      <c r="CZ140" s="59">
        <f t="shared" si="150"/>
        <v>396.05161661639659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39.912860663859135</v>
      </c>
      <c r="DG140" s="21">
        <f>EXP(-LN(2)/25)*DG139+(1-EXP(-LN(2)/25))/(LN(2)/25)*Calculateur!DB140*Calculateur!DD140*VLOOKUP('Données projet'!$B$13,Paramètres!$A$1:$I$89,3,0)*0.475*44/12</f>
        <v>5.201128061581322</v>
      </c>
      <c r="DH140" s="21">
        <f>EXP(-LN(2)/2)*DH139+(1-EXP(-LN(2)/2))/(LN(2)/2)*DB140*DE140*VLOOKUP('Données projet'!$B$13,Paramètres!$A$1:$I$89,3,0)*0.475*44/12</f>
        <v>8.8161484114599166E-11</v>
      </c>
      <c r="DI140" s="22">
        <f t="shared" si="123"/>
        <v>45.113988725528621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>
        <f>DO140*VLOOKUP('Données projet'!$B$14,Paramètres!$A$1:$I$89,3,0)*VLOOKUP('Données projet'!$B$14,Paramètres!$A$1:$I$89,5,0)</f>
        <v>0</v>
      </c>
      <c r="DQ140" s="13" t="e">
        <f t="shared" si="151"/>
        <v>#NUM!</v>
      </c>
      <c r="DR140" s="20" t="e">
        <f t="shared" si="124"/>
        <v>#NUM!</v>
      </c>
      <c r="DS140" s="59" t="e">
        <f t="shared" si="125"/>
        <v>#NUM!</v>
      </c>
      <c r="DT140" s="59">
        <f ca="1">AVERAGE(OFFSET($DS$3,0,0,'Données projet'!$E$14+1,1))-AVERAGE(OFFSET($H$3,0,0,'Données projet'!$E$14+1,1))</f>
        <v>246.11623544660486</v>
      </c>
      <c r="DU140" s="59">
        <f t="shared" si="152"/>
        <v>273.18950868898253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27.383821902126321</v>
      </c>
      <c r="EB140" s="21">
        <f>EXP(-LN(2)/25)*EB139+(1-EXP(-LN(2)/25))/(LN(2)/25)*Calculateur!DW140*Calculateur!DY140*VLOOKUP('Données projet'!$B$14,Paramètres!$A$1:$I$89,3,0)*0.475*44/12</f>
        <v>4.7242149775537854</v>
      </c>
      <c r="EC140" s="21">
        <f>EXP(-LN(2)/2)*EC139+(1-EXP(-LN(2)/2))/(LN(2)/2)*DW140*DZ140*VLOOKUP('Données projet'!$B$14,Paramètres!$A$1:$I$89,3,0)*0.475*44/12</f>
        <v>8.3771807977629723E-11</v>
      </c>
      <c r="ED140" s="22">
        <f t="shared" si="126"/>
        <v>32.10803687976388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5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67">
        <f t="shared" si="110"/>
        <v>183.33333333333334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-1.7053025658242404E-13</v>
      </c>
      <c r="O141" s="13">
        <f>N141*VLOOKUP('Données projet'!$B$9,Paramètres!$A$1:$I$89,3,0)*VLOOKUP('Données projet'!$B$9,Paramètres!$A$1:$I$89,5,0)</f>
        <v>-1.72917680174578E-13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538.10210778862256</v>
      </c>
      <c r="T141" s="59">
        <f t="shared" si="142"/>
        <v>399.53300632021399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143.19959060184166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143.19959060184166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-1.7053025658242404E-13</v>
      </c>
      <c r="AJ141" s="13">
        <f>AI141*VLOOKUP('Données projet'!$B$10,Paramètres!$A$1:$I$89,3,0)*VLOOKUP('Données projet'!$B$10,Paramètres!$A$1:$I$89,5,0)</f>
        <v>-1.7823822417994965E-13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552.26894123675538</v>
      </c>
      <c r="AO141" s="59">
        <f t="shared" si="144"/>
        <v>409.85604950107006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147.60573185112904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147.60573185112904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-1.1368683772161603E-13</v>
      </c>
      <c r="BE141" s="13">
        <f>BD141*VLOOKUP('Données projet'!$B$11,Paramètres!$A$1:$I$89,3,0)*VLOOKUP('Données projet'!$B$11,Paramètres!$A$1:$I$89,5,0)</f>
        <v>-1.223725121235475E-13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361.24725625563468</v>
      </c>
      <c r="BJ141" s="59">
        <f t="shared" si="146"/>
        <v>186.0840067781198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84.382352676676192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84.382352676676192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-1.7053025658242404E-13</v>
      </c>
      <c r="BZ141" s="13">
        <f>BY141*VLOOKUP('Données projet'!$B$12,Paramètres!$A$1:$I$89,3,0)*VLOOKUP('Données projet'!$B$12,Paramètres!$A$1:$I$89,5,0)</f>
        <v>-1.1439169611549005E-13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323.91378047319455</v>
      </c>
      <c r="CE141" s="59">
        <f t="shared" si="148"/>
        <v>212.89889176380288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89.245852985032201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89.245852985032201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>
        <f>CT141*VLOOKUP('Données projet'!$B$13,Paramètres!$A$1:$I$89,3,0)*VLOOKUP('Données projet'!$B$13,Paramètres!$A$1:$I$89,5,0)</f>
        <v>0</v>
      </c>
      <c r="CV141" s="13" t="e">
        <f t="shared" si="149"/>
        <v>#NUM!</v>
      </c>
      <c r="CW141" s="20" t="e">
        <f t="shared" si="121"/>
        <v>#NUM!</v>
      </c>
      <c r="CX141" s="59" t="e">
        <f t="shared" si="122"/>
        <v>#NUM!</v>
      </c>
      <c r="CY141" s="59">
        <f ca="1">AVERAGE(OFFSET($CX$3,0,0,'Données projet'!$E$13+1,1))-AVERAGE(OFFSET($H$3,0,0,'Données projet'!$E$13+1,1))</f>
        <v>356.07880667298025</v>
      </c>
      <c r="CZ141" s="59">
        <f t="shared" si="150"/>
        <v>396.05161661639659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39.130193810682051</v>
      </c>
      <c r="DG141" s="21">
        <f>EXP(-LN(2)/25)*DG140+(1-EXP(-LN(2)/25))/(LN(2)/25)*Calculateur!DB141*Calculateur!DD141*VLOOKUP('Données projet'!$B$13,Paramètres!$A$1:$I$89,3,0)*0.475*44/12</f>
        <v>5.0589029412219437</v>
      </c>
      <c r="DH141" s="21">
        <f>EXP(-LN(2)/2)*DH140+(1-EXP(-LN(2)/2))/(LN(2)/2)*DB141*DE141*VLOOKUP('Données projet'!$B$13,Paramètres!$A$1:$I$89,3,0)*0.475*44/12</f>
        <v>6.2339583256903157E-11</v>
      </c>
      <c r="DI141" s="22">
        <f t="shared" si="123"/>
        <v>44.189096751966339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>
        <f>DO141*VLOOKUP('Données projet'!$B$14,Paramètres!$A$1:$I$89,3,0)*VLOOKUP('Données projet'!$B$14,Paramètres!$A$1:$I$89,5,0)</f>
        <v>0</v>
      </c>
      <c r="DQ141" s="13" t="e">
        <f t="shared" si="151"/>
        <v>#NUM!</v>
      </c>
      <c r="DR141" s="20" t="e">
        <f t="shared" si="124"/>
        <v>#NUM!</v>
      </c>
      <c r="DS141" s="59" t="e">
        <f t="shared" si="125"/>
        <v>#NUM!</v>
      </c>
      <c r="DT141" s="59">
        <f ca="1">AVERAGE(OFFSET($DS$3,0,0,'Données projet'!$E$14+1,1))-AVERAGE(OFFSET($H$3,0,0,'Données projet'!$E$14+1,1))</f>
        <v>246.11623544660486</v>
      </c>
      <c r="DU141" s="59">
        <f t="shared" si="152"/>
        <v>273.18950868898253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26.846841857107751</v>
      </c>
      <c r="EB141" s="21">
        <f>EXP(-LN(2)/25)*EB140+(1-EXP(-LN(2)/25))/(LN(2)/25)*Calculateur!DW141*Calculateur!DY141*VLOOKUP('Données projet'!$B$14,Paramètres!$A$1:$I$89,3,0)*0.475*44/12</f>
        <v>4.5950310705569084</v>
      </c>
      <c r="EC141" s="21">
        <f>EXP(-LN(2)/2)*EC140+(1-EXP(-LN(2)/2))/(LN(2)/2)*DW141*DZ141*VLOOKUP('Données projet'!$B$14,Paramètres!$A$1:$I$89,3,0)*0.475*44/12</f>
        <v>5.9235613493239296E-11</v>
      </c>
      <c r="ED141" s="22">
        <f t="shared" si="126"/>
        <v>31.441872927723896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5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67">
        <f t="shared" si="110"/>
        <v>183.33333333333334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-1.7053025658242404E-13</v>
      </c>
      <c r="O142" s="13">
        <f>N142*VLOOKUP('Données projet'!$B$9,Paramètres!$A$1:$I$89,3,0)*VLOOKUP('Données projet'!$B$9,Paramètres!$A$1:$I$89,5,0)</f>
        <v>-1.72917680174578E-13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538.10210778862256</v>
      </c>
      <c r="T142" s="59">
        <f t="shared" si="142"/>
        <v>399.53300632021399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140.39153397326541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140.39153397326541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-1.7053025658242404E-13</v>
      </c>
      <c r="AJ142" s="13">
        <f>AI142*VLOOKUP('Données projet'!$B$10,Paramètres!$A$1:$I$89,3,0)*VLOOKUP('Données projet'!$B$10,Paramètres!$A$1:$I$89,5,0)</f>
        <v>-1.7823822417994965E-13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552.26894123675538</v>
      </c>
      <c r="AO142" s="59">
        <f t="shared" si="144"/>
        <v>409.85604950107006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144.71127348013505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144.71127348013505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-1.1368683772161603E-13</v>
      </c>
      <c r="BE142" s="13">
        <f>BD142*VLOOKUP('Données projet'!$B$11,Paramètres!$A$1:$I$89,3,0)*VLOOKUP('Données projet'!$B$11,Paramètres!$A$1:$I$89,5,0)</f>
        <v>-1.223725121235475E-13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361.24725625563468</v>
      </c>
      <c r="BJ142" s="59">
        <f t="shared" si="146"/>
        <v>186.0840067781198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82.727666208839651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82.727666208839651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-1.7053025658242404E-13</v>
      </c>
      <c r="BZ142" s="13">
        <f>BY142*VLOOKUP('Données projet'!$B$12,Paramètres!$A$1:$I$89,3,0)*VLOOKUP('Données projet'!$B$12,Paramètres!$A$1:$I$89,5,0)</f>
        <v>-1.1439169611549005E-13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323.91378047319455</v>
      </c>
      <c r="CE142" s="59">
        <f t="shared" si="148"/>
        <v>212.89889176380288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87.495796242591069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87.495796242591069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>
        <f>CT142*VLOOKUP('Données projet'!$B$13,Paramètres!$A$1:$I$89,3,0)*VLOOKUP('Données projet'!$B$13,Paramètres!$A$1:$I$89,5,0)</f>
        <v>0</v>
      </c>
      <c r="CV142" s="13" t="e">
        <f t="shared" si="149"/>
        <v>#NUM!</v>
      </c>
      <c r="CW142" s="20" t="e">
        <f t="shared" si="121"/>
        <v>#NUM!</v>
      </c>
      <c r="CX142" s="59" t="e">
        <f t="shared" si="122"/>
        <v>#NUM!</v>
      </c>
      <c r="CY142" s="59">
        <f ca="1">AVERAGE(OFFSET($CX$3,0,0,'Données projet'!$E$13+1,1))-AVERAGE(OFFSET($H$3,0,0,'Données projet'!$E$13+1,1))</f>
        <v>356.07880667298025</v>
      </c>
      <c r="CZ142" s="59">
        <f t="shared" si="150"/>
        <v>396.05161661639659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38.362874577116123</v>
      </c>
      <c r="DG142" s="21">
        <f>EXP(-LN(2)/25)*DG141+(1-EXP(-LN(2)/25))/(LN(2)/25)*Calculateur!DB142*Calculateur!DD142*VLOOKUP('Données projet'!$B$13,Paramètres!$A$1:$I$89,3,0)*0.475*44/12</f>
        <v>4.9205669742580866</v>
      </c>
      <c r="DH142" s="21">
        <f>EXP(-LN(2)/2)*DH141+(1-EXP(-LN(2)/2))/(LN(2)/2)*DB142*DE142*VLOOKUP('Données projet'!$B$13,Paramètres!$A$1:$I$89,3,0)*0.475*44/12</f>
        <v>4.4080742057299583E-11</v>
      </c>
      <c r="DI142" s="22">
        <f t="shared" si="123"/>
        <v>43.283441551418292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>
        <f>DO142*VLOOKUP('Données projet'!$B$14,Paramètres!$A$1:$I$89,3,0)*VLOOKUP('Données projet'!$B$14,Paramètres!$A$1:$I$89,5,0)</f>
        <v>0</v>
      </c>
      <c r="DQ142" s="13" t="e">
        <f t="shared" si="151"/>
        <v>#NUM!</v>
      </c>
      <c r="DR142" s="20" t="e">
        <f t="shared" si="124"/>
        <v>#NUM!</v>
      </c>
      <c r="DS142" s="59" t="e">
        <f t="shared" si="125"/>
        <v>#NUM!</v>
      </c>
      <c r="DT142" s="59">
        <f ca="1">AVERAGE(OFFSET($DS$3,0,0,'Données projet'!$E$14+1,1))-AVERAGE(OFFSET($H$3,0,0,'Données projet'!$E$14+1,1))</f>
        <v>246.11623544660486</v>
      </c>
      <c r="DU142" s="59">
        <f t="shared" si="152"/>
        <v>273.18950868898253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26.320391663246507</v>
      </c>
      <c r="EB142" s="21">
        <f>EXP(-LN(2)/25)*EB141+(1-EXP(-LN(2)/25))/(LN(2)/25)*Calculateur!DW142*Calculateur!DY142*VLOOKUP('Données projet'!$B$14,Paramètres!$A$1:$I$89,3,0)*0.475*44/12</f>
        <v>4.4693797042903478</v>
      </c>
      <c r="EC142" s="21">
        <f>EXP(-LN(2)/2)*EC141+(1-EXP(-LN(2)/2))/(LN(2)/2)*DW142*DZ142*VLOOKUP('Données projet'!$B$14,Paramètres!$A$1:$I$89,3,0)*0.475*44/12</f>
        <v>4.1885903988814861E-11</v>
      </c>
      <c r="ED142" s="22">
        <f t="shared" si="126"/>
        <v>30.789771367578741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5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67">
        <f t="shared" si="110"/>
        <v>183.33333333333334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-1.7053025658242404E-13</v>
      </c>
      <c r="O143" s="13">
        <f>N143*VLOOKUP('Données projet'!$B$9,Paramètres!$A$1:$I$89,3,0)*VLOOKUP('Données projet'!$B$9,Paramètres!$A$1:$I$89,5,0)</f>
        <v>-1.72917680174578E-13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538.10210778862256</v>
      </c>
      <c r="T143" s="59">
        <f t="shared" si="142"/>
        <v>399.53300632021399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137.6385416224301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137.6385416224301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-1.7053025658242404E-13</v>
      </c>
      <c r="AJ143" s="13">
        <f>AI143*VLOOKUP('Données projet'!$B$10,Paramètres!$A$1:$I$89,3,0)*VLOOKUP('Données projet'!$B$10,Paramètres!$A$1:$I$89,5,0)</f>
        <v>-1.7823822417994965E-13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552.26894123675538</v>
      </c>
      <c r="AO143" s="59">
        <f t="shared" si="144"/>
        <v>409.85604950107006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141.87357367235097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141.87357367235097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-1.1368683772161603E-13</v>
      </c>
      <c r="BE143" s="13">
        <f>BD143*VLOOKUP('Données projet'!$B$11,Paramètres!$A$1:$I$89,3,0)*VLOOKUP('Données projet'!$B$11,Paramètres!$A$1:$I$89,5,0)</f>
        <v>-1.223725121235475E-13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361.24725625563468</v>
      </c>
      <c r="BJ143" s="59">
        <f t="shared" si="146"/>
        <v>186.0840067781198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81.105427133378285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81.105427133378285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-1.7053025658242404E-13</v>
      </c>
      <c r="BZ143" s="13">
        <f>BY143*VLOOKUP('Données projet'!$B$12,Paramètres!$A$1:$I$89,3,0)*VLOOKUP('Données projet'!$B$12,Paramètres!$A$1:$I$89,5,0)</f>
        <v>-1.1439169611549005E-13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323.91378047319455</v>
      </c>
      <c r="CE143" s="59">
        <f t="shared" si="148"/>
        <v>212.89889176380288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85.780057045440003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85.780057045440003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>
        <f>CT143*VLOOKUP('Données projet'!$B$13,Paramètres!$A$1:$I$89,3,0)*VLOOKUP('Données projet'!$B$13,Paramètres!$A$1:$I$89,5,0)</f>
        <v>0</v>
      </c>
      <c r="CV143" s="13" t="e">
        <f t="shared" si="149"/>
        <v>#NUM!</v>
      </c>
      <c r="CW143" s="20" t="e">
        <f t="shared" si="121"/>
        <v>#NUM!</v>
      </c>
      <c r="CX143" s="59" t="e">
        <f t="shared" si="122"/>
        <v>#NUM!</v>
      </c>
      <c r="CY143" s="59">
        <f ca="1">AVERAGE(OFFSET($CX$3,0,0,'Données projet'!$E$13+1,1))-AVERAGE(OFFSET($H$3,0,0,'Données projet'!$E$13+1,1))</f>
        <v>356.07880667298025</v>
      </c>
      <c r="CZ143" s="59">
        <f t="shared" si="150"/>
        <v>396.05161661639659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37.610602005701907</v>
      </c>
      <c r="DG143" s="21">
        <f>EXP(-LN(2)/25)*DG142+(1-EXP(-LN(2)/25))/(LN(2)/25)*Calculateur!DB143*Calculateur!DD143*VLOOKUP('Données projet'!$B$13,Paramètres!$A$1:$I$89,3,0)*0.475*44/12</f>
        <v>4.7860138115856286</v>
      </c>
      <c r="DH143" s="21">
        <f>EXP(-LN(2)/2)*DH142+(1-EXP(-LN(2)/2))/(LN(2)/2)*DB143*DE143*VLOOKUP('Données projet'!$B$13,Paramètres!$A$1:$I$89,3,0)*0.475*44/12</f>
        <v>3.1169791628451578E-11</v>
      </c>
      <c r="DI143" s="22">
        <f t="shared" si="123"/>
        <v>42.396615817318704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>
        <f>DO143*VLOOKUP('Données projet'!$B$14,Paramètres!$A$1:$I$89,3,0)*VLOOKUP('Données projet'!$B$14,Paramètres!$A$1:$I$89,5,0)</f>
        <v>0</v>
      </c>
      <c r="DQ143" s="13" t="e">
        <f t="shared" si="151"/>
        <v>#NUM!</v>
      </c>
      <c r="DR143" s="20" t="e">
        <f t="shared" si="124"/>
        <v>#NUM!</v>
      </c>
      <c r="DS143" s="59" t="e">
        <f t="shared" si="125"/>
        <v>#NUM!</v>
      </c>
      <c r="DT143" s="59">
        <f ca="1">AVERAGE(OFFSET($DS$3,0,0,'Données projet'!$E$14+1,1))-AVERAGE(OFFSET($H$3,0,0,'Données projet'!$E$14+1,1))</f>
        <v>246.11623544660486</v>
      </c>
      <c r="DU143" s="59">
        <f t="shared" si="152"/>
        <v>273.18950868898253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25.804264836583972</v>
      </c>
      <c r="EB143" s="21">
        <f>EXP(-LN(2)/25)*EB142+(1-EXP(-LN(2)/25))/(LN(2)/25)*Calculateur!DW143*Calculateur!DY143*VLOOKUP('Données projet'!$B$14,Paramètres!$A$1:$I$89,3,0)*0.475*44/12</f>
        <v>4.3471642812420646</v>
      </c>
      <c r="EC143" s="21">
        <f>EXP(-LN(2)/2)*EC142+(1-EXP(-LN(2)/2))/(LN(2)/2)*DW143*DZ143*VLOOKUP('Données projet'!$B$14,Paramètres!$A$1:$I$89,3,0)*0.475*44/12</f>
        <v>2.9617806746619648E-11</v>
      </c>
      <c r="ED143" s="22">
        <f t="shared" si="126"/>
        <v>30.151429117855656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5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67">
        <f t="shared" si="110"/>
        <v>183.33333333333334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-1.7053025658242404E-13</v>
      </c>
      <c r="O144" s="13">
        <f>N144*VLOOKUP('Données projet'!$B$9,Paramètres!$A$1:$I$89,3,0)*VLOOKUP('Données projet'!$B$9,Paramètres!$A$1:$I$89,5,0)</f>
        <v>-1.72917680174578E-13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538.10210778862256</v>
      </c>
      <c r="T144" s="59">
        <f t="shared" si="142"/>
        <v>399.53300632021399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134.93953377243514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134.93953377243514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-1.7053025658242404E-13</v>
      </c>
      <c r="AJ144" s="13">
        <f>AI144*VLOOKUP('Données projet'!$B$10,Paramètres!$A$1:$I$89,3,0)*VLOOKUP('Données projet'!$B$10,Paramètres!$A$1:$I$89,5,0)</f>
        <v>-1.7823822417994965E-13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552.26894123675538</v>
      </c>
      <c r="AO144" s="59">
        <f t="shared" si="144"/>
        <v>409.85604950107006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139.09151942697156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139.09151942697156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-1.1368683772161603E-13</v>
      </c>
      <c r="BE144" s="13">
        <f>BD144*VLOOKUP('Données projet'!$B$11,Paramètres!$A$1:$I$89,3,0)*VLOOKUP('Données projet'!$B$11,Paramètres!$A$1:$I$89,5,0)</f>
        <v>-1.223725121235475E-13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361.24725625563468</v>
      </c>
      <c r="BJ144" s="59">
        <f t="shared" si="146"/>
        <v>186.0840067781198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79.51499917671859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79.51499917671859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-1.7053025658242404E-13</v>
      </c>
      <c r="BZ144" s="13">
        <f>BY144*VLOOKUP('Données projet'!$B$12,Paramètres!$A$1:$I$89,3,0)*VLOOKUP('Données projet'!$B$12,Paramètres!$A$1:$I$89,5,0)</f>
        <v>-1.1439169611549005E-13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323.91378047319455</v>
      </c>
      <c r="CE144" s="59">
        <f t="shared" si="148"/>
        <v>212.89889176380288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84.097962447447486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84.097962447447486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>
        <f>CT144*VLOOKUP('Données projet'!$B$13,Paramètres!$A$1:$I$89,3,0)*VLOOKUP('Données projet'!$B$13,Paramètres!$A$1:$I$89,5,0)</f>
        <v>0</v>
      </c>
      <c r="CV144" s="13" t="e">
        <f t="shared" si="149"/>
        <v>#NUM!</v>
      </c>
      <c r="CW144" s="20" t="e">
        <f t="shared" si="121"/>
        <v>#NUM!</v>
      </c>
      <c r="CX144" s="59" t="e">
        <f t="shared" si="122"/>
        <v>#NUM!</v>
      </c>
      <c r="CY144" s="59">
        <f ca="1">AVERAGE(OFFSET($CX$3,0,0,'Données projet'!$E$13+1,1))-AVERAGE(OFFSET($H$3,0,0,'Données projet'!$E$13+1,1))</f>
        <v>356.07880667298025</v>
      </c>
      <c r="CZ144" s="59">
        <f t="shared" si="150"/>
        <v>396.05161661639659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36.87308104057216</v>
      </c>
      <c r="DG144" s="21">
        <f>EXP(-LN(2)/25)*DG143+(1-EXP(-LN(2)/25))/(LN(2)/25)*Calculateur!DB144*Calculateur!DD144*VLOOKUP('Données projet'!$B$13,Paramètres!$A$1:$I$89,3,0)*0.475*44/12</f>
        <v>4.6551400122222919</v>
      </c>
      <c r="DH144" s="21">
        <f>EXP(-LN(2)/2)*DH143+(1-EXP(-LN(2)/2))/(LN(2)/2)*DB144*DE144*VLOOKUP('Données projet'!$B$13,Paramètres!$A$1:$I$89,3,0)*0.475*44/12</f>
        <v>2.2040371028649791E-11</v>
      </c>
      <c r="DI144" s="22">
        <f t="shared" si="123"/>
        <v>41.528221052816491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>
        <f>DO144*VLOOKUP('Données projet'!$B$14,Paramètres!$A$1:$I$89,3,0)*VLOOKUP('Données projet'!$B$14,Paramètres!$A$1:$I$89,5,0)</f>
        <v>0</v>
      </c>
      <c r="DQ144" s="13" t="e">
        <f t="shared" si="151"/>
        <v>#NUM!</v>
      </c>
      <c r="DR144" s="20" t="e">
        <f t="shared" si="124"/>
        <v>#NUM!</v>
      </c>
      <c r="DS144" s="59" t="e">
        <f t="shared" si="125"/>
        <v>#NUM!</v>
      </c>
      <c r="DT144" s="59">
        <f ca="1">AVERAGE(OFFSET($DS$3,0,0,'Données projet'!$E$14+1,1))-AVERAGE(OFFSET($H$3,0,0,'Données projet'!$E$14+1,1))</f>
        <v>246.11623544660486</v>
      </c>
      <c r="DU144" s="59">
        <f t="shared" si="152"/>
        <v>273.18950868898253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25.29825894218601</v>
      </c>
      <c r="EB144" s="21">
        <f>EXP(-LN(2)/25)*EB143+(1-EXP(-LN(2)/25))/(LN(2)/25)*Calculateur!DW144*Calculateur!DY144*VLOOKUP('Données projet'!$B$14,Paramètres!$A$1:$I$89,3,0)*0.475*44/12</f>
        <v>4.2282908453640662</v>
      </c>
      <c r="EC144" s="21">
        <f>EXP(-LN(2)/2)*EC143+(1-EXP(-LN(2)/2))/(LN(2)/2)*DW144*DZ144*VLOOKUP('Données projet'!$B$14,Paramètres!$A$1:$I$89,3,0)*0.475*44/12</f>
        <v>2.0942951994407431E-11</v>
      </c>
      <c r="ED144" s="22">
        <f t="shared" si="126"/>
        <v>29.526549787571017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5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67">
        <f t="shared" si="110"/>
        <v>183.33333333333334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-1.7053025658242404E-13</v>
      </c>
      <c r="O145" s="13">
        <f>N145*VLOOKUP('Données projet'!$B$9,Paramètres!$A$1:$I$89,3,0)*VLOOKUP('Données projet'!$B$9,Paramètres!$A$1:$I$89,5,0)</f>
        <v>-1.72917680174578E-13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538.10210778862256</v>
      </c>
      <c r="T145" s="59">
        <f t="shared" si="142"/>
        <v>399.53300632021399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132.29345182014634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132.29345182014634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-1.7053025658242404E-13</v>
      </c>
      <c r="AJ145" s="13">
        <f>AI145*VLOOKUP('Données projet'!$B$10,Paramètres!$A$1:$I$89,3,0)*VLOOKUP('Données projet'!$B$10,Paramètres!$A$1:$I$89,5,0)</f>
        <v>-1.7823822417994965E-13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552.26894123675538</v>
      </c>
      <c r="AO145" s="59">
        <f t="shared" si="144"/>
        <v>409.85604950107006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136.3640195684585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136.3640195684585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-1.1368683772161603E-13</v>
      </c>
      <c r="BE145" s="13">
        <f>BD145*VLOOKUP('Données projet'!$B$11,Paramètres!$A$1:$I$89,3,0)*VLOOKUP('Données projet'!$B$11,Paramètres!$A$1:$I$89,5,0)</f>
        <v>-1.223725121235475E-13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361.24725625563468</v>
      </c>
      <c r="BJ145" s="59">
        <f t="shared" si="146"/>
        <v>186.0840067781198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77.95575854222372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77.95575854222372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-1.7053025658242404E-13</v>
      </c>
      <c r="BZ145" s="13">
        <f>BY145*VLOOKUP('Données projet'!$B$12,Paramètres!$A$1:$I$89,3,0)*VLOOKUP('Données projet'!$B$12,Paramètres!$A$1:$I$89,5,0)</f>
        <v>-1.1439169611549005E-13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323.91378047319455</v>
      </c>
      <c r="CE145" s="59">
        <f t="shared" si="148"/>
        <v>212.89889176380288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82.44885269854521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82.44885269854521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>
        <f>CT145*VLOOKUP('Données projet'!$B$13,Paramètres!$A$1:$I$89,3,0)*VLOOKUP('Données projet'!$B$13,Paramètres!$A$1:$I$89,5,0)</f>
        <v>0</v>
      </c>
      <c r="CV145" s="13" t="e">
        <f t="shared" si="149"/>
        <v>#NUM!</v>
      </c>
      <c r="CW145" s="20" t="e">
        <f t="shared" si="121"/>
        <v>#NUM!</v>
      </c>
      <c r="CX145" s="59" t="e">
        <f t="shared" si="122"/>
        <v>#NUM!</v>
      </c>
      <c r="CY145" s="59">
        <f ca="1">AVERAGE(OFFSET($CX$3,0,0,'Données projet'!$E$13+1,1))-AVERAGE(OFFSET($H$3,0,0,'Données projet'!$E$13+1,1))</f>
        <v>356.07880667298025</v>
      </c>
      <c r="CZ145" s="59">
        <f t="shared" si="150"/>
        <v>396.05161661639659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36.150022411725239</v>
      </c>
      <c r="DG145" s="21">
        <f>EXP(-LN(2)/25)*DG144+(1-EXP(-LN(2)/25))/(LN(2)/25)*Calculateur!DB145*Calculateur!DD145*VLOOKUP('Données projet'!$B$13,Paramètres!$A$1:$I$89,3,0)*0.475*44/12</f>
        <v>4.5278449637848999</v>
      </c>
      <c r="DH145" s="21">
        <f>EXP(-LN(2)/2)*DH144+(1-EXP(-LN(2)/2))/(LN(2)/2)*DB145*DE145*VLOOKUP('Données projet'!$B$13,Paramètres!$A$1:$I$89,3,0)*0.475*44/12</f>
        <v>1.5584895814225789E-11</v>
      </c>
      <c r="DI145" s="22">
        <f t="shared" si="123"/>
        <v>40.677867375525722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>
        <f>DO145*VLOOKUP('Données projet'!$B$14,Paramètres!$A$1:$I$89,3,0)*VLOOKUP('Données projet'!$B$14,Paramètres!$A$1:$I$89,5,0)</f>
        <v>0</v>
      </c>
      <c r="DQ145" s="13" t="e">
        <f t="shared" si="151"/>
        <v>#NUM!</v>
      </c>
      <c r="DR145" s="20" t="e">
        <f t="shared" si="124"/>
        <v>#NUM!</v>
      </c>
      <c r="DS145" s="59" t="e">
        <f t="shared" si="125"/>
        <v>#NUM!</v>
      </c>
      <c r="DT145" s="59">
        <f ca="1">AVERAGE(OFFSET($DS$3,0,0,'Données projet'!$E$14+1,1))-AVERAGE(OFFSET($H$3,0,0,'Données projet'!$E$14+1,1))</f>
        <v>246.11623544660486</v>
      </c>
      <c r="DU145" s="59">
        <f t="shared" si="152"/>
        <v>273.18950868898253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24.802175514744071</v>
      </c>
      <c r="EB145" s="21">
        <f>EXP(-LN(2)/25)*EB144+(1-EXP(-LN(2)/25))/(LN(2)/25)*Calculateur!DW145*Calculateur!DY145*VLOOKUP('Données projet'!$B$14,Paramètres!$A$1:$I$89,3,0)*0.475*44/12</f>
        <v>4.1126680098414345</v>
      </c>
      <c r="EC145" s="21">
        <f>EXP(-LN(2)/2)*EC144+(1-EXP(-LN(2)/2))/(LN(2)/2)*DW145*DZ145*VLOOKUP('Données projet'!$B$14,Paramètres!$A$1:$I$89,3,0)*0.475*44/12</f>
        <v>1.4808903373309824E-11</v>
      </c>
      <c r="ED145" s="22">
        <f t="shared" si="126"/>
        <v>28.914843524600315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5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67">
        <f t="shared" si="110"/>
        <v>183.33333333333334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-1.7053025658242404E-13</v>
      </c>
      <c r="O146" s="13">
        <f>N146*VLOOKUP('Données projet'!$B$9,Paramètres!$A$1:$I$89,3,0)*VLOOKUP('Données projet'!$B$9,Paramètres!$A$1:$I$89,5,0)</f>
        <v>-1.72917680174578E-13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538.10210778862256</v>
      </c>
      <c r="T146" s="59">
        <f t="shared" si="142"/>
        <v>399.53300632021399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129.6992579209913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129.6992579209913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-1.7053025658242404E-13</v>
      </c>
      <c r="AJ146" s="13">
        <f>AI146*VLOOKUP('Données projet'!$B$10,Paramètres!$A$1:$I$89,3,0)*VLOOKUP('Données projet'!$B$10,Paramètres!$A$1:$I$89,5,0)</f>
        <v>-1.7823822417994965E-13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552.26894123675538</v>
      </c>
      <c r="AO146" s="59">
        <f t="shared" si="144"/>
        <v>409.85604950107006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133.69000431856023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133.69000431856023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-1.1368683772161603E-13</v>
      </c>
      <c r="BE146" s="13">
        <f>BD146*VLOOKUP('Données projet'!$B$11,Paramètres!$A$1:$I$89,3,0)*VLOOKUP('Données projet'!$B$11,Paramètres!$A$1:$I$89,5,0)</f>
        <v>-1.223725121235475E-13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361.24725625563468</v>
      </c>
      <c r="BJ146" s="59">
        <f t="shared" si="146"/>
        <v>186.0840067781198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76.427093665528417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76.427093665528417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-1.7053025658242404E-13</v>
      </c>
      <c r="BZ146" s="13">
        <f>BY146*VLOOKUP('Données projet'!$B$12,Paramètres!$A$1:$I$89,3,0)*VLOOKUP('Données projet'!$B$12,Paramètres!$A$1:$I$89,5,0)</f>
        <v>-1.1439169611549005E-13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323.91378047319455</v>
      </c>
      <c r="CE146" s="59">
        <f t="shared" si="148"/>
        <v>212.89889176380288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80.832080985961269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80.832080985961269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>
        <f>CT146*VLOOKUP('Données projet'!$B$13,Paramètres!$A$1:$I$89,3,0)*VLOOKUP('Données projet'!$B$13,Paramètres!$A$1:$I$89,5,0)</f>
        <v>0</v>
      </c>
      <c r="CV146" s="13" t="e">
        <f t="shared" si="149"/>
        <v>#NUM!</v>
      </c>
      <c r="CW146" s="20" t="e">
        <f t="shared" si="121"/>
        <v>#NUM!</v>
      </c>
      <c r="CX146" s="59" t="e">
        <f t="shared" si="122"/>
        <v>#NUM!</v>
      </c>
      <c r="CY146" s="59">
        <f ca="1">AVERAGE(OFFSET($CX$3,0,0,'Données projet'!$E$13+1,1))-AVERAGE(OFFSET($H$3,0,0,'Données projet'!$E$13+1,1))</f>
        <v>356.07880667298025</v>
      </c>
      <c r="CZ146" s="59">
        <f t="shared" si="150"/>
        <v>396.05161661639659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35.441142521567784</v>
      </c>
      <c r="DG146" s="21">
        <f>EXP(-LN(2)/25)*DG145+(1-EXP(-LN(2)/25))/(LN(2)/25)*Calculateur!DB146*Calculateur!DD146*VLOOKUP('Données projet'!$B$13,Paramètres!$A$1:$I$89,3,0)*0.475*44/12</f>
        <v>4.4040308051411836</v>
      </c>
      <c r="DH146" s="21">
        <f>EXP(-LN(2)/2)*DH145+(1-EXP(-LN(2)/2))/(LN(2)/2)*DB146*DE146*VLOOKUP('Données projet'!$B$13,Paramètres!$A$1:$I$89,3,0)*0.475*44/12</f>
        <v>1.1020185514324896E-11</v>
      </c>
      <c r="DI146" s="22">
        <f t="shared" si="123"/>
        <v>39.845173326719987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>
        <f>DO146*VLOOKUP('Données projet'!$B$14,Paramètres!$A$1:$I$89,3,0)*VLOOKUP('Données projet'!$B$14,Paramètres!$A$1:$I$89,5,0)</f>
        <v>0</v>
      </c>
      <c r="DQ146" s="13" t="e">
        <f t="shared" si="151"/>
        <v>#NUM!</v>
      </c>
      <c r="DR146" s="20" t="e">
        <f t="shared" si="124"/>
        <v>#NUM!</v>
      </c>
      <c r="DS146" s="59" t="e">
        <f t="shared" si="125"/>
        <v>#NUM!</v>
      </c>
      <c r="DT146" s="59">
        <f ca="1">AVERAGE(OFFSET($DS$3,0,0,'Données projet'!$E$14+1,1))-AVERAGE(OFFSET($H$3,0,0,'Données projet'!$E$14+1,1))</f>
        <v>246.11623544660486</v>
      </c>
      <c r="DU146" s="59">
        <f t="shared" si="152"/>
        <v>273.18950868898253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24.315819980733256</v>
      </c>
      <c r="EB146" s="21">
        <f>EXP(-LN(2)/25)*EB145+(1-EXP(-LN(2)/25))/(LN(2)/25)*Calculateur!DW146*Calculateur!DY146*VLOOKUP('Données projet'!$B$14,Paramètres!$A$1:$I$89,3,0)*0.475*44/12</f>
        <v>4.0002068868365095</v>
      </c>
      <c r="EC146" s="21">
        <f>EXP(-LN(2)/2)*EC145+(1-EXP(-LN(2)/2))/(LN(2)/2)*DW146*DZ146*VLOOKUP('Données projet'!$B$14,Paramètres!$A$1:$I$89,3,0)*0.475*44/12</f>
        <v>1.0471475997203715E-11</v>
      </c>
      <c r="ED146" s="22">
        <f t="shared" si="126"/>
        <v>28.316026867580234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5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67">
        <f t="shared" si="110"/>
        <v>183.33333333333334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-1.7053025658242404E-13</v>
      </c>
      <c r="O147" s="13">
        <f>N147*VLOOKUP('Données projet'!$B$9,Paramètres!$A$1:$I$89,3,0)*VLOOKUP('Données projet'!$B$9,Paramètres!$A$1:$I$89,5,0)</f>
        <v>-1.72917680174578E-13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538.10210778862256</v>
      </c>
      <c r="T147" s="59">
        <f t="shared" si="142"/>
        <v>399.53300632021399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127.15593458189666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127.15593458189666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-1.7053025658242404E-13</v>
      </c>
      <c r="AJ147" s="13">
        <f>AI147*VLOOKUP('Données projet'!$B$10,Paramètres!$A$1:$I$89,3,0)*VLOOKUP('Données projet'!$B$10,Paramètres!$A$1:$I$89,5,0)</f>
        <v>-1.7823822417994965E-13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552.26894123675538</v>
      </c>
      <c r="AO147" s="59">
        <f t="shared" si="144"/>
        <v>409.85604950107006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131.06842487672421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131.06842487672421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-1.1368683772161603E-13</v>
      </c>
      <c r="BE147" s="13">
        <f>BD147*VLOOKUP('Données projet'!$B$11,Paramètres!$A$1:$I$89,3,0)*VLOOKUP('Données projet'!$B$11,Paramètres!$A$1:$I$89,5,0)</f>
        <v>-1.223725121235475E-13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361.24725625563468</v>
      </c>
      <c r="BJ147" s="59">
        <f t="shared" si="146"/>
        <v>186.0840067781198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74.928404974671608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74.928404974671608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-1.7053025658242404E-13</v>
      </c>
      <c r="BZ147" s="13">
        <f>BY147*VLOOKUP('Données projet'!$B$12,Paramètres!$A$1:$I$89,3,0)*VLOOKUP('Données projet'!$B$12,Paramètres!$A$1:$I$89,5,0)</f>
        <v>-1.1439169611549005E-13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323.91378047319455</v>
      </c>
      <c r="CE147" s="59">
        <f t="shared" si="148"/>
        <v>212.89889176380288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79.24701318052773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79.24701318052773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>
        <f>CT147*VLOOKUP('Données projet'!$B$13,Paramètres!$A$1:$I$89,3,0)*VLOOKUP('Données projet'!$B$13,Paramètres!$A$1:$I$89,5,0)</f>
        <v>0</v>
      </c>
      <c r="CV147" s="13" t="e">
        <f t="shared" si="149"/>
        <v>#NUM!</v>
      </c>
      <c r="CW147" s="20" t="e">
        <f t="shared" si="121"/>
        <v>#NUM!</v>
      </c>
      <c r="CX147" s="59" t="e">
        <f t="shared" si="122"/>
        <v>#NUM!</v>
      </c>
      <c r="CY147" s="59">
        <f ca="1">AVERAGE(OFFSET($CX$3,0,0,'Données projet'!$E$13+1,1))-AVERAGE(OFFSET($H$3,0,0,'Données projet'!$E$13+1,1))</f>
        <v>356.07880667298025</v>
      </c>
      <c r="CZ147" s="59">
        <f t="shared" si="150"/>
        <v>396.05161661639659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34.746163333682283</v>
      </c>
      <c r="DG147" s="21">
        <f>EXP(-LN(2)/25)*DG146+(1-EXP(-LN(2)/25))/(LN(2)/25)*Calculateur!DB147*Calculateur!DD147*VLOOKUP('Données projet'!$B$13,Paramètres!$A$1:$I$89,3,0)*0.475*44/12</f>
        <v>4.2836023511766834</v>
      </c>
      <c r="DH147" s="21">
        <f>EXP(-LN(2)/2)*DH146+(1-EXP(-LN(2)/2))/(LN(2)/2)*DB147*DE147*VLOOKUP('Données projet'!$B$13,Paramètres!$A$1:$I$89,3,0)*0.475*44/12</f>
        <v>7.7924479071128946E-12</v>
      </c>
      <c r="DI147" s="22">
        <f t="shared" si="123"/>
        <v>39.02976568486676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>
        <f>DO147*VLOOKUP('Données projet'!$B$14,Paramètres!$A$1:$I$89,3,0)*VLOOKUP('Données projet'!$B$14,Paramètres!$A$1:$I$89,5,0)</f>
        <v>0</v>
      </c>
      <c r="DQ147" s="13" t="e">
        <f t="shared" si="151"/>
        <v>#NUM!</v>
      </c>
      <c r="DR147" s="20" t="e">
        <f t="shared" si="124"/>
        <v>#NUM!</v>
      </c>
      <c r="DS147" s="59" t="e">
        <f t="shared" si="125"/>
        <v>#NUM!</v>
      </c>
      <c r="DT147" s="59">
        <f ca="1">AVERAGE(OFFSET($DS$3,0,0,'Données projet'!$E$14+1,1))-AVERAGE(OFFSET($H$3,0,0,'Données projet'!$E$14+1,1))</f>
        <v>246.11623544660486</v>
      </c>
      <c r="DU147" s="59">
        <f t="shared" si="152"/>
        <v>273.18950868898253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23.839001582096806</v>
      </c>
      <c r="EB147" s="21">
        <f>EXP(-LN(2)/25)*EB146+(1-EXP(-LN(2)/25))/(LN(2)/25)*Calculateur!DW147*Calculateur!DY147*VLOOKUP('Données projet'!$B$14,Paramètres!$A$1:$I$89,3,0)*0.475*44/12</f>
        <v>3.8908210191542274</v>
      </c>
      <c r="EC147" s="21">
        <f>EXP(-LN(2)/2)*EC146+(1-EXP(-LN(2)/2))/(LN(2)/2)*DW147*DZ147*VLOOKUP('Données projet'!$B$14,Paramètres!$A$1:$I$89,3,0)*0.475*44/12</f>
        <v>7.404451686654912E-12</v>
      </c>
      <c r="ED147" s="22">
        <f t="shared" si="126"/>
        <v>27.729822601258437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5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67">
        <f t="shared" si="110"/>
        <v>183.33333333333334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-1.7053025658242404E-13</v>
      </c>
      <c r="O148" s="13">
        <f>N148*VLOOKUP('Données projet'!$B$9,Paramètres!$A$1:$I$89,3,0)*VLOOKUP('Données projet'!$B$9,Paramètres!$A$1:$I$89,5,0)</f>
        <v>-1.72917680174578E-13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538.10210778862256</v>
      </c>
      <c r="T148" s="59">
        <f t="shared" si="142"/>
        <v>399.53300632021399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124.6624842622076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124.6624842622076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-1.7053025658242404E-13</v>
      </c>
      <c r="AJ148" s="13">
        <f>AI148*VLOOKUP('Données projet'!$B$10,Paramètres!$A$1:$I$89,3,0)*VLOOKUP('Données projet'!$B$10,Paramètres!$A$1:$I$89,5,0)</f>
        <v>-1.7823822417994965E-13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552.26894123675538</v>
      </c>
      <c r="AO148" s="59">
        <f t="shared" si="144"/>
        <v>409.85604950107006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128.49825300873701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128.49825300873701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-1.1368683772161603E-13</v>
      </c>
      <c r="BE148" s="13">
        <f>BD148*VLOOKUP('Données projet'!$B$11,Paramètres!$A$1:$I$89,3,0)*VLOOKUP('Données projet'!$B$11,Paramètres!$A$1:$I$89,5,0)</f>
        <v>-1.223725121235475E-13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361.24725625563468</v>
      </c>
      <c r="BJ148" s="59">
        <f t="shared" si="146"/>
        <v>186.0840067781198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73.459104654932659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73.459104654932659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-1.7053025658242404E-13</v>
      </c>
      <c r="BZ148" s="13">
        <f>BY148*VLOOKUP('Données projet'!$B$12,Paramètres!$A$1:$I$89,3,0)*VLOOKUP('Données projet'!$B$12,Paramètres!$A$1:$I$89,5,0)</f>
        <v>-1.1439169611549005E-13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323.91378047319455</v>
      </c>
      <c r="CE148" s="59">
        <f t="shared" si="148"/>
        <v>212.89889176380288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77.693027587962845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77.693027587962845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>
        <f>CT148*VLOOKUP('Données projet'!$B$13,Paramètres!$A$1:$I$89,3,0)*VLOOKUP('Données projet'!$B$13,Paramètres!$A$1:$I$89,5,0)</f>
        <v>0</v>
      </c>
      <c r="CV148" s="13" t="e">
        <f t="shared" si="149"/>
        <v>#NUM!</v>
      </c>
      <c r="CW148" s="20" t="e">
        <f t="shared" si="121"/>
        <v>#NUM!</v>
      </c>
      <c r="CX148" s="59" t="e">
        <f t="shared" si="122"/>
        <v>#NUM!</v>
      </c>
      <c r="CY148" s="59">
        <f ca="1">AVERAGE(OFFSET($CX$3,0,0,'Données projet'!$E$13+1,1))-AVERAGE(OFFSET($H$3,0,0,'Données projet'!$E$13+1,1))</f>
        <v>356.07880667298025</v>
      </c>
      <c r="CZ148" s="59">
        <f t="shared" si="150"/>
        <v>396.05161661639659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34.064812263775764</v>
      </c>
      <c r="DG148" s="21">
        <f>EXP(-LN(2)/25)*DG147+(1-EXP(-LN(2)/25))/(LN(2)/25)*Calculateur!DB148*Calculateur!DD148*VLOOKUP('Données projet'!$B$13,Paramètres!$A$1:$I$89,3,0)*0.475*44/12</f>
        <v>4.1664670196188993</v>
      </c>
      <c r="DH148" s="21">
        <f>EXP(-LN(2)/2)*DH147+(1-EXP(-LN(2)/2))/(LN(2)/2)*DB148*DE148*VLOOKUP('Données projet'!$B$13,Paramètres!$A$1:$I$89,3,0)*0.475*44/12</f>
        <v>5.5100927571624478E-12</v>
      </c>
      <c r="DI148" s="22">
        <f t="shared" si="123"/>
        <v>38.23127928340017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>
        <f>DO148*VLOOKUP('Données projet'!$B$14,Paramètres!$A$1:$I$89,3,0)*VLOOKUP('Données projet'!$B$14,Paramètres!$A$1:$I$89,5,0)</f>
        <v>0</v>
      </c>
      <c r="DQ148" s="13" t="e">
        <f t="shared" si="151"/>
        <v>#NUM!</v>
      </c>
      <c r="DR148" s="20" t="e">
        <f t="shared" si="124"/>
        <v>#NUM!</v>
      </c>
      <c r="DS148" s="59" t="e">
        <f t="shared" si="125"/>
        <v>#NUM!</v>
      </c>
      <c r="DT148" s="59">
        <f ca="1">AVERAGE(OFFSET($DS$3,0,0,'Données projet'!$E$14+1,1))-AVERAGE(OFFSET($H$3,0,0,'Données projet'!$E$14+1,1))</f>
        <v>246.11623544660486</v>
      </c>
      <c r="DU148" s="59">
        <f t="shared" si="152"/>
        <v>273.18950868898253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23.37153330142711</v>
      </c>
      <c r="EB148" s="21">
        <f>EXP(-LN(2)/25)*EB147+(1-EXP(-LN(2)/25))/(LN(2)/25)*Calculateur!DW148*Calculateur!DY148*VLOOKUP('Données projet'!$B$14,Paramètres!$A$1:$I$89,3,0)*0.475*44/12</f>
        <v>3.7844263137760703</v>
      </c>
      <c r="EC148" s="21">
        <f>EXP(-LN(2)/2)*EC147+(1-EXP(-LN(2)/2))/(LN(2)/2)*DW148*DZ148*VLOOKUP('Données projet'!$B$14,Paramètres!$A$1:$I$89,3,0)*0.475*44/12</f>
        <v>5.2357379986018577E-12</v>
      </c>
      <c r="ED148" s="22">
        <f t="shared" si="126"/>
        <v>27.155959615208417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5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67">
        <f t="shared" si="110"/>
        <v>183.33333333333334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-1.7053025658242404E-13</v>
      </c>
      <c r="O149" s="13">
        <f>N149*VLOOKUP('Données projet'!$B$9,Paramètres!$A$1:$I$89,3,0)*VLOOKUP('Données projet'!$B$9,Paramètres!$A$1:$I$89,5,0)</f>
        <v>-1.72917680174578E-13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538.10210778862256</v>
      </c>
      <c r="T149" s="59">
        <f t="shared" si="142"/>
        <v>399.53300632021399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122.21792898243312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122.21792898243312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-1.7053025658242404E-13</v>
      </c>
      <c r="AJ149" s="13">
        <f>AI149*VLOOKUP('Données projet'!$B$10,Paramètres!$A$1:$I$89,3,0)*VLOOKUP('Données projet'!$B$10,Paramètres!$A$1:$I$89,5,0)</f>
        <v>-1.7823822417994965E-13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552.26894123675538</v>
      </c>
      <c r="AO149" s="59">
        <f t="shared" si="144"/>
        <v>409.85604950107006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125.978480643431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125.978480643431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-1.1368683772161603E-13</v>
      </c>
      <c r="BE149" s="13">
        <f>BD149*VLOOKUP('Données projet'!$B$11,Paramètres!$A$1:$I$89,3,0)*VLOOKUP('Données projet'!$B$11,Paramètres!$A$1:$I$89,5,0)</f>
        <v>-1.223725121235475E-13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361.24725625563468</v>
      </c>
      <c r="BJ149" s="59">
        <f t="shared" si="146"/>
        <v>186.0840067781198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72.01861641827908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72.01861641827908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-1.7053025658242404E-13</v>
      </c>
      <c r="BZ149" s="13">
        <f>BY149*VLOOKUP('Données projet'!$B$12,Paramètres!$A$1:$I$89,3,0)*VLOOKUP('Données projet'!$B$12,Paramètres!$A$1:$I$89,5,0)</f>
        <v>-1.1439169611549005E-13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323.91378047319455</v>
      </c>
      <c r="CE149" s="59">
        <f t="shared" si="148"/>
        <v>212.89889176380288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76.169514705030537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76.169514705030537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>
        <f>CT149*VLOOKUP('Données projet'!$B$13,Paramètres!$A$1:$I$89,3,0)*VLOOKUP('Données projet'!$B$13,Paramètres!$A$1:$I$89,5,0)</f>
        <v>0</v>
      </c>
      <c r="CV149" s="13" t="e">
        <f t="shared" si="149"/>
        <v>#NUM!</v>
      </c>
      <c r="CW149" s="20" t="e">
        <f t="shared" si="121"/>
        <v>#NUM!</v>
      </c>
      <c r="CX149" s="59" t="e">
        <f t="shared" si="122"/>
        <v>#NUM!</v>
      </c>
      <c r="CY149" s="59">
        <f ca="1">AVERAGE(OFFSET($CX$3,0,0,'Données projet'!$E$13+1,1))-AVERAGE(OFFSET($H$3,0,0,'Données projet'!$E$13+1,1))</f>
        <v>356.07880667298025</v>
      </c>
      <c r="CZ149" s="59">
        <f t="shared" si="150"/>
        <v>396.05161661639659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33.396822072766994</v>
      </c>
      <c r="DG149" s="21">
        <f>EXP(-LN(2)/25)*DG148+(1-EXP(-LN(2)/25))/(LN(2)/25)*Calculateur!DB149*Calculateur!DD149*VLOOKUP('Données projet'!$B$13,Paramètres!$A$1:$I$89,3,0)*0.475*44/12</f>
        <v>4.0525347598624428</v>
      </c>
      <c r="DH149" s="21">
        <f>EXP(-LN(2)/2)*DH148+(1-EXP(-LN(2)/2))/(LN(2)/2)*DB149*DE149*VLOOKUP('Données projet'!$B$13,Paramètres!$A$1:$I$89,3,0)*0.475*44/12</f>
        <v>3.8962239535564473E-12</v>
      </c>
      <c r="DI149" s="22">
        <f t="shared" si="123"/>
        <v>37.449356832633327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>
        <f>DO149*VLOOKUP('Données projet'!$B$14,Paramètres!$A$1:$I$89,3,0)*VLOOKUP('Données projet'!$B$14,Paramètres!$A$1:$I$89,5,0)</f>
        <v>0</v>
      </c>
      <c r="DQ149" s="13" t="e">
        <f t="shared" si="151"/>
        <v>#NUM!</v>
      </c>
      <c r="DR149" s="20" t="e">
        <f t="shared" si="124"/>
        <v>#NUM!</v>
      </c>
      <c r="DS149" s="59" t="e">
        <f t="shared" si="125"/>
        <v>#NUM!</v>
      </c>
      <c r="DT149" s="59">
        <f ca="1">AVERAGE(OFFSET($DS$3,0,0,'Données projet'!$E$14+1,1))-AVERAGE(OFFSET($H$3,0,0,'Données projet'!$E$14+1,1))</f>
        <v>246.11623544660486</v>
      </c>
      <c r="DU149" s="59">
        <f t="shared" si="152"/>
        <v>273.18950868898253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22.913231788613853</v>
      </c>
      <c r="EB149" s="21">
        <f>EXP(-LN(2)/25)*EB148+(1-EXP(-LN(2)/25))/(LN(2)/25)*Calculateur!DW149*Calculateur!DY149*VLOOKUP('Données projet'!$B$14,Paramètres!$A$1:$I$89,3,0)*0.475*44/12</f>
        <v>3.6809409772115331</v>
      </c>
      <c r="EC149" s="21">
        <f>EXP(-LN(2)/2)*EC148+(1-EXP(-LN(2)/2))/(LN(2)/2)*DW149*DZ149*VLOOKUP('Données projet'!$B$14,Paramètres!$A$1:$I$89,3,0)*0.475*44/12</f>
        <v>3.702225843327456E-12</v>
      </c>
      <c r="ED149" s="22">
        <f t="shared" si="126"/>
        <v>26.594172765829089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5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67">
        <f t="shared" si="110"/>
        <v>183.33333333333334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-1.7053025658242404E-13</v>
      </c>
      <c r="O150" s="13">
        <f>N150*VLOOKUP('Données projet'!$B$9,Paramètres!$A$1:$I$89,3,0)*VLOOKUP('Données projet'!$B$9,Paramètres!$A$1:$I$89,5,0)</f>
        <v>-1.72917680174578E-13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538.10210778862256</v>
      </c>
      <c r="T150" s="59">
        <f t="shared" si="142"/>
        <v>399.53300632021399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119.82130994066353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119.82130994066353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-1.7053025658242404E-13</v>
      </c>
      <c r="AJ150" s="13">
        <f>AI150*VLOOKUP('Données projet'!$B$10,Paramètres!$A$1:$I$89,3,0)*VLOOKUP('Données projet'!$B$10,Paramètres!$A$1:$I$89,5,0)</f>
        <v>-1.7823822417994965E-13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552.26894123675538</v>
      </c>
      <c r="AO150" s="59">
        <f t="shared" si="144"/>
        <v>409.85604950107006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123.50811947729926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123.50811947729926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-1.1368683772161603E-13</v>
      </c>
      <c r="BE150" s="13">
        <f>BD150*VLOOKUP('Données projet'!$B$11,Paramètres!$A$1:$I$89,3,0)*VLOOKUP('Données projet'!$B$11,Paramètres!$A$1:$I$89,5,0)</f>
        <v>-1.223725121235475E-13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361.24725625563468</v>
      </c>
      <c r="BJ150" s="59">
        <f t="shared" si="146"/>
        <v>186.0840067781198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70.606375277335204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70.606375277335204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-1.7053025658242404E-13</v>
      </c>
      <c r="BZ150" s="13">
        <f>BY150*VLOOKUP('Données projet'!$B$12,Paramètres!$A$1:$I$89,3,0)*VLOOKUP('Données projet'!$B$12,Paramètres!$A$1:$I$89,5,0)</f>
        <v>-1.1439169611549005E-13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323.91378047319455</v>
      </c>
      <c r="CE150" s="59">
        <f t="shared" si="148"/>
        <v>212.89889176380288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74.675876980481434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74.675876980481434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>
        <f>CT150*VLOOKUP('Données projet'!$B$13,Paramètres!$A$1:$I$89,3,0)*VLOOKUP('Données projet'!$B$13,Paramètres!$A$1:$I$89,5,0)</f>
        <v>0</v>
      </c>
      <c r="CV150" s="13" t="e">
        <f t="shared" si="149"/>
        <v>#NUM!</v>
      </c>
      <c r="CW150" s="20" t="e">
        <f t="shared" si="121"/>
        <v>#NUM!</v>
      </c>
      <c r="CX150" s="59" t="e">
        <f t="shared" si="122"/>
        <v>#NUM!</v>
      </c>
      <c r="CY150" s="59">
        <f ca="1">AVERAGE(OFFSET($CX$3,0,0,'Données projet'!$E$13+1,1))-AVERAGE(OFFSET($H$3,0,0,'Données projet'!$E$13+1,1))</f>
        <v>356.07880667298025</v>
      </c>
      <c r="CZ150" s="59">
        <f t="shared" si="150"/>
        <v>396.05161661639659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32.741930761970124</v>
      </c>
      <c r="DG150" s="21">
        <f>EXP(-LN(2)/25)*DG149+(1-EXP(-LN(2)/25))/(LN(2)/25)*Calculateur!DB150*Calculateur!DD150*VLOOKUP('Données projet'!$B$13,Paramètres!$A$1:$I$89,3,0)*0.475*44/12</f>
        <v>3.9417179837404634</v>
      </c>
      <c r="DH150" s="21">
        <f>EXP(-LN(2)/2)*DH149+(1-EXP(-LN(2)/2))/(LN(2)/2)*DB150*DE150*VLOOKUP('Données projet'!$B$13,Paramètres!$A$1:$I$89,3,0)*0.475*44/12</f>
        <v>2.7550463785812239E-12</v>
      </c>
      <c r="DI150" s="22">
        <f t="shared" si="123"/>
        <v>36.683648745713342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>
        <f>DO150*VLOOKUP('Données projet'!$B$14,Paramètres!$A$1:$I$89,3,0)*VLOOKUP('Données projet'!$B$14,Paramètres!$A$1:$I$89,5,0)</f>
        <v>0</v>
      </c>
      <c r="DQ150" s="13" t="e">
        <f t="shared" si="151"/>
        <v>#NUM!</v>
      </c>
      <c r="DR150" s="20" t="e">
        <f t="shared" si="124"/>
        <v>#NUM!</v>
      </c>
      <c r="DS150" s="59" t="e">
        <f t="shared" si="125"/>
        <v>#NUM!</v>
      </c>
      <c r="DT150" s="59">
        <f ca="1">AVERAGE(OFFSET($DS$3,0,0,'Données projet'!$E$14+1,1))-AVERAGE(OFFSET($H$3,0,0,'Données projet'!$E$14+1,1))</f>
        <v>246.11623544660486</v>
      </c>
      <c r="DU150" s="59">
        <f t="shared" si="152"/>
        <v>273.18950868898253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22.463917288930542</v>
      </c>
      <c r="EB150" s="21">
        <f>EXP(-LN(2)/25)*EB149+(1-EXP(-LN(2)/25))/(LN(2)/25)*Calculateur!DW150*Calculateur!DY150*VLOOKUP('Données projet'!$B$14,Paramètres!$A$1:$I$89,3,0)*0.475*44/12</f>
        <v>3.5802854526174106</v>
      </c>
      <c r="EC150" s="21">
        <f>EXP(-LN(2)/2)*EC149+(1-EXP(-LN(2)/2))/(LN(2)/2)*DW150*DZ150*VLOOKUP('Données projet'!$B$14,Paramètres!$A$1:$I$89,3,0)*0.475*44/12</f>
        <v>2.6178689993009288E-12</v>
      </c>
      <c r="ED150" s="22">
        <f t="shared" si="126"/>
        <v>26.044202741550571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5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67">
        <f t="shared" si="110"/>
        <v>183.33333333333334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-1.7053025658242404E-13</v>
      </c>
      <c r="O151" s="13">
        <f>N151*VLOOKUP('Données projet'!$B$9,Paramètres!$A$1:$I$89,3,0)*VLOOKUP('Données projet'!$B$9,Paramètres!$A$1:$I$89,5,0)</f>
        <v>-1.72917680174578E-13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538.10210778862256</v>
      </c>
      <c r="T151" s="59">
        <f t="shared" si="142"/>
        <v>399.53300632021399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117.47168713650976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117.47168713650976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-1.7053025658242404E-13</v>
      </c>
      <c r="AJ151" s="13">
        <f>AI151*VLOOKUP('Données projet'!$B$10,Paramètres!$A$1:$I$89,3,0)*VLOOKUP('Données projet'!$B$10,Paramètres!$A$1:$I$89,5,0)</f>
        <v>-1.7823822417994965E-13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552.26894123675538</v>
      </c>
      <c r="AO151" s="59">
        <f t="shared" si="144"/>
        <v>409.85604950107006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121.08620058686384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121.08620058686384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-1.1368683772161603E-13</v>
      </c>
      <c r="BE151" s="13">
        <f>BD151*VLOOKUP('Données projet'!$B$11,Paramètres!$A$1:$I$89,3,0)*VLOOKUP('Données projet'!$B$11,Paramètres!$A$1:$I$89,5,0)</f>
        <v>-1.223725121235475E-13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361.24725625563468</v>
      </c>
      <c r="BJ151" s="59">
        <f t="shared" si="146"/>
        <v>186.0840067781198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69.221827323783202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69.221827323783202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-1.7053025658242404E-13</v>
      </c>
      <c r="BZ151" s="13">
        <f>BY151*VLOOKUP('Données projet'!$B$12,Paramètres!$A$1:$I$89,3,0)*VLOOKUP('Données projet'!$B$12,Paramètres!$A$1:$I$89,5,0)</f>
        <v>-1.1439169611549005E-13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323.91378047319455</v>
      </c>
      <c r="CE151" s="59">
        <f t="shared" si="148"/>
        <v>212.89889176380288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73.211528580681687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73.211528580681687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>
        <f>CT151*VLOOKUP('Données projet'!$B$13,Paramètres!$A$1:$I$89,3,0)*VLOOKUP('Données projet'!$B$13,Paramètres!$A$1:$I$89,5,0)</f>
        <v>0</v>
      </c>
      <c r="CV151" s="13" t="e">
        <f t="shared" si="149"/>
        <v>#NUM!</v>
      </c>
      <c r="CW151" s="20" t="e">
        <f t="shared" si="121"/>
        <v>#NUM!</v>
      </c>
      <c r="CX151" s="59" t="e">
        <f t="shared" si="122"/>
        <v>#NUM!</v>
      </c>
      <c r="CY151" s="59">
        <f ca="1">AVERAGE(OFFSET($CX$3,0,0,'Données projet'!$E$13+1,1))-AVERAGE(OFFSET($H$3,0,0,'Données projet'!$E$13+1,1))</f>
        <v>356.07880667298025</v>
      </c>
      <c r="CZ151" s="59">
        <f t="shared" si="150"/>
        <v>396.05161661639659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32.09988147033372</v>
      </c>
      <c r="DG151" s="21">
        <f>EXP(-LN(2)/25)*DG150+(1-EXP(-LN(2)/25))/(LN(2)/25)*Calculateur!DB151*Calculateur!DD151*VLOOKUP('Données projet'!$B$13,Paramètres!$A$1:$I$89,3,0)*0.475*44/12</f>
        <v>3.8339314981891408</v>
      </c>
      <c r="DH151" s="21">
        <f>EXP(-LN(2)/2)*DH150+(1-EXP(-LN(2)/2))/(LN(2)/2)*DB151*DE151*VLOOKUP('Données projet'!$B$13,Paramètres!$A$1:$I$89,3,0)*0.475*44/12</f>
        <v>1.9481119767782236E-12</v>
      </c>
      <c r="DI151" s="22">
        <f t="shared" si="123"/>
        <v>35.933812968524805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>
        <f>DO151*VLOOKUP('Données projet'!$B$14,Paramètres!$A$1:$I$89,3,0)*VLOOKUP('Données projet'!$B$14,Paramètres!$A$1:$I$89,5,0)</f>
        <v>0</v>
      </c>
      <c r="DQ151" s="13" t="e">
        <f t="shared" si="151"/>
        <v>#NUM!</v>
      </c>
      <c r="DR151" s="20" t="e">
        <f t="shared" si="124"/>
        <v>#NUM!</v>
      </c>
      <c r="DS151" s="59" t="e">
        <f t="shared" si="125"/>
        <v>#NUM!</v>
      </c>
      <c r="DT151" s="59">
        <f ca="1">AVERAGE(OFFSET($DS$3,0,0,'Données projet'!$E$14+1,1))-AVERAGE(OFFSET($H$3,0,0,'Données projet'!$E$14+1,1))</f>
        <v>246.11623544660486</v>
      </c>
      <c r="DU151" s="59">
        <f t="shared" si="152"/>
        <v>273.18950868898253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22.023413572531236</v>
      </c>
      <c r="EB151" s="21">
        <f>EXP(-LN(2)/25)*EB150+(1-EXP(-LN(2)/25))/(LN(2)/25)*Calculateur!DW151*Calculateur!DY151*VLOOKUP('Données projet'!$B$14,Paramètres!$A$1:$I$89,3,0)*0.475*44/12</f>
        <v>3.4823823586365585</v>
      </c>
      <c r="EC151" s="21">
        <f>EXP(-LN(2)/2)*EC150+(1-EXP(-LN(2)/2))/(LN(2)/2)*DW151*DZ151*VLOOKUP('Données projet'!$B$14,Paramètres!$A$1:$I$89,3,0)*0.475*44/12</f>
        <v>1.851112921663728E-12</v>
      </c>
      <c r="ED151" s="22">
        <f t="shared" si="126"/>
        <v>25.505795931169647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5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67">
        <f t="shared" si="110"/>
        <v>183.33333333333334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-1.7053025658242404E-13</v>
      </c>
      <c r="O152" s="13">
        <f>N152*VLOOKUP('Données projet'!$B$9,Paramètres!$A$1:$I$89,3,0)*VLOOKUP('Données projet'!$B$9,Paramètres!$A$1:$I$89,5,0)</f>
        <v>-1.72917680174578E-13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538.10210778862256</v>
      </c>
      <c r="T152" s="59">
        <f t="shared" si="142"/>
        <v>399.53300632021399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115.16813900241704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115.16813900241704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-1.7053025658242404E-13</v>
      </c>
      <c r="AJ152" s="13">
        <f>AI152*VLOOKUP('Données projet'!$B$10,Paramètres!$A$1:$I$89,3,0)*VLOOKUP('Données projet'!$B$10,Paramètres!$A$1:$I$89,5,0)</f>
        <v>-1.7823822417994965E-13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552.26894123675538</v>
      </c>
      <c r="AO152" s="59">
        <f t="shared" si="144"/>
        <v>409.85604950107006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118.7117740486452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118.7117740486452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-1.1368683772161603E-13</v>
      </c>
      <c r="BE152" s="13">
        <f>BD152*VLOOKUP('Données projet'!$B$11,Paramètres!$A$1:$I$89,3,0)*VLOOKUP('Données projet'!$B$11,Paramètres!$A$1:$I$89,5,0)</f>
        <v>-1.223725121235475E-13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361.24725625563468</v>
      </c>
      <c r="BJ152" s="59">
        <f t="shared" si="146"/>
        <v>186.0840067781198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67.864429511109492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67.864429511109492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-1.7053025658242404E-13</v>
      </c>
      <c r="BZ152" s="13">
        <f>BY152*VLOOKUP('Données projet'!$B$12,Paramètres!$A$1:$I$89,3,0)*VLOOKUP('Données projet'!$B$12,Paramètres!$A$1:$I$89,5,0)</f>
        <v>-1.1439169611549005E-13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323.91378047319455</v>
      </c>
      <c r="CE152" s="59">
        <f t="shared" si="148"/>
        <v>212.89889176380288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71.775895159837674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71.775895159837674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>
        <f>CT152*VLOOKUP('Données projet'!$B$13,Paramètres!$A$1:$I$89,3,0)*VLOOKUP('Données projet'!$B$13,Paramètres!$A$1:$I$89,5,0)</f>
        <v>0</v>
      </c>
      <c r="CV152" s="13" t="e">
        <f t="shared" si="149"/>
        <v>#NUM!</v>
      </c>
      <c r="CW152" s="20" t="e">
        <f t="shared" si="121"/>
        <v>#NUM!</v>
      </c>
      <c r="CX152" s="59" t="e">
        <f t="shared" si="122"/>
        <v>#NUM!</v>
      </c>
      <c r="CY152" s="59">
        <f ca="1">AVERAGE(OFFSET($CX$3,0,0,'Données projet'!$E$13+1,1))-AVERAGE(OFFSET($H$3,0,0,'Données projet'!$E$13+1,1))</f>
        <v>356.07880667298025</v>
      </c>
      <c r="CZ152" s="59">
        <f t="shared" si="150"/>
        <v>396.05161661639659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31.470422373694909</v>
      </c>
      <c r="DG152" s="21">
        <f>EXP(-LN(2)/25)*DG151+(1-EXP(-LN(2)/25))/(LN(2)/25)*Calculateur!DB152*Calculateur!DD152*VLOOKUP('Données projet'!$B$13,Paramètres!$A$1:$I$89,3,0)*0.475*44/12</f>
        <v>3.7290924397534639</v>
      </c>
      <c r="DH152" s="21">
        <f>EXP(-LN(2)/2)*DH151+(1-EXP(-LN(2)/2))/(LN(2)/2)*DB152*DE152*VLOOKUP('Données projet'!$B$13,Paramètres!$A$1:$I$89,3,0)*0.475*44/12</f>
        <v>1.377523189290612E-12</v>
      </c>
      <c r="DI152" s="22">
        <f t="shared" si="123"/>
        <v>35.199514813449753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>
        <f>DO152*VLOOKUP('Données projet'!$B$14,Paramètres!$A$1:$I$89,3,0)*VLOOKUP('Données projet'!$B$14,Paramètres!$A$1:$I$89,5,0)</f>
        <v>0</v>
      </c>
      <c r="DQ152" s="13" t="e">
        <f t="shared" si="151"/>
        <v>#NUM!</v>
      </c>
      <c r="DR152" s="20" t="e">
        <f t="shared" si="124"/>
        <v>#NUM!</v>
      </c>
      <c r="DS152" s="59" t="e">
        <f t="shared" si="125"/>
        <v>#NUM!</v>
      </c>
      <c r="DT152" s="59">
        <f ca="1">AVERAGE(OFFSET($DS$3,0,0,'Données projet'!$E$14+1,1))-AVERAGE(OFFSET($H$3,0,0,'Données projet'!$E$14+1,1))</f>
        <v>246.11623544660486</v>
      </c>
      <c r="DU152" s="59">
        <f t="shared" si="152"/>
        <v>273.18950868898253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21.591547865329783</v>
      </c>
      <c r="EB152" s="21">
        <f>EXP(-LN(2)/25)*EB151+(1-EXP(-LN(2)/25))/(LN(2)/25)*Calculateur!DW152*Calculateur!DY152*VLOOKUP('Données projet'!$B$14,Paramètres!$A$1:$I$89,3,0)*0.475*44/12</f>
        <v>3.3871564299091128</v>
      </c>
      <c r="EC152" s="21">
        <f>EXP(-LN(2)/2)*EC151+(1-EXP(-LN(2)/2))/(LN(2)/2)*DW152*DZ152*VLOOKUP('Données projet'!$B$14,Paramètres!$A$1:$I$89,3,0)*0.475*44/12</f>
        <v>1.3089344996504644E-12</v>
      </c>
      <c r="ED152" s="22">
        <f t="shared" si="126"/>
        <v>24.978704295240203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5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67">
        <f t="shared" si="110"/>
        <v>183.33333333333334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-1.7053025658242404E-13</v>
      </c>
      <c r="O153" s="13">
        <f>N153*VLOOKUP('Données projet'!$B$9,Paramètres!$A$1:$I$89,3,0)*VLOOKUP('Données projet'!$B$9,Paramètres!$A$1:$I$89,5,0)</f>
        <v>-1.72917680174578E-13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538.10210778862256</v>
      </c>
      <c r="T153" s="59">
        <f t="shared" si="142"/>
        <v>399.53300632021399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112.90976204220824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112.90976204220824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-1.7053025658242404E-13</v>
      </c>
      <c r="AJ153" s="13">
        <f>AI153*VLOOKUP('Données projet'!$B$10,Paramètres!$A$1:$I$89,3,0)*VLOOKUP('Données projet'!$B$10,Paramètres!$A$1:$I$89,5,0)</f>
        <v>-1.7823822417994965E-13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552.26894123675538</v>
      </c>
      <c r="AO153" s="59">
        <f t="shared" si="144"/>
        <v>409.85604950107006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116.38390856658383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116.38390856658383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-1.1368683772161603E-13</v>
      </c>
      <c r="BE153" s="13">
        <f>BD153*VLOOKUP('Données projet'!$B$11,Paramètres!$A$1:$I$89,3,0)*VLOOKUP('Données projet'!$B$11,Paramètres!$A$1:$I$89,5,0)</f>
        <v>-1.223725121235475E-13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361.24725625563468</v>
      </c>
      <c r="BJ153" s="59">
        <f t="shared" si="146"/>
        <v>186.0840067781198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66.533649441611402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66.533649441611402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-1.7053025658242404E-13</v>
      </c>
      <c r="BZ153" s="13">
        <f>BY153*VLOOKUP('Données projet'!$B$12,Paramètres!$A$1:$I$89,3,0)*VLOOKUP('Données projet'!$B$12,Paramètres!$A$1:$I$89,5,0)</f>
        <v>-1.1439169611549005E-13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323.91378047319455</v>
      </c>
      <c r="CE153" s="59">
        <f t="shared" si="148"/>
        <v>212.89889176380288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70.368413634726494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70.368413634726494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>
        <f>CT153*VLOOKUP('Données projet'!$B$13,Paramètres!$A$1:$I$89,3,0)*VLOOKUP('Données projet'!$B$13,Paramètres!$A$1:$I$89,5,0)</f>
        <v>0</v>
      </c>
      <c r="CV153" s="13" t="e">
        <f t="shared" si="149"/>
        <v>#NUM!</v>
      </c>
      <c r="CW153" s="20" t="e">
        <f t="shared" si="121"/>
        <v>#NUM!</v>
      </c>
      <c r="CX153" s="59" t="e">
        <f t="shared" si="122"/>
        <v>#NUM!</v>
      </c>
      <c r="CY153" s="59">
        <f ca="1">AVERAGE(OFFSET($CX$3,0,0,'Données projet'!$E$13+1,1))-AVERAGE(OFFSET($H$3,0,0,'Données projet'!$E$13+1,1))</f>
        <v>356.07880667298025</v>
      </c>
      <c r="CZ153" s="59">
        <f t="shared" si="150"/>
        <v>396.05161661639659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30.853306586009044</v>
      </c>
      <c r="DG153" s="21">
        <f>EXP(-LN(2)/25)*DG152+(1-EXP(-LN(2)/25))/(LN(2)/25)*Calculateur!DB153*Calculateur!DD153*VLOOKUP('Données projet'!$B$13,Paramètres!$A$1:$I$89,3,0)*0.475*44/12</f>
        <v>3.6271202108839571</v>
      </c>
      <c r="DH153" s="21">
        <f>EXP(-LN(2)/2)*DH152+(1-EXP(-LN(2)/2))/(LN(2)/2)*DB153*DE153*VLOOKUP('Données projet'!$B$13,Paramètres!$A$1:$I$89,3,0)*0.475*44/12</f>
        <v>9.7405598838911182E-13</v>
      </c>
      <c r="DI153" s="22">
        <f t="shared" si="123"/>
        <v>34.480426796893973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>
        <f>DO153*VLOOKUP('Données projet'!$B$14,Paramètres!$A$1:$I$89,3,0)*VLOOKUP('Données projet'!$B$14,Paramètres!$A$1:$I$89,5,0)</f>
        <v>0</v>
      </c>
      <c r="DQ153" s="13" t="e">
        <f t="shared" si="151"/>
        <v>#NUM!</v>
      </c>
      <c r="DR153" s="20" t="e">
        <f t="shared" si="124"/>
        <v>#NUM!</v>
      </c>
      <c r="DS153" s="59" t="e">
        <f t="shared" si="125"/>
        <v>#NUM!</v>
      </c>
      <c r="DT153" s="59">
        <f ca="1">AVERAGE(OFFSET($DS$3,0,0,'Données projet'!$E$14+1,1))-AVERAGE(OFFSET($H$3,0,0,'Données projet'!$E$14+1,1))</f>
        <v>246.11623544660486</v>
      </c>
      <c r="DU153" s="59">
        <f t="shared" si="152"/>
        <v>273.18950868898253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21.16815078123448</v>
      </c>
      <c r="EB153" s="21">
        <f>EXP(-LN(2)/25)*EB152+(1-EXP(-LN(2)/25))/(LN(2)/25)*Calculateur!DW153*Calculateur!DY153*VLOOKUP('Données projet'!$B$14,Paramètres!$A$1:$I$89,3,0)*0.475*44/12</f>
        <v>3.2945344592104329</v>
      </c>
      <c r="EC153" s="21">
        <f>EXP(-LN(2)/2)*EC152+(1-EXP(-LN(2)/2))/(LN(2)/2)*DW153*DZ153*VLOOKUP('Données projet'!$B$14,Paramètres!$A$1:$I$89,3,0)*0.475*44/12</f>
        <v>9.25556460831864E-13</v>
      </c>
      <c r="ED153" s="22">
        <f t="shared" si="126"/>
        <v>24.46268524044584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5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67">
        <f t="shared" si="110"/>
        <v>183.33333333333334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-1.7053025658242404E-13</v>
      </c>
      <c r="O154" s="13">
        <f>N154*VLOOKUP('Données projet'!$B$9,Paramètres!$A$1:$I$89,3,0)*VLOOKUP('Données projet'!$B$9,Paramètres!$A$1:$I$89,5,0)</f>
        <v>-1.72917680174578E-13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538.10210778862256</v>
      </c>
      <c r="T154" s="59">
        <f t="shared" si="142"/>
        <v>399.53300632021399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110.69567047671522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110.69567047671522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-1.7053025658242404E-13</v>
      </c>
      <c r="AJ154" s="13">
        <f>AI154*VLOOKUP('Données projet'!$B$10,Paramètres!$A$1:$I$89,3,0)*VLOOKUP('Données projet'!$B$10,Paramètres!$A$1:$I$89,5,0)</f>
        <v>-1.7823822417994965E-13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552.26894123675538</v>
      </c>
      <c r="AO154" s="59">
        <f t="shared" si="144"/>
        <v>409.85604950107006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114.10169110676794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114.10169110676794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-1.1368683772161603E-13</v>
      </c>
      <c r="BE154" s="13">
        <f>BD154*VLOOKUP('Données projet'!$B$11,Paramètres!$A$1:$I$89,3,0)*VLOOKUP('Données projet'!$B$11,Paramètres!$A$1:$I$89,5,0)</f>
        <v>-1.223725121235475E-13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361.24725625563468</v>
      </c>
      <c r="BJ154" s="59">
        <f t="shared" si="146"/>
        <v>186.0840067781198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65.228965157580475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65.228965157580475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-1.7053025658242404E-13</v>
      </c>
      <c r="BZ154" s="13">
        <f>BY154*VLOOKUP('Données projet'!$B$12,Paramètres!$A$1:$I$89,3,0)*VLOOKUP('Données projet'!$B$12,Paramètres!$A$1:$I$89,5,0)</f>
        <v>-1.1439169611549005E-13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323.91378047319455</v>
      </c>
      <c r="CE154" s="59">
        <f t="shared" si="148"/>
        <v>212.89889176380288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68.988531963843784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68.988531963843784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>
        <f>CT154*VLOOKUP('Données projet'!$B$13,Paramètres!$A$1:$I$89,3,0)*VLOOKUP('Données projet'!$B$13,Paramètres!$A$1:$I$89,5,0)</f>
        <v>0</v>
      </c>
      <c r="CV154" s="13" t="e">
        <f t="shared" ref="CV154:CV203" si="173">EXP(-1.0587+0.8836*LN(CU154)+0.284)</f>
        <v>#NUM!</v>
      </c>
      <c r="CW154" s="20" t="e">
        <f t="shared" ref="CW154:CW203" si="174">(CU154+CV154)*0.475*44/12</f>
        <v>#NUM!</v>
      </c>
      <c r="CX154" s="59" t="e">
        <f t="shared" si="122"/>
        <v>#NUM!</v>
      </c>
      <c r="CY154" s="59">
        <f ca="1">AVERAGE(OFFSET($CX$3,0,0,'Données projet'!$E$13+1,1))-AVERAGE(OFFSET($H$3,0,0,'Données projet'!$E$13+1,1))</f>
        <v>356.07880667298025</v>
      </c>
      <c r="CZ154" s="59">
        <f t="shared" si="150"/>
        <v>396.05161661639659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30.248292062516235</v>
      </c>
      <c r="DG154" s="21">
        <f>EXP(-LN(2)/25)*DG153+(1-EXP(-LN(2)/25))/(LN(2)/25)*Calculateur!DB154*Calculateur!DD154*VLOOKUP('Données projet'!$B$13,Paramètres!$A$1:$I$89,3,0)*0.475*44/12</f>
        <v>3.5279364179753734</v>
      </c>
      <c r="DH154" s="21">
        <f>EXP(-LN(2)/2)*DH153+(1-EXP(-LN(2)/2))/(LN(2)/2)*DB154*DE154*VLOOKUP('Données projet'!$B$13,Paramètres!$A$1:$I$89,3,0)*0.475*44/12</f>
        <v>6.8876159464530598E-13</v>
      </c>
      <c r="DI154" s="22">
        <f t="shared" ref="DI154:DI203" si="175">SUM(DF154:DH154)</f>
        <v>33.7762284804923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>
        <f>DO154*VLOOKUP('Données projet'!$B$14,Paramètres!$A$1:$I$89,3,0)*VLOOKUP('Données projet'!$B$14,Paramètres!$A$1:$I$89,5,0)</f>
        <v>0</v>
      </c>
      <c r="DQ154" s="13" t="e">
        <f t="shared" ref="DQ154:DQ203" si="176">EXP(-1.0587+0.8836*LN(DP154)+0.284)</f>
        <v>#NUM!</v>
      </c>
      <c r="DR154" s="20" t="e">
        <f t="shared" ref="DR154:DR203" si="177">(DP154+DQ154)*0.475*44/12</f>
        <v>#NUM!</v>
      </c>
      <c r="DS154" s="59" t="e">
        <f t="shared" si="125"/>
        <v>#NUM!</v>
      </c>
      <c r="DT154" s="59">
        <f ca="1">AVERAGE(OFFSET($DS$3,0,0,'Données projet'!$E$14+1,1))-AVERAGE(OFFSET($H$3,0,0,'Données projet'!$E$14+1,1))</f>
        <v>246.11623544660486</v>
      </c>
      <c r="DU154" s="59">
        <f t="shared" si="152"/>
        <v>273.18950868898253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20.753056255711563</v>
      </c>
      <c r="EB154" s="21">
        <f>EXP(-LN(2)/25)*EB153+(1-EXP(-LN(2)/25))/(LN(2)/25)*Calculateur!DW154*Calculateur!DY154*VLOOKUP('Données projet'!$B$14,Paramètres!$A$1:$I$89,3,0)*0.475*44/12</f>
        <v>3.2044452411712863</v>
      </c>
      <c r="EC154" s="21">
        <f>EXP(-LN(2)/2)*EC153+(1-EXP(-LN(2)/2))/(LN(2)/2)*DW154*DZ154*VLOOKUP('Données projet'!$B$14,Paramètres!$A$1:$I$89,3,0)*0.475*44/12</f>
        <v>6.5446724982523221E-13</v>
      </c>
      <c r="ED154" s="22">
        <f t="shared" ref="ED154:ED203" si="178">SUM(EA154:EC154)</f>
        <v>23.957501496883502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5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67">
        <f t="shared" si="110"/>
        <v>183.33333333333334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-1.7053025658242404E-13</v>
      </c>
      <c r="O155" s="13">
        <f>N155*VLOOKUP('Données projet'!$B$9,Paramètres!$A$1:$I$89,3,0)*VLOOKUP('Données projet'!$B$9,Paramètres!$A$1:$I$89,5,0)</f>
        <v>-1.72917680174578E-13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538.10210778862256</v>
      </c>
      <c r="T155" s="59">
        <f t="shared" si="142"/>
        <v>399.53300632021399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108.524995896359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108.524995896359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-1.7053025658242404E-13</v>
      </c>
      <c r="AJ155" s="13">
        <f>AI155*VLOOKUP('Données projet'!$B$10,Paramètres!$A$1:$I$89,3,0)*VLOOKUP('Données projet'!$B$10,Paramètres!$A$1:$I$89,5,0)</f>
        <v>-1.7823822417994965E-13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552.26894123675538</v>
      </c>
      <c r="AO155" s="59">
        <f t="shared" si="144"/>
        <v>409.85604950107006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111.86422653932385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111.86422653932385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-1.1368683772161603E-13</v>
      </c>
      <c r="BE155" s="13">
        <f>BD155*VLOOKUP('Données projet'!$B$11,Paramètres!$A$1:$I$89,3,0)*VLOOKUP('Données projet'!$B$11,Paramètres!$A$1:$I$89,5,0)</f>
        <v>-1.223725121235475E-13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361.24725625563468</v>
      </c>
      <c r="BJ155" s="59">
        <f t="shared" si="146"/>
        <v>186.0840067781198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63.949864936580553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63.949864936580553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-1.7053025658242404E-13</v>
      </c>
      <c r="BZ155" s="13">
        <f>BY155*VLOOKUP('Données projet'!$B$12,Paramètres!$A$1:$I$89,3,0)*VLOOKUP('Données projet'!$B$12,Paramètres!$A$1:$I$89,5,0)</f>
        <v>-1.1439169611549005E-13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323.91378047319455</v>
      </c>
      <c r="CE155" s="59">
        <f t="shared" si="148"/>
        <v>212.89889176380288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67.635708930882359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67.635708930882359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>
        <f>CT155*VLOOKUP('Données projet'!$B$13,Paramètres!$A$1:$I$89,3,0)*VLOOKUP('Données projet'!$B$13,Paramètres!$A$1:$I$89,5,0)</f>
        <v>0</v>
      </c>
      <c r="CV155" s="13" t="e">
        <f t="shared" si="173"/>
        <v>#NUM!</v>
      </c>
      <c r="CW155" s="20" t="e">
        <f t="shared" si="174"/>
        <v>#NUM!</v>
      </c>
      <c r="CX155" s="59" t="e">
        <f t="shared" si="122"/>
        <v>#NUM!</v>
      </c>
      <c r="CY155" s="59">
        <f ca="1">AVERAGE(OFFSET($CX$3,0,0,'Données projet'!$E$13+1,1))-AVERAGE(OFFSET($H$3,0,0,'Données projet'!$E$13+1,1))</f>
        <v>356.07880667298025</v>
      </c>
      <c r="CZ155" s="59">
        <f t="shared" si="150"/>
        <v>396.05161661639659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29.6551415048067</v>
      </c>
      <c r="DG155" s="21">
        <f>EXP(-LN(2)/25)*DG154+(1-EXP(-LN(2)/25))/(LN(2)/25)*Calculateur!DB155*Calculateur!DD155*VLOOKUP('Données projet'!$B$13,Paramètres!$A$1:$I$89,3,0)*0.475*44/12</f>
        <v>3.4314648110997239</v>
      </c>
      <c r="DH155" s="21">
        <f>EXP(-LN(2)/2)*DH154+(1-EXP(-LN(2)/2))/(LN(2)/2)*DB155*DE155*VLOOKUP('Données projet'!$B$13,Paramètres!$A$1:$I$89,3,0)*0.475*44/12</f>
        <v>4.8702799419455591E-13</v>
      </c>
      <c r="DI155" s="22">
        <f t="shared" si="175"/>
        <v>33.086606315906913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>
        <f>DO155*VLOOKUP('Données projet'!$B$14,Paramètres!$A$1:$I$89,3,0)*VLOOKUP('Données projet'!$B$14,Paramètres!$A$1:$I$89,5,0)</f>
        <v>0</v>
      </c>
      <c r="DQ155" s="13" t="e">
        <f t="shared" si="176"/>
        <v>#NUM!</v>
      </c>
      <c r="DR155" s="20" t="e">
        <f t="shared" si="177"/>
        <v>#NUM!</v>
      </c>
      <c r="DS155" s="59" t="e">
        <f t="shared" si="125"/>
        <v>#NUM!</v>
      </c>
      <c r="DT155" s="59">
        <f ca="1">AVERAGE(OFFSET($DS$3,0,0,'Données projet'!$E$14+1,1))-AVERAGE(OFFSET($H$3,0,0,'Données projet'!$E$14+1,1))</f>
        <v>246.11623544660486</v>
      </c>
      <c r="DU155" s="59">
        <f t="shared" si="152"/>
        <v>273.18950868898253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20.346101480651491</v>
      </c>
      <c r="EB155" s="21">
        <f>EXP(-LN(2)/25)*EB154+(1-EXP(-LN(2)/25))/(LN(2)/25)*Calculateur!DW155*Calculateur!DY155*VLOOKUP('Données projet'!$B$14,Paramètres!$A$1:$I$89,3,0)*0.475*44/12</f>
        <v>3.1168195175370061</v>
      </c>
      <c r="EC155" s="21">
        <f>EXP(-LN(2)/2)*EC154+(1-EXP(-LN(2)/2))/(LN(2)/2)*DW155*DZ155*VLOOKUP('Données projet'!$B$14,Paramètres!$A$1:$I$89,3,0)*0.475*44/12</f>
        <v>4.62778230415932E-13</v>
      </c>
      <c r="ED155" s="22">
        <f t="shared" si="178"/>
        <v>23.462920998188959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5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67">
        <f t="shared" si="110"/>
        <v>183.33333333333334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-1.7053025658242404E-13</v>
      </c>
      <c r="O156" s="13">
        <f>N156*VLOOKUP('Données projet'!$B$9,Paramètres!$A$1:$I$89,3,0)*VLOOKUP('Données projet'!$B$9,Paramètres!$A$1:$I$89,5,0)</f>
        <v>-1.72917680174578E-13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538.10210778862256</v>
      </c>
      <c r="T156" s="59">
        <f t="shared" si="142"/>
        <v>399.53300632021399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106.39688692054281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106.39688692054281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-1.7053025658242404E-13</v>
      </c>
      <c r="AJ156" s="13">
        <f>AI156*VLOOKUP('Données projet'!$B$10,Paramètres!$A$1:$I$89,3,0)*VLOOKUP('Données projet'!$B$10,Paramètres!$A$1:$I$89,5,0)</f>
        <v>-1.7823822417994965E-13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552.26894123675538</v>
      </c>
      <c r="AO156" s="59">
        <f t="shared" si="144"/>
        <v>409.85604950107006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109.6706372873287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109.6706372873287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-1.1368683772161603E-13</v>
      </c>
      <c r="BE156" s="13">
        <f>BD156*VLOOKUP('Données projet'!$B$11,Paramètres!$A$1:$I$89,3,0)*VLOOKUP('Données projet'!$B$11,Paramètres!$A$1:$I$89,5,0)</f>
        <v>-1.223725121235475E-13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361.24725625563468</v>
      </c>
      <c r="BJ156" s="59">
        <f t="shared" si="146"/>
        <v>186.0840067781198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62.695847090740344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62.695847090740344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-1.7053025658242404E-13</v>
      </c>
      <c r="BZ156" s="13">
        <f>BY156*VLOOKUP('Données projet'!$B$12,Paramètres!$A$1:$I$89,3,0)*VLOOKUP('Données projet'!$B$12,Paramètres!$A$1:$I$89,5,0)</f>
        <v>-1.1439169611549005E-13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323.91378047319455</v>
      </c>
      <c r="CE156" s="59">
        <f t="shared" si="148"/>
        <v>212.89889176380288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66.309413932456735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66.309413932456735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>
        <f>CT156*VLOOKUP('Données projet'!$B$13,Paramètres!$A$1:$I$89,3,0)*VLOOKUP('Données projet'!$B$13,Paramètres!$A$1:$I$89,5,0)</f>
        <v>0</v>
      </c>
      <c r="CV156" s="13" t="e">
        <f t="shared" si="173"/>
        <v>#NUM!</v>
      </c>
      <c r="CW156" s="20" t="e">
        <f t="shared" si="174"/>
        <v>#NUM!</v>
      </c>
      <c r="CX156" s="59" t="e">
        <f t="shared" si="122"/>
        <v>#NUM!</v>
      </c>
      <c r="CY156" s="59">
        <f ca="1">AVERAGE(OFFSET($CX$3,0,0,'Données projet'!$E$13+1,1))-AVERAGE(OFFSET($H$3,0,0,'Données projet'!$E$13+1,1))</f>
        <v>356.07880667298025</v>
      </c>
      <c r="CZ156" s="59">
        <f t="shared" si="150"/>
        <v>396.05161661639659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29.07362226774773</v>
      </c>
      <c r="DG156" s="21">
        <f>EXP(-LN(2)/25)*DG155+(1-EXP(-LN(2)/25))/(LN(2)/25)*Calculateur!DB156*Calculateur!DD156*VLOOKUP('Données projet'!$B$13,Paramètres!$A$1:$I$89,3,0)*0.475*44/12</f>
        <v>3.3376312253873102</v>
      </c>
      <c r="DH156" s="21">
        <f>EXP(-LN(2)/2)*DH155+(1-EXP(-LN(2)/2))/(LN(2)/2)*DB156*DE156*VLOOKUP('Données projet'!$B$13,Paramètres!$A$1:$I$89,3,0)*0.475*44/12</f>
        <v>3.4438079732265299E-13</v>
      </c>
      <c r="DI156" s="22">
        <f t="shared" si="175"/>
        <v>32.411253493135384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>
        <f>DO156*VLOOKUP('Données projet'!$B$14,Paramètres!$A$1:$I$89,3,0)*VLOOKUP('Données projet'!$B$14,Paramètres!$A$1:$I$89,5,0)</f>
        <v>0</v>
      </c>
      <c r="DQ156" s="13" t="e">
        <f t="shared" si="176"/>
        <v>#NUM!</v>
      </c>
      <c r="DR156" s="20" t="e">
        <f t="shared" si="177"/>
        <v>#NUM!</v>
      </c>
      <c r="DS156" s="59" t="e">
        <f t="shared" si="125"/>
        <v>#NUM!</v>
      </c>
      <c r="DT156" s="59">
        <f ca="1">AVERAGE(OFFSET($DS$3,0,0,'Données projet'!$E$14+1,1))-AVERAGE(OFFSET($H$3,0,0,'Données projet'!$E$14+1,1))</f>
        <v>246.11623544660486</v>
      </c>
      <c r="DU156" s="59">
        <f t="shared" si="152"/>
        <v>273.18950868898253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19.947126840512443</v>
      </c>
      <c r="EB156" s="21">
        <f>EXP(-LN(2)/25)*EB155+(1-EXP(-LN(2)/25))/(LN(2)/25)*Calculateur!DW156*Calculateur!DY156*VLOOKUP('Données projet'!$B$14,Paramètres!$A$1:$I$89,3,0)*0.475*44/12</f>
        <v>3.031589923923542</v>
      </c>
      <c r="EC156" s="21">
        <f>EXP(-LN(2)/2)*EC155+(1-EXP(-LN(2)/2))/(LN(2)/2)*DW156*DZ156*VLOOKUP('Données projet'!$B$14,Paramètres!$A$1:$I$89,3,0)*0.475*44/12</f>
        <v>3.2723362491261611E-13</v>
      </c>
      <c r="ED156" s="22">
        <f t="shared" si="178"/>
        <v>22.97871676443631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5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67">
        <f t="shared" si="110"/>
        <v>183.33333333333334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-1.7053025658242404E-13</v>
      </c>
      <c r="O157" s="13">
        <f>N157*VLOOKUP('Données projet'!$B$9,Paramètres!$A$1:$I$89,3,0)*VLOOKUP('Données projet'!$B$9,Paramètres!$A$1:$I$89,5,0)</f>
        <v>-1.72917680174578E-13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538.10210778862256</v>
      </c>
      <c r="T157" s="59">
        <f t="shared" si="142"/>
        <v>399.53300632021399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104.31050886372407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104.31050886372407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-1.7053025658242404E-13</v>
      </c>
      <c r="AJ157" s="13">
        <f>AI157*VLOOKUP('Données projet'!$B$10,Paramètres!$A$1:$I$89,3,0)*VLOOKUP('Données projet'!$B$10,Paramètres!$A$1:$I$89,5,0)</f>
        <v>-1.7823822417994965E-13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552.26894123675538</v>
      </c>
      <c r="AO157" s="59">
        <f t="shared" si="144"/>
        <v>409.85604950107006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107.52006298260785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107.52006298260785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-1.1368683772161603E-13</v>
      </c>
      <c r="BE157" s="13">
        <f>BD157*VLOOKUP('Données projet'!$B$11,Paramètres!$A$1:$I$89,3,0)*VLOOKUP('Données projet'!$B$11,Paramètres!$A$1:$I$89,5,0)</f>
        <v>-1.223725121235475E-13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361.24725625563468</v>
      </c>
      <c r="BJ157" s="59">
        <f t="shared" si="146"/>
        <v>186.0840067781198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61.466419769981698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61.466419769981698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-1.7053025658242404E-13</v>
      </c>
      <c r="BZ157" s="13">
        <f>BY157*VLOOKUP('Données projet'!$B$12,Paramètres!$A$1:$I$89,3,0)*VLOOKUP('Données projet'!$B$12,Paramètres!$A$1:$I$89,5,0)</f>
        <v>-1.1439169611549005E-13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323.91378047319455</v>
      </c>
      <c r="CE157" s="59">
        <f t="shared" si="148"/>
        <v>212.89889176380288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65.009126769990175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65.009126769990175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>
        <f>CT157*VLOOKUP('Données projet'!$B$13,Paramètres!$A$1:$I$89,3,0)*VLOOKUP('Données projet'!$B$13,Paramètres!$A$1:$I$89,5,0)</f>
        <v>0</v>
      </c>
      <c r="CV157" s="13" t="e">
        <f t="shared" si="173"/>
        <v>#NUM!</v>
      </c>
      <c r="CW157" s="20" t="e">
        <f t="shared" si="174"/>
        <v>#NUM!</v>
      </c>
      <c r="CX157" s="59" t="e">
        <f t="shared" si="122"/>
        <v>#NUM!</v>
      </c>
      <c r="CY157" s="59">
        <f ca="1">AVERAGE(OFFSET($CX$3,0,0,'Données projet'!$E$13+1,1))-AVERAGE(OFFSET($H$3,0,0,'Données projet'!$E$13+1,1))</f>
        <v>356.07880667298025</v>
      </c>
      <c r="CZ157" s="59">
        <f t="shared" si="150"/>
        <v>396.05161661639659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28.503506268235775</v>
      </c>
      <c r="DG157" s="21">
        <f>EXP(-LN(2)/25)*DG156+(1-EXP(-LN(2)/25))/(LN(2)/25)*Calculateur!DB157*Calculateur!DD157*VLOOKUP('Données projet'!$B$13,Paramètres!$A$1:$I$89,3,0)*0.475*44/12</f>
        <v>3.2463635240106963</v>
      </c>
      <c r="DH157" s="21">
        <f>EXP(-LN(2)/2)*DH156+(1-EXP(-LN(2)/2))/(LN(2)/2)*DB157*DE157*VLOOKUP('Données projet'!$B$13,Paramètres!$A$1:$I$89,3,0)*0.475*44/12</f>
        <v>2.4351399709727796E-13</v>
      </c>
      <c r="DI157" s="22">
        <f t="shared" si="175"/>
        <v>31.749869792246717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>
        <f>DO157*VLOOKUP('Données projet'!$B$14,Paramètres!$A$1:$I$89,3,0)*VLOOKUP('Données projet'!$B$14,Paramètres!$A$1:$I$89,5,0)</f>
        <v>0</v>
      </c>
      <c r="DQ157" s="13" t="e">
        <f t="shared" si="176"/>
        <v>#NUM!</v>
      </c>
      <c r="DR157" s="20" t="e">
        <f t="shared" si="177"/>
        <v>#NUM!</v>
      </c>
      <c r="DS157" s="59" t="e">
        <f t="shared" si="125"/>
        <v>#NUM!</v>
      </c>
      <c r="DT157" s="59">
        <f ca="1">AVERAGE(OFFSET($DS$3,0,0,'Données projet'!$E$14+1,1))-AVERAGE(OFFSET($H$3,0,0,'Données projet'!$E$14+1,1))</f>
        <v>246.11623544660486</v>
      </c>
      <c r="DU157" s="59">
        <f t="shared" si="152"/>
        <v>273.18950868898253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19.55597584971602</v>
      </c>
      <c r="EB157" s="21">
        <f>EXP(-LN(2)/25)*EB156+(1-EXP(-LN(2)/25))/(LN(2)/25)*Calculateur!DW157*Calculateur!DY157*VLOOKUP('Données projet'!$B$14,Paramètres!$A$1:$I$89,3,0)*0.475*44/12</f>
        <v>2.9486909380294675</v>
      </c>
      <c r="EC157" s="21">
        <f>EXP(-LN(2)/2)*EC156+(1-EXP(-LN(2)/2))/(LN(2)/2)*DW157*DZ157*VLOOKUP('Données projet'!$B$14,Paramètres!$A$1:$I$89,3,0)*0.475*44/12</f>
        <v>2.31389115207966E-13</v>
      </c>
      <c r="ED157" s="22">
        <f t="shared" si="178"/>
        <v>22.50466678774572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5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67">
        <f t="shared" si="110"/>
        <v>183.33333333333334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-1.7053025658242404E-13</v>
      </c>
      <c r="O158" s="13">
        <f>N158*VLOOKUP('Données projet'!$B$9,Paramètres!$A$1:$I$89,3,0)*VLOOKUP('Données projet'!$B$9,Paramètres!$A$1:$I$89,5,0)</f>
        <v>-1.72917680174578E-13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538.10210778862256</v>
      </c>
      <c r="T158" s="59">
        <f t="shared" si="142"/>
        <v>399.53300632021399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102.26504340803459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102.26504340803459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-1.7053025658242404E-13</v>
      </c>
      <c r="AJ158" s="13">
        <f>AI158*VLOOKUP('Données projet'!$B$10,Paramètres!$A$1:$I$89,3,0)*VLOOKUP('Données projet'!$B$10,Paramètres!$A$1:$I$89,5,0)</f>
        <v>-1.7823822417994965E-13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552.26894123675538</v>
      </c>
      <c r="AO158" s="59">
        <f t="shared" si="144"/>
        <v>409.85604950107006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105.41166012828177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105.41166012828177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-1.1368683772161603E-13</v>
      </c>
      <c r="BE158" s="13">
        <f>BD158*VLOOKUP('Données projet'!$B$11,Paramètres!$A$1:$I$89,3,0)*VLOOKUP('Données projet'!$B$11,Paramètres!$A$1:$I$89,5,0)</f>
        <v>-1.223725121235475E-13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361.24725625563468</v>
      </c>
      <c r="BJ158" s="59">
        <f t="shared" si="146"/>
        <v>186.0840067781198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60.261100769106505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60.261100769106505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-1.7053025658242404E-13</v>
      </c>
      <c r="BZ158" s="13">
        <f>BY158*VLOOKUP('Données projet'!$B$12,Paramètres!$A$1:$I$89,3,0)*VLOOKUP('Données projet'!$B$12,Paramètres!$A$1:$I$89,5,0)</f>
        <v>-1.1439169611549005E-13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323.91378047319455</v>
      </c>
      <c r="CE158" s="59">
        <f t="shared" si="148"/>
        <v>212.89889176380288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63.734337445682719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63.734337445682719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>
        <f>CT158*VLOOKUP('Données projet'!$B$13,Paramètres!$A$1:$I$89,3,0)*VLOOKUP('Données projet'!$B$13,Paramètres!$A$1:$I$89,5,0)</f>
        <v>0</v>
      </c>
      <c r="CV158" s="13" t="e">
        <f t="shared" si="173"/>
        <v>#NUM!</v>
      </c>
      <c r="CW158" s="20" t="e">
        <f t="shared" si="174"/>
        <v>#NUM!</v>
      </c>
      <c r="CX158" s="59" t="e">
        <f t="shared" si="122"/>
        <v>#NUM!</v>
      </c>
      <c r="CY158" s="59">
        <f ca="1">AVERAGE(OFFSET($CX$3,0,0,'Données projet'!$E$13+1,1))-AVERAGE(OFFSET($H$3,0,0,'Données projet'!$E$13+1,1))</f>
        <v>356.07880667298025</v>
      </c>
      <c r="CZ158" s="59">
        <f t="shared" si="150"/>
        <v>396.05161661639659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27.944569895737828</v>
      </c>
      <c r="DG158" s="21">
        <f>EXP(-LN(2)/25)*DG157+(1-EXP(-LN(2)/25))/(LN(2)/25)*Calculateur!DB158*Calculateur!DD158*VLOOKUP('Données projet'!$B$13,Paramètres!$A$1:$I$89,3,0)*0.475*44/12</f>
        <v>3.1575915427277859</v>
      </c>
      <c r="DH158" s="21">
        <f>EXP(-LN(2)/2)*DH157+(1-EXP(-LN(2)/2))/(LN(2)/2)*DB158*DE158*VLOOKUP('Données projet'!$B$13,Paramètres!$A$1:$I$89,3,0)*0.475*44/12</f>
        <v>1.721903986613265E-13</v>
      </c>
      <c r="DI158" s="22">
        <f t="shared" si="175"/>
        <v>31.102161438465785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>
        <f>DO158*VLOOKUP('Données projet'!$B$14,Paramètres!$A$1:$I$89,3,0)*VLOOKUP('Données projet'!$B$14,Paramètres!$A$1:$I$89,5,0)</f>
        <v>0</v>
      </c>
      <c r="DQ158" s="13" t="e">
        <f t="shared" si="176"/>
        <v>#NUM!</v>
      </c>
      <c r="DR158" s="20" t="e">
        <f t="shared" si="177"/>
        <v>#NUM!</v>
      </c>
      <c r="DS158" s="59" t="e">
        <f t="shared" si="125"/>
        <v>#NUM!</v>
      </c>
      <c r="DT158" s="59">
        <f ca="1">AVERAGE(OFFSET($DS$3,0,0,'Données projet'!$E$14+1,1))-AVERAGE(OFFSET($H$3,0,0,'Données projet'!$E$14+1,1))</f>
        <v>246.11623544660486</v>
      </c>
      <c r="DU158" s="59">
        <f t="shared" si="152"/>
        <v>273.18950868898253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19.172495091270569</v>
      </c>
      <c r="EB158" s="21">
        <f>EXP(-LN(2)/25)*EB157+(1-EXP(-LN(2)/25))/(LN(2)/25)*Calculateur!DW158*Calculateur!DY158*VLOOKUP('Données projet'!$B$14,Paramètres!$A$1:$I$89,3,0)*0.475*44/12</f>
        <v>2.8680588292641347</v>
      </c>
      <c r="EC158" s="21">
        <f>EXP(-LN(2)/2)*EC157+(1-EXP(-LN(2)/2))/(LN(2)/2)*DW158*DZ158*VLOOKUP('Données projet'!$B$14,Paramètres!$A$1:$I$89,3,0)*0.475*44/12</f>
        <v>1.6361681245630805E-13</v>
      </c>
      <c r="ED158" s="22">
        <f t="shared" si="178"/>
        <v>22.040553920534869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5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67">
        <f t="shared" si="110"/>
        <v>183.33333333333334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-1.7053025658242404E-13</v>
      </c>
      <c r="O159" s="13">
        <f>N159*VLOOKUP('Données projet'!$B$9,Paramètres!$A$1:$I$89,3,0)*VLOOKUP('Données projet'!$B$9,Paramètres!$A$1:$I$89,5,0)</f>
        <v>-1.72917680174578E-13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538.10210778862256</v>
      </c>
      <c r="T159" s="59">
        <f t="shared" si="142"/>
        <v>399.53300632021399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100.25968828232044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100.25968828232044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-1.7053025658242404E-13</v>
      </c>
      <c r="AJ159" s="13">
        <f>AI159*VLOOKUP('Données projet'!$B$10,Paramètres!$A$1:$I$89,3,0)*VLOOKUP('Données projet'!$B$10,Paramètres!$A$1:$I$89,5,0)</f>
        <v>-1.7823822417994965E-13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552.26894123675538</v>
      </c>
      <c r="AO159" s="59">
        <f t="shared" si="144"/>
        <v>409.85604950107006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103.34460176793026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103.34460176793026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-1.1368683772161603E-13</v>
      </c>
      <c r="BE159" s="13">
        <f>BD159*VLOOKUP('Données projet'!$B$11,Paramètres!$A$1:$I$89,3,0)*VLOOKUP('Données projet'!$B$11,Paramètres!$A$1:$I$89,5,0)</f>
        <v>-1.223725121235475E-13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361.24725625563468</v>
      </c>
      <c r="BJ159" s="59">
        <f t="shared" si="146"/>
        <v>186.0840067781198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59.079417338666481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59.079417338666481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-1.7053025658242404E-13</v>
      </c>
      <c r="BZ159" s="13">
        <f>BY159*VLOOKUP('Données projet'!$B$12,Paramètres!$A$1:$I$89,3,0)*VLOOKUP('Données projet'!$B$12,Paramètres!$A$1:$I$89,5,0)</f>
        <v>-1.1439169611549005E-13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323.91378047319455</v>
      </c>
      <c r="CE159" s="59">
        <f t="shared" si="148"/>
        <v>212.89889176380288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62.484545962480226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62.484545962480226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>
        <f>CT159*VLOOKUP('Données projet'!$B$13,Paramètres!$A$1:$I$89,3,0)*VLOOKUP('Données projet'!$B$13,Paramètres!$A$1:$I$89,5,0)</f>
        <v>0</v>
      </c>
      <c r="CV159" s="13" t="e">
        <f t="shared" si="173"/>
        <v>#NUM!</v>
      </c>
      <c r="CW159" s="20" t="e">
        <f t="shared" si="174"/>
        <v>#NUM!</v>
      </c>
      <c r="CX159" s="59" t="e">
        <f t="shared" si="122"/>
        <v>#NUM!</v>
      </c>
      <c r="CY159" s="59">
        <f ca="1">AVERAGE(OFFSET($CX$3,0,0,'Données projet'!$E$13+1,1))-AVERAGE(OFFSET($H$3,0,0,'Données projet'!$E$13+1,1))</f>
        <v>356.07880667298025</v>
      </c>
      <c r="CZ159" s="59">
        <f t="shared" si="150"/>
        <v>396.05161661639659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27.396593924587041</v>
      </c>
      <c r="DG159" s="21">
        <f>EXP(-LN(2)/25)*DG158+(1-EXP(-LN(2)/25))/(LN(2)/25)*Calculateur!DB159*Calculateur!DD159*VLOOKUP('Données projet'!$B$13,Paramètres!$A$1:$I$89,3,0)*0.475*44/12</f>
        <v>3.0712470359413722</v>
      </c>
      <c r="DH159" s="21">
        <f>EXP(-LN(2)/2)*DH158+(1-EXP(-LN(2)/2))/(LN(2)/2)*DB159*DE159*VLOOKUP('Données projet'!$B$13,Paramètres!$A$1:$I$89,3,0)*0.475*44/12</f>
        <v>1.2175699854863898E-13</v>
      </c>
      <c r="DI159" s="22">
        <f t="shared" si="175"/>
        <v>30.467840960528534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>
        <f>DO159*VLOOKUP('Données projet'!$B$14,Paramètres!$A$1:$I$89,3,0)*VLOOKUP('Données projet'!$B$14,Paramètres!$A$1:$I$89,5,0)</f>
        <v>0</v>
      </c>
      <c r="DQ159" s="13" t="e">
        <f t="shared" si="176"/>
        <v>#NUM!</v>
      </c>
      <c r="DR159" s="20" t="e">
        <f t="shared" si="177"/>
        <v>#NUM!</v>
      </c>
      <c r="DS159" s="59" t="e">
        <f t="shared" si="125"/>
        <v>#NUM!</v>
      </c>
      <c r="DT159" s="59">
        <f ca="1">AVERAGE(OFFSET($DS$3,0,0,'Données projet'!$E$14+1,1))-AVERAGE(OFFSET($H$3,0,0,'Données projet'!$E$14+1,1))</f>
        <v>246.11623544660486</v>
      </c>
      <c r="DU159" s="59">
        <f t="shared" si="152"/>
        <v>273.18950868898253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18.796534156598067</v>
      </c>
      <c r="EB159" s="21">
        <f>EXP(-LN(2)/25)*EB158+(1-EXP(-LN(2)/25))/(LN(2)/25)*Calculateur!DW159*Calculateur!DY159*VLOOKUP('Données projet'!$B$14,Paramètres!$A$1:$I$89,3,0)*0.475*44/12</f>
        <v>2.7896316097532483</v>
      </c>
      <c r="EC159" s="21">
        <f>EXP(-LN(2)/2)*EC158+(1-EXP(-LN(2)/2))/(LN(2)/2)*DW159*DZ159*VLOOKUP('Données projet'!$B$14,Paramètres!$A$1:$I$89,3,0)*0.475*44/12</f>
        <v>1.15694557603983E-13</v>
      </c>
      <c r="ED159" s="22">
        <f t="shared" si="178"/>
        <v>21.586165766351431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5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67">
        <f t="shared" si="110"/>
        <v>183.33333333333334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-1.7053025658242404E-13</v>
      </c>
      <c r="O160" s="13">
        <f>N160*VLOOKUP('Données projet'!$B$9,Paramètres!$A$1:$I$89,3,0)*VLOOKUP('Données projet'!$B$9,Paramètres!$A$1:$I$89,5,0)</f>
        <v>-1.72917680174578E-13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538.10210778862256</v>
      </c>
      <c r="T160" s="59">
        <f t="shared" si="142"/>
        <v>399.53300632021399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98.293656947475696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98.293656947475696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-1.7053025658242404E-13</v>
      </c>
      <c r="AJ160" s="13">
        <f>AI160*VLOOKUP('Données projet'!$B$10,Paramètres!$A$1:$I$89,3,0)*VLOOKUP('Données projet'!$B$10,Paramètres!$A$1:$I$89,5,0)</f>
        <v>-1.7823822417994965E-13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552.26894123675538</v>
      </c>
      <c r="AO160" s="59">
        <f t="shared" si="144"/>
        <v>409.85604950107006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101.31807716124413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101.31807716124413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-1.1368683772161603E-13</v>
      </c>
      <c r="BE160" s="13">
        <f>BD160*VLOOKUP('Données projet'!$B$11,Paramètres!$A$1:$I$89,3,0)*VLOOKUP('Données projet'!$B$11,Paramètres!$A$1:$I$89,5,0)</f>
        <v>-1.223725121235475E-13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361.24725625563468</v>
      </c>
      <c r="BJ160" s="59">
        <f t="shared" si="146"/>
        <v>186.0840067781198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57.92090599954166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57.92090599954166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-1.7053025658242404E-13</v>
      </c>
      <c r="BZ160" s="13">
        <f>BY160*VLOOKUP('Données projet'!$B$12,Paramètres!$A$1:$I$89,3,0)*VLOOKUP('Données projet'!$B$12,Paramètres!$A$1:$I$89,5,0)</f>
        <v>-1.1439169611549005E-13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323.91378047319455</v>
      </c>
      <c r="CE160" s="59">
        <f t="shared" si="148"/>
        <v>212.89889176380288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61.259262127965798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61.259262127965798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>
        <f>CT160*VLOOKUP('Données projet'!$B$13,Paramètres!$A$1:$I$89,3,0)*VLOOKUP('Données projet'!$B$13,Paramètres!$A$1:$I$89,5,0)</f>
        <v>0</v>
      </c>
      <c r="CV160" s="13" t="e">
        <f t="shared" si="173"/>
        <v>#NUM!</v>
      </c>
      <c r="CW160" s="20" t="e">
        <f t="shared" si="174"/>
        <v>#NUM!</v>
      </c>
      <c r="CX160" s="59" t="e">
        <f t="shared" si="122"/>
        <v>#NUM!</v>
      </c>
      <c r="CY160" s="59">
        <f ca="1">AVERAGE(OFFSET($CX$3,0,0,'Données projet'!$E$13+1,1))-AVERAGE(OFFSET($H$3,0,0,'Données projet'!$E$13+1,1))</f>
        <v>356.07880667298025</v>
      </c>
      <c r="CZ160" s="59">
        <f t="shared" si="150"/>
        <v>396.05161661639659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26.859363427998179</v>
      </c>
      <c r="DG160" s="21">
        <f>EXP(-LN(2)/25)*DG159+(1-EXP(-LN(2)/25))/(LN(2)/25)*Calculateur!DB160*Calculateur!DD160*VLOOKUP('Données projet'!$B$13,Paramètres!$A$1:$I$89,3,0)*0.475*44/12</f>
        <v>2.9872636242336932</v>
      </c>
      <c r="DH160" s="21">
        <f>EXP(-LN(2)/2)*DH159+(1-EXP(-LN(2)/2))/(LN(2)/2)*DB160*DE160*VLOOKUP('Données projet'!$B$13,Paramètres!$A$1:$I$89,3,0)*0.475*44/12</f>
        <v>8.6095199330663248E-14</v>
      </c>
      <c r="DI160" s="22">
        <f t="shared" si="175"/>
        <v>29.846627052231959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>
        <f>DO160*VLOOKUP('Données projet'!$B$14,Paramètres!$A$1:$I$89,3,0)*VLOOKUP('Données projet'!$B$14,Paramètres!$A$1:$I$89,5,0)</f>
        <v>0</v>
      </c>
      <c r="DQ160" s="13" t="e">
        <f t="shared" si="176"/>
        <v>#NUM!</v>
      </c>
      <c r="DR160" s="20" t="e">
        <f t="shared" si="177"/>
        <v>#NUM!</v>
      </c>
      <c r="DS160" s="59" t="e">
        <f t="shared" si="125"/>
        <v>#NUM!</v>
      </c>
      <c r="DT160" s="59">
        <f ca="1">AVERAGE(OFFSET($DS$3,0,0,'Données projet'!$E$14+1,1))-AVERAGE(OFFSET($H$3,0,0,'Données projet'!$E$14+1,1))</f>
        <v>246.11623544660486</v>
      </c>
      <c r="DU160" s="59">
        <f t="shared" si="152"/>
        <v>273.18950868898253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18.427945586540964</v>
      </c>
      <c r="EB160" s="21">
        <f>EXP(-LN(2)/25)*EB159+(1-EXP(-LN(2)/25))/(LN(2)/25)*Calculateur!DW160*Calculateur!DY160*VLOOKUP('Données projet'!$B$14,Paramètres!$A$1:$I$89,3,0)*0.475*44/12</f>
        <v>2.7133489866841951</v>
      </c>
      <c r="EC160" s="21">
        <f>EXP(-LN(2)/2)*EC159+(1-EXP(-LN(2)/2))/(LN(2)/2)*DW160*DZ160*VLOOKUP('Données projet'!$B$14,Paramètres!$A$1:$I$89,3,0)*0.475*44/12</f>
        <v>8.1808406228154026E-14</v>
      </c>
      <c r="ED160" s="22">
        <f t="shared" si="178"/>
        <v>21.141294573225242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5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67">
        <f t="shared" si="110"/>
        <v>183.33333333333334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-1.7053025658242404E-13</v>
      </c>
      <c r="O161" s="13">
        <f>N161*VLOOKUP('Données projet'!$B$9,Paramètres!$A$1:$I$89,3,0)*VLOOKUP('Données projet'!$B$9,Paramètres!$A$1:$I$89,5,0)</f>
        <v>-1.72917680174578E-13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538.10210778862256</v>
      </c>
      <c r="T161" s="59">
        <f t="shared" si="142"/>
        <v>399.53300632021399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96.366178287946553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96.366178287946553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-1.7053025658242404E-13</v>
      </c>
      <c r="AJ161" s="13">
        <f>AI161*VLOOKUP('Données projet'!$B$10,Paramètres!$A$1:$I$89,3,0)*VLOOKUP('Données projet'!$B$10,Paramètres!$A$1:$I$89,5,0)</f>
        <v>-1.7823822417994965E-13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552.26894123675538</v>
      </c>
      <c r="AO161" s="59">
        <f t="shared" si="144"/>
        <v>409.85604950107006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99.331291466037172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99.331291466037172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-1.1368683772161603E-13</v>
      </c>
      <c r="BE161" s="13">
        <f>BD161*VLOOKUP('Données projet'!$B$11,Paramètres!$A$1:$I$89,3,0)*VLOOKUP('Données projet'!$B$11,Paramètres!$A$1:$I$89,5,0)</f>
        <v>-1.223725121235475E-13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361.24725625563468</v>
      </c>
      <c r="BJ161" s="59">
        <f t="shared" si="146"/>
        <v>186.0840067781198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56.78511236115493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56.78511236115493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-1.7053025658242404E-13</v>
      </c>
      <c r="BZ161" s="13">
        <f>BY161*VLOOKUP('Données projet'!$B$12,Paramètres!$A$1:$I$89,3,0)*VLOOKUP('Données projet'!$B$12,Paramètres!$A$1:$I$89,5,0)</f>
        <v>-1.1439169611549005E-13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323.91378047319455</v>
      </c>
      <c r="CE161" s="59">
        <f t="shared" si="148"/>
        <v>212.89889176380288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60.05800536209685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60.05800536209685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>
        <f>CT161*VLOOKUP('Données projet'!$B$13,Paramètres!$A$1:$I$89,3,0)*VLOOKUP('Données projet'!$B$13,Paramètres!$A$1:$I$89,5,0)</f>
        <v>0</v>
      </c>
      <c r="CV161" s="13" t="e">
        <f t="shared" si="173"/>
        <v>#NUM!</v>
      </c>
      <c r="CW161" s="20" t="e">
        <f t="shared" si="174"/>
        <v>#NUM!</v>
      </c>
      <c r="CX161" s="59" t="e">
        <f t="shared" si="122"/>
        <v>#NUM!</v>
      </c>
      <c r="CY161" s="59">
        <f ca="1">AVERAGE(OFFSET($CX$3,0,0,'Données projet'!$E$13+1,1))-AVERAGE(OFFSET($H$3,0,0,'Données projet'!$E$13+1,1))</f>
        <v>356.07880667298025</v>
      </c>
      <c r="CZ161" s="59">
        <f t="shared" si="150"/>
        <v>396.05161661639659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26.332667693769178</v>
      </c>
      <c r="DG161" s="21">
        <f>EXP(-LN(2)/25)*DG160+(1-EXP(-LN(2)/25))/(LN(2)/25)*Calculateur!DB161*Calculateur!DD161*VLOOKUP('Données projet'!$B$13,Paramètres!$A$1:$I$89,3,0)*0.475*44/12</f>
        <v>2.9055767433356565</v>
      </c>
      <c r="DH161" s="21">
        <f>EXP(-LN(2)/2)*DH160+(1-EXP(-LN(2)/2))/(LN(2)/2)*DB161*DE161*VLOOKUP('Données projet'!$B$13,Paramètres!$A$1:$I$89,3,0)*0.475*44/12</f>
        <v>6.0878499274319489E-14</v>
      </c>
      <c r="DI161" s="22">
        <f t="shared" si="175"/>
        <v>29.238244437104896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>
        <f>DO161*VLOOKUP('Données projet'!$B$14,Paramètres!$A$1:$I$89,3,0)*VLOOKUP('Données projet'!$B$14,Paramètres!$A$1:$I$89,5,0)</f>
        <v>0</v>
      </c>
      <c r="DQ161" s="13" t="e">
        <f t="shared" si="176"/>
        <v>#NUM!</v>
      </c>
      <c r="DR161" s="20" t="e">
        <f t="shared" si="177"/>
        <v>#NUM!</v>
      </c>
      <c r="DS161" s="59" t="e">
        <f t="shared" si="125"/>
        <v>#NUM!</v>
      </c>
      <c r="DT161" s="59">
        <f ca="1">AVERAGE(OFFSET($DS$3,0,0,'Données projet'!$E$14+1,1))-AVERAGE(OFFSET($H$3,0,0,'Données projet'!$E$14+1,1))</f>
        <v>246.11623544660486</v>
      </c>
      <c r="DU161" s="59">
        <f t="shared" si="152"/>
        <v>273.18950868898253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18.066584813525854</v>
      </c>
      <c r="EB161" s="21">
        <f>EXP(-LN(2)/25)*EB160+(1-EXP(-LN(2)/25))/(LN(2)/25)*Calculateur!DW161*Calculateur!DY161*VLOOKUP('Données projet'!$B$14,Paramètres!$A$1:$I$89,3,0)*0.475*44/12</f>
        <v>2.6391523159544938</v>
      </c>
      <c r="EC161" s="21">
        <f>EXP(-LN(2)/2)*EC160+(1-EXP(-LN(2)/2))/(LN(2)/2)*DW161*DZ161*VLOOKUP('Données projet'!$B$14,Paramètres!$A$1:$I$89,3,0)*0.475*44/12</f>
        <v>5.78472788019915E-14</v>
      </c>
      <c r="ED161" s="22">
        <f t="shared" si="178"/>
        <v>20.705737129480404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5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67">
        <f t="shared" si="110"/>
        <v>183.33333333333334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-1.7053025658242404E-13</v>
      </c>
      <c r="O162" s="13">
        <f>N162*VLOOKUP('Données projet'!$B$9,Paramètres!$A$1:$I$89,3,0)*VLOOKUP('Données projet'!$B$9,Paramètres!$A$1:$I$89,5,0)</f>
        <v>-1.72917680174578E-13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538.10210778862256</v>
      </c>
      <c r="T162" s="59">
        <f t="shared" si="142"/>
        <v>399.53300632021399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94.476496309284869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94.476496309284869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-1.7053025658242404E-13</v>
      </c>
      <c r="AJ162" s="13">
        <f>AI162*VLOOKUP('Données projet'!$B$10,Paramètres!$A$1:$I$89,3,0)*VLOOKUP('Données projet'!$B$10,Paramètres!$A$1:$I$89,5,0)</f>
        <v>-1.7823822417994965E-13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552.26894123675538</v>
      </c>
      <c r="AO162" s="59">
        <f t="shared" si="144"/>
        <v>409.85604950107006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97.383465426493601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97.383465426493601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-1.1368683772161603E-13</v>
      </c>
      <c r="BE162" s="13">
        <f>BD162*VLOOKUP('Données projet'!$B$11,Paramètres!$A$1:$I$89,3,0)*VLOOKUP('Données projet'!$B$11,Paramètres!$A$1:$I$89,5,0)</f>
        <v>-1.223725121235475E-13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361.24725625563468</v>
      </c>
      <c r="BJ162" s="59">
        <f t="shared" si="146"/>
        <v>186.0840067781198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55.671590943251253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55.671590943251253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-1.7053025658242404E-13</v>
      </c>
      <c r="BZ162" s="13">
        <f>BY162*VLOOKUP('Données projet'!$B$12,Paramètres!$A$1:$I$89,3,0)*VLOOKUP('Données projet'!$B$12,Paramètres!$A$1:$I$89,5,0)</f>
        <v>-1.1439169611549005E-13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323.91378047319455</v>
      </c>
      <c r="CE162" s="59">
        <f t="shared" si="148"/>
        <v>212.89889176380288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58.880304508712314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58.880304508712314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>
        <f>CT162*VLOOKUP('Données projet'!$B$13,Paramètres!$A$1:$I$89,3,0)*VLOOKUP('Données projet'!$B$13,Paramètres!$A$1:$I$89,5,0)</f>
        <v>0</v>
      </c>
      <c r="CV162" s="13" t="e">
        <f t="shared" si="173"/>
        <v>#NUM!</v>
      </c>
      <c r="CW162" s="20" t="e">
        <f t="shared" si="174"/>
        <v>#NUM!</v>
      </c>
      <c r="CX162" s="59" t="e">
        <f t="shared" si="122"/>
        <v>#NUM!</v>
      </c>
      <c r="CY162" s="59">
        <f ca="1">AVERAGE(OFFSET($CX$3,0,0,'Données projet'!$E$13+1,1))-AVERAGE(OFFSET($H$3,0,0,'Données projet'!$E$13+1,1))</f>
        <v>356.07880667298025</v>
      </c>
      <c r="CZ162" s="59">
        <f t="shared" si="150"/>
        <v>396.05161661639659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25.816300141635733</v>
      </c>
      <c r="DG162" s="21">
        <f>EXP(-LN(2)/25)*DG161+(1-EXP(-LN(2)/25))/(LN(2)/25)*Calculateur!DB162*Calculateur!DD162*VLOOKUP('Données projet'!$B$13,Paramètres!$A$1:$I$89,3,0)*0.475*44/12</f>
        <v>2.8261235944915026</v>
      </c>
      <c r="DH162" s="21">
        <f>EXP(-LN(2)/2)*DH161+(1-EXP(-LN(2)/2))/(LN(2)/2)*DB162*DE162*VLOOKUP('Données projet'!$B$13,Paramètres!$A$1:$I$89,3,0)*0.475*44/12</f>
        <v>4.3047599665331624E-14</v>
      </c>
      <c r="DI162" s="22">
        <f t="shared" si="175"/>
        <v>28.642423736127277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>
        <f>DO162*VLOOKUP('Données projet'!$B$14,Paramètres!$A$1:$I$89,3,0)*VLOOKUP('Données projet'!$B$14,Paramètres!$A$1:$I$89,5,0)</f>
        <v>0</v>
      </c>
      <c r="DQ162" s="13" t="e">
        <f t="shared" si="176"/>
        <v>#NUM!</v>
      </c>
      <c r="DR162" s="20" t="e">
        <f t="shared" si="177"/>
        <v>#NUM!</v>
      </c>
      <c r="DS162" s="59" t="e">
        <f t="shared" si="125"/>
        <v>#NUM!</v>
      </c>
      <c r="DT162" s="59">
        <f ca="1">AVERAGE(OFFSET($DS$3,0,0,'Données projet'!$E$14+1,1))-AVERAGE(OFFSET($H$3,0,0,'Données projet'!$E$14+1,1))</f>
        <v>246.11623544660486</v>
      </c>
      <c r="DU162" s="59">
        <f t="shared" si="152"/>
        <v>273.18950868898253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17.71231010486126</v>
      </c>
      <c r="EB162" s="21">
        <f>EXP(-LN(2)/25)*EB161+(1-EXP(-LN(2)/25))/(LN(2)/25)*Calculateur!DW162*Calculateur!DY162*VLOOKUP('Données projet'!$B$14,Paramètres!$A$1:$I$89,3,0)*0.475*44/12</f>
        <v>2.5669845570877299</v>
      </c>
      <c r="EC162" s="21">
        <f>EXP(-LN(2)/2)*EC161+(1-EXP(-LN(2)/2))/(LN(2)/2)*DW162*DZ162*VLOOKUP('Données projet'!$B$14,Paramètres!$A$1:$I$89,3,0)*0.475*44/12</f>
        <v>4.0904203114077013E-14</v>
      </c>
      <c r="ED162" s="22">
        <f t="shared" si="178"/>
        <v>20.279294661949031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5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67">
        <f t="shared" si="110"/>
        <v>183.33333333333334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-1.7053025658242404E-13</v>
      </c>
      <c r="O163" s="13">
        <f>N163*VLOOKUP('Données projet'!$B$9,Paramètres!$A$1:$I$89,3,0)*VLOOKUP('Données projet'!$B$9,Paramètres!$A$1:$I$89,5,0)</f>
        <v>-1.72917680174578E-13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538.10210778862256</v>
      </c>
      <c r="T163" s="59">
        <f t="shared" si="142"/>
        <v>399.53300632021399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92.623869841632555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92.623869841632555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-1.7053025658242404E-13</v>
      </c>
      <c r="AJ163" s="13">
        <f>AI163*VLOOKUP('Données projet'!$B$10,Paramètres!$A$1:$I$89,3,0)*VLOOKUP('Données projet'!$B$10,Paramètres!$A$1:$I$89,5,0)</f>
        <v>-1.7823822417994965E-13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552.26894123675538</v>
      </c>
      <c r="AO163" s="59">
        <f t="shared" si="144"/>
        <v>409.85604950107006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95.473835067528896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95.473835067528896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-1.1368683772161603E-13</v>
      </c>
      <c r="BE163" s="13">
        <f>BD163*VLOOKUP('Données projet'!$B$11,Paramètres!$A$1:$I$89,3,0)*VLOOKUP('Données projet'!$B$11,Paramètres!$A$1:$I$89,5,0)</f>
        <v>-1.223725121235475E-13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361.24725625563468</v>
      </c>
      <c r="BJ163" s="59">
        <f t="shared" si="146"/>
        <v>186.0840067781198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54.57990500117166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54.57990500117166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-1.7053025658242404E-13</v>
      </c>
      <c r="BZ163" s="13">
        <f>BY163*VLOOKUP('Données projet'!$B$12,Paramètres!$A$1:$I$89,3,0)*VLOOKUP('Données projet'!$B$12,Paramètres!$A$1:$I$89,5,0)</f>
        <v>-1.1439169611549005E-13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323.91378047319455</v>
      </c>
      <c r="CE163" s="59">
        <f t="shared" si="148"/>
        <v>212.89889176380288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57.725697650736059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57.725697650736059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>
        <f>CT163*VLOOKUP('Données projet'!$B$13,Paramètres!$A$1:$I$89,3,0)*VLOOKUP('Données projet'!$B$13,Paramètres!$A$1:$I$89,5,0)</f>
        <v>0</v>
      </c>
      <c r="CV163" s="13" t="e">
        <f t="shared" si="173"/>
        <v>#NUM!</v>
      </c>
      <c r="CW163" s="20" t="e">
        <f t="shared" si="174"/>
        <v>#NUM!</v>
      </c>
      <c r="CX163" s="59" t="e">
        <f t="shared" si="122"/>
        <v>#NUM!</v>
      </c>
      <c r="CY163" s="59">
        <f ca="1">AVERAGE(OFFSET($CX$3,0,0,'Données projet'!$E$13+1,1))-AVERAGE(OFFSET($H$3,0,0,'Données projet'!$E$13+1,1))</f>
        <v>356.07880667298025</v>
      </c>
      <c r="CZ163" s="59">
        <f t="shared" si="150"/>
        <v>396.05161661639659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25.310058242246516</v>
      </c>
      <c r="DG163" s="21">
        <f>EXP(-LN(2)/25)*DG162+(1-EXP(-LN(2)/25))/(LN(2)/25)*Calculateur!DB163*Calculateur!DD163*VLOOKUP('Données projet'!$B$13,Paramètres!$A$1:$I$89,3,0)*0.475*44/12</f>
        <v>2.7488430961807517</v>
      </c>
      <c r="DH163" s="21">
        <f>EXP(-LN(2)/2)*DH162+(1-EXP(-LN(2)/2))/(LN(2)/2)*DB163*DE163*VLOOKUP('Données projet'!$B$13,Paramètres!$A$1:$I$89,3,0)*0.475*44/12</f>
        <v>3.0439249637159744E-14</v>
      </c>
      <c r="DI163" s="22">
        <f t="shared" si="175"/>
        <v>28.058901338427301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>
        <f>DO163*VLOOKUP('Données projet'!$B$14,Paramètres!$A$1:$I$89,3,0)*VLOOKUP('Données projet'!$B$14,Paramètres!$A$1:$I$89,5,0)</f>
        <v>0</v>
      </c>
      <c r="DQ163" s="13" t="e">
        <f t="shared" si="176"/>
        <v>#NUM!</v>
      </c>
      <c r="DR163" s="20" t="e">
        <f t="shared" si="177"/>
        <v>#NUM!</v>
      </c>
      <c r="DS163" s="59" t="e">
        <f t="shared" si="125"/>
        <v>#NUM!</v>
      </c>
      <c r="DT163" s="59">
        <f ca="1">AVERAGE(OFFSET($DS$3,0,0,'Données projet'!$E$14+1,1))-AVERAGE(OFFSET($H$3,0,0,'Données projet'!$E$14+1,1))</f>
        <v>246.11623544660486</v>
      </c>
      <c r="DU163" s="59">
        <f t="shared" si="152"/>
        <v>273.18950868898253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17.364982507147342</v>
      </c>
      <c r="EB163" s="21">
        <f>EXP(-LN(2)/25)*EB162+(1-EXP(-LN(2)/25))/(LN(2)/25)*Calculateur!DW163*Calculateur!DY163*VLOOKUP('Données projet'!$B$14,Paramètres!$A$1:$I$89,3,0)*0.475*44/12</f>
        <v>2.4967902293823148</v>
      </c>
      <c r="EC163" s="21">
        <f>EXP(-LN(2)/2)*EC162+(1-EXP(-LN(2)/2))/(LN(2)/2)*DW163*DZ163*VLOOKUP('Données projet'!$B$14,Paramètres!$A$1:$I$89,3,0)*0.475*44/12</f>
        <v>2.892363940099575E-14</v>
      </c>
      <c r="ED163" s="22">
        <f t="shared" si="178"/>
        <v>19.861772736529687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5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67">
        <f t="shared" si="110"/>
        <v>183.33333333333334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-1.7053025658242404E-13</v>
      </c>
      <c r="O164" s="13">
        <f>N164*VLOOKUP('Données projet'!$B$9,Paramètres!$A$1:$I$89,3,0)*VLOOKUP('Données projet'!$B$9,Paramètres!$A$1:$I$89,5,0)</f>
        <v>-1.72917680174578E-13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538.10210778862256</v>
      </c>
      <c r="T164" s="59">
        <f t="shared" si="142"/>
        <v>399.53300632021399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90.807572249020325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90.807572249020325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-1.7053025658242404E-13</v>
      </c>
      <c r="AJ164" s="13">
        <f>AI164*VLOOKUP('Données projet'!$B$10,Paramètres!$A$1:$I$89,3,0)*VLOOKUP('Données projet'!$B$10,Paramètres!$A$1:$I$89,5,0)</f>
        <v>-1.7823822417994965E-13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552.26894123675538</v>
      </c>
      <c r="AO164" s="59">
        <f t="shared" si="144"/>
        <v>409.85604950107006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93.601651395143989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93.601651395143989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-1.1368683772161603E-13</v>
      </c>
      <c r="BE164" s="13">
        <f>BD164*VLOOKUP('Données projet'!$B$11,Paramètres!$A$1:$I$89,3,0)*VLOOKUP('Données projet'!$B$11,Paramètres!$A$1:$I$89,5,0)</f>
        <v>-1.223725121235475E-13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361.24725625563468</v>
      </c>
      <c r="BJ164" s="59">
        <f t="shared" si="146"/>
        <v>186.0840067781198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53.509626354553575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53.509626354553575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-1.7053025658242404E-13</v>
      </c>
      <c r="BZ164" s="13">
        <f>BY164*VLOOKUP('Données projet'!$B$12,Paramètres!$A$1:$I$89,3,0)*VLOOKUP('Données projet'!$B$12,Paramètres!$A$1:$I$89,5,0)</f>
        <v>-1.1439169611549005E-13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323.91378047319455</v>
      </c>
      <c r="CE164" s="59">
        <f t="shared" si="148"/>
        <v>212.89889176380288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56.593731929004072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56.593731929004072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>
        <f>CT164*VLOOKUP('Données projet'!$B$13,Paramètres!$A$1:$I$89,3,0)*VLOOKUP('Données projet'!$B$13,Paramètres!$A$1:$I$89,5,0)</f>
        <v>0</v>
      </c>
      <c r="CV164" s="13" t="e">
        <f t="shared" si="173"/>
        <v>#NUM!</v>
      </c>
      <c r="CW164" s="20" t="e">
        <f t="shared" si="174"/>
        <v>#NUM!</v>
      </c>
      <c r="CX164" s="59" t="e">
        <f t="shared" si="122"/>
        <v>#NUM!</v>
      </c>
      <c r="CY164" s="59">
        <f ca="1">AVERAGE(OFFSET($CX$3,0,0,'Données projet'!$E$13+1,1))-AVERAGE(OFFSET($H$3,0,0,'Données projet'!$E$13+1,1))</f>
        <v>356.07880667298025</v>
      </c>
      <c r="CZ164" s="59">
        <f t="shared" si="150"/>
        <v>396.05161661639659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24.813743437727251</v>
      </c>
      <c r="DG164" s="21">
        <f>EXP(-LN(2)/25)*DG163+(1-EXP(-LN(2)/25))/(LN(2)/25)*Calculateur!DB164*Calculateur!DD164*VLOOKUP('Données projet'!$B$13,Paramètres!$A$1:$I$89,3,0)*0.475*44/12</f>
        <v>2.6736758371603133</v>
      </c>
      <c r="DH164" s="21">
        <f>EXP(-LN(2)/2)*DH163+(1-EXP(-LN(2)/2))/(LN(2)/2)*DB164*DE164*VLOOKUP('Données projet'!$B$13,Paramètres!$A$1:$I$89,3,0)*0.475*44/12</f>
        <v>2.1523799832665812E-14</v>
      </c>
      <c r="DI164" s="22">
        <f t="shared" si="175"/>
        <v>27.487419274887586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>
        <f>DO164*VLOOKUP('Données projet'!$B$14,Paramètres!$A$1:$I$89,3,0)*VLOOKUP('Données projet'!$B$14,Paramètres!$A$1:$I$89,5,0)</f>
        <v>0</v>
      </c>
      <c r="DQ164" s="13" t="e">
        <f t="shared" si="176"/>
        <v>#NUM!</v>
      </c>
      <c r="DR164" s="20" t="e">
        <f t="shared" si="177"/>
        <v>#NUM!</v>
      </c>
      <c r="DS164" s="59" t="e">
        <f t="shared" si="125"/>
        <v>#NUM!</v>
      </c>
      <c r="DT164" s="59">
        <f ca="1">AVERAGE(OFFSET($DS$3,0,0,'Données projet'!$E$14+1,1))-AVERAGE(OFFSET($H$3,0,0,'Données projet'!$E$14+1,1))</f>
        <v>246.11623544660486</v>
      </c>
      <c r="DU164" s="59">
        <f t="shared" si="152"/>
        <v>273.18950868898253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17.024465791775679</v>
      </c>
      <c r="EB164" s="21">
        <f>EXP(-LN(2)/25)*EB163+(1-EXP(-LN(2)/25))/(LN(2)/25)*Calculateur!DW164*Calculateur!DY164*VLOOKUP('Données projet'!$B$14,Paramètres!$A$1:$I$89,3,0)*0.475*44/12</f>
        <v>2.4285153692593635</v>
      </c>
      <c r="EC164" s="21">
        <f>EXP(-LN(2)/2)*EC163+(1-EXP(-LN(2)/2))/(LN(2)/2)*DW164*DZ164*VLOOKUP('Données projet'!$B$14,Paramètres!$A$1:$I$89,3,0)*0.475*44/12</f>
        <v>2.0452101557038507E-14</v>
      </c>
      <c r="ED164" s="22">
        <f t="shared" si="178"/>
        <v>19.452981161035062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5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67">
        <f t="shared" si="110"/>
        <v>183.33333333333334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-1.7053025658242404E-13</v>
      </c>
      <c r="O165" s="13">
        <f>N165*VLOOKUP('Données projet'!$B$9,Paramètres!$A$1:$I$89,3,0)*VLOOKUP('Données projet'!$B$9,Paramètres!$A$1:$I$89,5,0)</f>
        <v>-1.72917680174578E-13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538.10210778862256</v>
      </c>
      <c r="T165" s="59">
        <f t="shared" si="142"/>
        <v>399.53300632021399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89.026891144367085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89.026891144367085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-1.7053025658242404E-13</v>
      </c>
      <c r="AJ165" s="13">
        <f>AI165*VLOOKUP('Données projet'!$B$10,Paramètres!$A$1:$I$89,3,0)*VLOOKUP('Données projet'!$B$10,Paramètres!$A$1:$I$89,5,0)</f>
        <v>-1.7823822417994965E-13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552.26894123675538</v>
      </c>
      <c r="AO165" s="59">
        <f t="shared" si="144"/>
        <v>409.85604950107006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91.766180102655255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91.766180102655255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-1.1368683772161603E-13</v>
      </c>
      <c r="BE165" s="13">
        <f>BD165*VLOOKUP('Données projet'!$B$11,Paramètres!$A$1:$I$89,3,0)*VLOOKUP('Données projet'!$B$11,Paramètres!$A$1:$I$89,5,0)</f>
        <v>-1.223725121235475E-13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361.24725625563468</v>
      </c>
      <c r="BJ165" s="59">
        <f t="shared" si="146"/>
        <v>186.0840067781198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52.460335219390153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52.460335219390153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-1.7053025658242404E-13</v>
      </c>
      <c r="BZ165" s="13">
        <f>BY165*VLOOKUP('Données projet'!$B$12,Paramètres!$A$1:$I$89,3,0)*VLOOKUP('Données projet'!$B$12,Paramètres!$A$1:$I$89,5,0)</f>
        <v>-1.1439169611549005E-13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323.91378047319455</v>
      </c>
      <c r="CE165" s="59">
        <f t="shared" si="148"/>
        <v>212.89889176380288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55.483963364644332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55.483963364644332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>
        <f>CT165*VLOOKUP('Données projet'!$B$13,Paramètres!$A$1:$I$89,3,0)*VLOOKUP('Données projet'!$B$13,Paramètres!$A$1:$I$89,5,0)</f>
        <v>0</v>
      </c>
      <c r="CV165" s="13" t="e">
        <f t="shared" si="173"/>
        <v>#NUM!</v>
      </c>
      <c r="CW165" s="20" t="e">
        <f t="shared" si="174"/>
        <v>#NUM!</v>
      </c>
      <c r="CX165" s="59" t="e">
        <f t="shared" si="122"/>
        <v>#NUM!</v>
      </c>
      <c r="CY165" s="59">
        <f ca="1">AVERAGE(OFFSET($CX$3,0,0,'Données projet'!$E$13+1,1))-AVERAGE(OFFSET($H$3,0,0,'Données projet'!$E$13+1,1))</f>
        <v>356.07880667298025</v>
      </c>
      <c r="CZ165" s="59">
        <f t="shared" si="150"/>
        <v>396.05161661639659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24.327161063802471</v>
      </c>
      <c r="DG165" s="21">
        <f>EXP(-LN(2)/25)*DG164+(1-EXP(-LN(2)/25))/(LN(2)/25)*Calculateur!DB165*Calculateur!DD165*VLOOKUP('Données projet'!$B$13,Paramètres!$A$1:$I$89,3,0)*0.475*44/12</f>
        <v>2.6005640307906632</v>
      </c>
      <c r="DH165" s="21">
        <f>EXP(-LN(2)/2)*DH164+(1-EXP(-LN(2)/2))/(LN(2)/2)*DB165*DE165*VLOOKUP('Données projet'!$B$13,Paramètres!$A$1:$I$89,3,0)*0.475*44/12</f>
        <v>1.5219624818579872E-14</v>
      </c>
      <c r="DI165" s="22">
        <f t="shared" si="175"/>
        <v>26.92772509459315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>
        <f>DO165*VLOOKUP('Données projet'!$B$14,Paramètres!$A$1:$I$89,3,0)*VLOOKUP('Données projet'!$B$14,Paramètres!$A$1:$I$89,5,0)</f>
        <v>0</v>
      </c>
      <c r="DQ165" s="13" t="e">
        <f t="shared" si="176"/>
        <v>#NUM!</v>
      </c>
      <c r="DR165" s="20" t="e">
        <f t="shared" si="177"/>
        <v>#NUM!</v>
      </c>
      <c r="DS165" s="59" t="e">
        <f t="shared" si="125"/>
        <v>#NUM!</v>
      </c>
      <c r="DT165" s="59">
        <f ca="1">AVERAGE(OFFSET($DS$3,0,0,'Données projet'!$E$14+1,1))-AVERAGE(OFFSET($H$3,0,0,'Données projet'!$E$14+1,1))</f>
        <v>246.11623544660486</v>
      </c>
      <c r="DU165" s="59">
        <f t="shared" si="152"/>
        <v>273.18950868898253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16.690626401497767</v>
      </c>
      <c r="EB165" s="21">
        <f>EXP(-LN(2)/25)*EB164+(1-EXP(-LN(2)/25))/(LN(2)/25)*Calculateur!DW165*Calculateur!DY165*VLOOKUP('Données projet'!$B$14,Paramètres!$A$1:$I$89,3,0)*0.475*44/12</f>
        <v>2.3621074887768936</v>
      </c>
      <c r="EC165" s="21">
        <f>EXP(-LN(2)/2)*EC164+(1-EXP(-LN(2)/2))/(LN(2)/2)*DW165*DZ165*VLOOKUP('Données projet'!$B$14,Paramètres!$A$1:$I$89,3,0)*0.475*44/12</f>
        <v>1.4461819700497875E-14</v>
      </c>
      <c r="ED165" s="22">
        <f t="shared" si="178"/>
        <v>19.052733890274673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5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67">
        <f t="shared" si="110"/>
        <v>183.33333333333334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-1.7053025658242404E-13</v>
      </c>
      <c r="O166" s="13">
        <f>N166*VLOOKUP('Données projet'!$B$9,Paramètres!$A$1:$I$89,3,0)*VLOOKUP('Données projet'!$B$9,Paramètres!$A$1:$I$89,5,0)</f>
        <v>-1.72917680174578E-13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538.10210778862256</v>
      </c>
      <c r="T166" s="59">
        <f t="shared" si="142"/>
        <v>399.53300632021399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87.281128110067868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87.281128110067868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-1.7053025658242404E-13</v>
      </c>
      <c r="AJ166" s="13">
        <f>AI166*VLOOKUP('Données projet'!$B$10,Paramètres!$A$1:$I$89,3,0)*VLOOKUP('Données projet'!$B$10,Paramètres!$A$1:$I$89,5,0)</f>
        <v>-1.7823822417994965E-13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552.26894123675538</v>
      </c>
      <c r="AO166" s="59">
        <f t="shared" si="144"/>
        <v>409.85604950107006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89.966701282685293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89.966701282685293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-1.1368683772161603E-13</v>
      </c>
      <c r="BE166" s="13">
        <f>BD166*VLOOKUP('Données projet'!$B$11,Paramètres!$A$1:$I$89,3,0)*VLOOKUP('Données projet'!$B$11,Paramètres!$A$1:$I$89,5,0)</f>
        <v>-1.223725121235475E-13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361.24725625563468</v>
      </c>
      <c r="BJ166" s="59">
        <f t="shared" si="146"/>
        <v>186.0840067781198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51.431620043382893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51.431620043382893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-1.7053025658242404E-13</v>
      </c>
      <c r="BZ166" s="13">
        <f>BY166*VLOOKUP('Données projet'!$B$12,Paramètres!$A$1:$I$89,3,0)*VLOOKUP('Données projet'!$B$12,Paramètres!$A$1:$I$89,5,0)</f>
        <v>-1.1439169611549005E-13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323.91378047319455</v>
      </c>
      <c r="CE166" s="59">
        <f t="shared" si="148"/>
        <v>212.89889176380288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54.395956684939698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54.395956684939698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>
        <f>CT166*VLOOKUP('Données projet'!$B$13,Paramètres!$A$1:$I$89,3,0)*VLOOKUP('Données projet'!$B$13,Paramètres!$A$1:$I$89,5,0)</f>
        <v>0</v>
      </c>
      <c r="CV166" s="13" t="e">
        <f t="shared" si="173"/>
        <v>#NUM!</v>
      </c>
      <c r="CW166" s="20" t="e">
        <f t="shared" si="174"/>
        <v>#NUM!</v>
      </c>
      <c r="CX166" s="59" t="e">
        <f t="shared" si="122"/>
        <v>#NUM!</v>
      </c>
      <c r="CY166" s="59">
        <f ca="1">AVERAGE(OFFSET($CX$3,0,0,'Données projet'!$E$13+1,1))-AVERAGE(OFFSET($H$3,0,0,'Données projet'!$E$13+1,1))</f>
        <v>356.07880667298025</v>
      </c>
      <c r="CZ166" s="59">
        <f t="shared" si="150"/>
        <v>396.05161661639659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23.850120273444414</v>
      </c>
      <c r="DG166" s="21">
        <f>EXP(-LN(2)/25)*DG165+(1-EXP(-LN(2)/25))/(LN(2)/25)*Calculateur!DB166*Calculateur!DD166*VLOOKUP('Données projet'!$B$13,Paramètres!$A$1:$I$89,3,0)*0.475*44/12</f>
        <v>2.5294514706109736</v>
      </c>
      <c r="DH166" s="21">
        <f>EXP(-LN(2)/2)*DH165+(1-EXP(-LN(2)/2))/(LN(2)/2)*DB166*DE166*VLOOKUP('Données projet'!$B$13,Paramètres!$A$1:$I$89,3,0)*0.475*44/12</f>
        <v>1.0761899916332906E-14</v>
      </c>
      <c r="DI166" s="22">
        <f t="shared" si="175"/>
        <v>26.379571744055397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>
        <f>DO166*VLOOKUP('Données projet'!$B$14,Paramètres!$A$1:$I$89,3,0)*VLOOKUP('Données projet'!$B$14,Paramètres!$A$1:$I$89,5,0)</f>
        <v>0</v>
      </c>
      <c r="DQ166" s="13" t="e">
        <f t="shared" si="176"/>
        <v>#NUM!</v>
      </c>
      <c r="DR166" s="20" t="e">
        <f t="shared" si="177"/>
        <v>#NUM!</v>
      </c>
      <c r="DS166" s="59" t="e">
        <f t="shared" si="125"/>
        <v>#NUM!</v>
      </c>
      <c r="DT166" s="59">
        <f ca="1">AVERAGE(OFFSET($DS$3,0,0,'Données projet'!$E$14+1,1))-AVERAGE(OFFSET($H$3,0,0,'Données projet'!$E$14+1,1))</f>
        <v>246.11623544660486</v>
      </c>
      <c r="DU166" s="59">
        <f t="shared" si="152"/>
        <v>273.18950868898253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16.363333398041281</v>
      </c>
      <c r="EB166" s="21">
        <f>EXP(-LN(2)/25)*EB165+(1-EXP(-LN(2)/25))/(LN(2)/25)*Calculateur!DW166*Calculateur!DY166*VLOOKUP('Données projet'!$B$14,Paramètres!$A$1:$I$89,3,0)*0.475*44/12</f>
        <v>2.2975155352784551</v>
      </c>
      <c r="EC166" s="21">
        <f>EXP(-LN(2)/2)*EC165+(1-EXP(-LN(2)/2))/(LN(2)/2)*DW166*DZ166*VLOOKUP('Données projet'!$B$14,Paramètres!$A$1:$I$89,3,0)*0.475*44/12</f>
        <v>1.0226050778519253E-14</v>
      </c>
      <c r="ED166" s="22">
        <f t="shared" si="178"/>
        <v>18.660848933319745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5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67">
        <f t="shared" si="110"/>
        <v>183.33333333333334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-1.7053025658242404E-13</v>
      </c>
      <c r="O167" s="13">
        <f>N167*VLOOKUP('Données projet'!$B$9,Paramètres!$A$1:$I$89,3,0)*VLOOKUP('Données projet'!$B$9,Paramètres!$A$1:$I$89,5,0)</f>
        <v>-1.72917680174578E-13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538.10210778862256</v>
      </c>
      <c r="T167" s="59">
        <f t="shared" si="142"/>
        <v>399.53300632021399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85.569598424060942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85.569598424060942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-1.7053025658242404E-13</v>
      </c>
      <c r="AJ167" s="13">
        <f>AI167*VLOOKUP('Données projet'!$B$10,Paramètres!$A$1:$I$89,3,0)*VLOOKUP('Données projet'!$B$10,Paramètres!$A$1:$I$89,5,0)</f>
        <v>-1.7823822417994965E-13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552.26894123675538</v>
      </c>
      <c r="AO167" s="59">
        <f t="shared" si="144"/>
        <v>409.85604950107006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88.202509144801226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88.202509144801226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-1.1368683772161603E-13</v>
      </c>
      <c r="BE167" s="13">
        <f>BD167*VLOOKUP('Données projet'!$B$11,Paramètres!$A$1:$I$89,3,0)*VLOOKUP('Données projet'!$B$11,Paramètres!$A$1:$I$89,5,0)</f>
        <v>-1.223725121235475E-13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361.24725625563468</v>
      </c>
      <c r="BJ167" s="59">
        <f t="shared" si="146"/>
        <v>186.0840067781198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50.423077344522831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50.423077344522831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-1.7053025658242404E-13</v>
      </c>
      <c r="BZ167" s="13">
        <f>BY167*VLOOKUP('Données projet'!$B$12,Paramètres!$A$1:$I$89,3,0)*VLOOKUP('Données projet'!$B$12,Paramètres!$A$1:$I$89,5,0)</f>
        <v>-1.1439169611549005E-13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323.91378047319455</v>
      </c>
      <c r="CE167" s="59">
        <f t="shared" si="148"/>
        <v>212.89889176380288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53.329285152605529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53.329285152605529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>
        <f>CT167*VLOOKUP('Données projet'!$B$13,Paramètres!$A$1:$I$89,3,0)*VLOOKUP('Données projet'!$B$13,Paramètres!$A$1:$I$89,5,0)</f>
        <v>0</v>
      </c>
      <c r="CV167" s="13" t="e">
        <f t="shared" si="173"/>
        <v>#NUM!</v>
      </c>
      <c r="CW167" s="20" t="e">
        <f t="shared" si="174"/>
        <v>#NUM!</v>
      </c>
      <c r="CX167" s="59" t="e">
        <f t="shared" si="122"/>
        <v>#NUM!</v>
      </c>
      <c r="CY167" s="59">
        <f ca="1">AVERAGE(OFFSET($CX$3,0,0,'Données projet'!$E$13+1,1))-AVERAGE(OFFSET($H$3,0,0,'Données projet'!$E$13+1,1))</f>
        <v>356.07880667298025</v>
      </c>
      <c r="CZ167" s="59">
        <f t="shared" si="150"/>
        <v>396.05161661639659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23.382433962019125</v>
      </c>
      <c r="DG167" s="21">
        <f>EXP(-LN(2)/25)*DG166+(1-EXP(-LN(2)/25))/(LN(2)/25)*Calculateur!DB167*Calculateur!DD167*VLOOKUP('Données projet'!$B$13,Paramètres!$A$1:$I$89,3,0)*0.475*44/12</f>
        <v>2.4602834871290447</v>
      </c>
      <c r="DH167" s="21">
        <f>EXP(-LN(2)/2)*DH166+(1-EXP(-LN(2)/2))/(LN(2)/2)*DB167*DE167*VLOOKUP('Données projet'!$B$13,Paramètres!$A$1:$I$89,3,0)*0.475*44/12</f>
        <v>7.6098124092899361E-15</v>
      </c>
      <c r="DI167" s="22">
        <f t="shared" si="175"/>
        <v>25.842717449148175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>
        <f>DO167*VLOOKUP('Données projet'!$B$14,Paramètres!$A$1:$I$89,3,0)*VLOOKUP('Données projet'!$B$14,Paramètres!$A$1:$I$89,5,0)</f>
        <v>0</v>
      </c>
      <c r="DQ167" s="13" t="e">
        <f t="shared" si="176"/>
        <v>#NUM!</v>
      </c>
      <c r="DR167" s="20" t="e">
        <f t="shared" si="177"/>
        <v>#NUM!</v>
      </c>
      <c r="DS167" s="59" t="e">
        <f t="shared" si="125"/>
        <v>#NUM!</v>
      </c>
      <c r="DT167" s="59">
        <f ca="1">AVERAGE(OFFSET($DS$3,0,0,'Données projet'!$E$14+1,1))-AVERAGE(OFFSET($H$3,0,0,'Données projet'!$E$14+1,1))</f>
        <v>246.11623544660486</v>
      </c>
      <c r="DU167" s="59">
        <f t="shared" si="152"/>
        <v>273.18950868898253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16.042458410753557</v>
      </c>
      <c r="EB167" s="21">
        <f>EXP(-LN(2)/25)*EB166+(1-EXP(-LN(2)/25))/(LN(2)/25)*Calculateur!DW167*Calculateur!DY167*VLOOKUP('Données projet'!$B$14,Paramètres!$A$1:$I$89,3,0)*0.475*44/12</f>
        <v>2.2346898521451748</v>
      </c>
      <c r="EC167" s="21">
        <f>EXP(-LN(2)/2)*EC166+(1-EXP(-LN(2)/2))/(LN(2)/2)*DW167*DZ167*VLOOKUP('Données projet'!$B$14,Paramètres!$A$1:$I$89,3,0)*0.475*44/12</f>
        <v>7.2309098502489375E-15</v>
      </c>
      <c r="ED167" s="22">
        <f t="shared" si="178"/>
        <v>18.277148262898738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5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67">
        <f t="shared" si="110"/>
        <v>183.33333333333334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-1.7053025658242404E-13</v>
      </c>
      <c r="O168" s="13">
        <f>N168*VLOOKUP('Données projet'!$B$9,Paramètres!$A$1:$I$89,3,0)*VLOOKUP('Données projet'!$B$9,Paramètres!$A$1:$I$89,5,0)</f>
        <v>-1.72917680174578E-13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538.10210778862256</v>
      </c>
      <c r="T168" s="59">
        <f t="shared" si="142"/>
        <v>399.53300632021399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83.891630791266579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83.891630791266579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-1.7053025658242404E-13</v>
      </c>
      <c r="AJ168" s="13">
        <f>AI168*VLOOKUP('Données projet'!$B$10,Paramètres!$A$1:$I$89,3,0)*VLOOKUP('Données projet'!$B$10,Paramètres!$A$1:$I$89,5,0)</f>
        <v>-1.7823822417994965E-13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552.26894123675538</v>
      </c>
      <c r="AO168" s="59">
        <f t="shared" si="144"/>
        <v>409.85604950107006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86.472911738690115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86.472911738690115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-1.1368683772161603E-13</v>
      </c>
      <c r="BE168" s="13">
        <f>BD168*VLOOKUP('Données projet'!$B$11,Paramètres!$A$1:$I$89,3,0)*VLOOKUP('Données projet'!$B$11,Paramètres!$A$1:$I$89,5,0)</f>
        <v>-1.223725121235475E-13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361.24725625563468</v>
      </c>
      <c r="BJ168" s="59">
        <f t="shared" si="146"/>
        <v>186.0840067781198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49.434311552837109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49.434311552837109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-1.7053025658242404E-13</v>
      </c>
      <c r="BZ168" s="13">
        <f>BY168*VLOOKUP('Données projet'!$B$12,Paramètres!$A$1:$I$89,3,0)*VLOOKUP('Données projet'!$B$12,Paramètres!$A$1:$I$89,5,0)</f>
        <v>-1.1439169611549005E-13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323.91378047319455</v>
      </c>
      <c r="CE168" s="59">
        <f t="shared" si="148"/>
        <v>212.89889176380288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52.283530398415039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52.283530398415039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>
        <f>CT168*VLOOKUP('Données projet'!$B$13,Paramètres!$A$1:$I$89,3,0)*VLOOKUP('Données projet'!$B$13,Paramètres!$A$1:$I$89,5,0)</f>
        <v>0</v>
      </c>
      <c r="CV168" s="13" t="e">
        <f t="shared" si="173"/>
        <v>#NUM!</v>
      </c>
      <c r="CW168" s="20" t="e">
        <f t="shared" si="174"/>
        <v>#NUM!</v>
      </c>
      <c r="CX168" s="59" t="e">
        <f t="shared" si="122"/>
        <v>#NUM!</v>
      </c>
      <c r="CY168" s="59">
        <f ca="1">AVERAGE(OFFSET($CX$3,0,0,'Données projet'!$E$13+1,1))-AVERAGE(OFFSET($H$3,0,0,'Données projet'!$E$13+1,1))</f>
        <v>356.07880667298025</v>
      </c>
      <c r="CZ168" s="59">
        <f t="shared" si="150"/>
        <v>396.05161661639659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22.923918693900404</v>
      </c>
      <c r="DG168" s="21">
        <f>EXP(-LN(2)/25)*DG167+(1-EXP(-LN(2)/25))/(LN(2)/25)*Calculateur!DB168*Calculateur!DD168*VLOOKUP('Données projet'!$B$13,Paramètres!$A$1:$I$89,3,0)*0.475*44/12</f>
        <v>2.3930069057928156</v>
      </c>
      <c r="DH168" s="21">
        <f>EXP(-LN(2)/2)*DH167+(1-EXP(-LN(2)/2))/(LN(2)/2)*DB168*DE168*VLOOKUP('Données projet'!$B$13,Paramètres!$A$1:$I$89,3,0)*0.475*44/12</f>
        <v>5.380949958166453E-15</v>
      </c>
      <c r="DI168" s="22">
        <f t="shared" si="175"/>
        <v>25.316925599693228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>
        <f>DO168*VLOOKUP('Données projet'!$B$14,Paramètres!$A$1:$I$89,3,0)*VLOOKUP('Données projet'!$B$14,Paramètres!$A$1:$I$89,5,0)</f>
        <v>0</v>
      </c>
      <c r="DQ168" s="13" t="e">
        <f t="shared" si="176"/>
        <v>#NUM!</v>
      </c>
      <c r="DR168" s="20" t="e">
        <f t="shared" si="177"/>
        <v>#NUM!</v>
      </c>
      <c r="DS168" s="59" t="e">
        <f t="shared" si="125"/>
        <v>#NUM!</v>
      </c>
      <c r="DT168" s="59">
        <f ca="1">AVERAGE(OFFSET($DS$3,0,0,'Données projet'!$E$14+1,1))-AVERAGE(OFFSET($H$3,0,0,'Données projet'!$E$14+1,1))</f>
        <v>246.11623544660486</v>
      </c>
      <c r="DU168" s="59">
        <f t="shared" si="152"/>
        <v>273.18950868898253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15.727875586252129</v>
      </c>
      <c r="EB168" s="21">
        <f>EXP(-LN(2)/25)*EB167+(1-EXP(-LN(2)/25))/(LN(2)/25)*Calculateur!DW168*Calculateur!DY168*VLOOKUP('Données projet'!$B$14,Paramètres!$A$1:$I$89,3,0)*0.475*44/12</f>
        <v>2.1735821406210332</v>
      </c>
      <c r="EC168" s="21">
        <f>EXP(-LN(2)/2)*EC167+(1-EXP(-LN(2)/2))/(LN(2)/2)*DW168*DZ168*VLOOKUP('Données projet'!$B$14,Paramètres!$A$1:$I$89,3,0)*0.475*44/12</f>
        <v>5.1130253892596266E-15</v>
      </c>
      <c r="ED168" s="22">
        <f t="shared" si="178"/>
        <v>17.901457726873165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5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67">
        <f t="shared" si="110"/>
        <v>183.33333333333334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-1.7053025658242404E-13</v>
      </c>
      <c r="O169" s="13">
        <f>N169*VLOOKUP('Données projet'!$B$9,Paramètres!$A$1:$I$89,3,0)*VLOOKUP('Données projet'!$B$9,Paramètres!$A$1:$I$89,5,0)</f>
        <v>-1.72917680174578E-13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538.10210778862256</v>
      </c>
      <c r="T169" s="59">
        <f t="shared" si="142"/>
        <v>399.53300632021399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82.246567080292124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82.246567080292124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-1.7053025658242404E-13</v>
      </c>
      <c r="AJ169" s="13">
        <f>AI169*VLOOKUP('Données projet'!$B$10,Paramètres!$A$1:$I$89,3,0)*VLOOKUP('Données projet'!$B$10,Paramètres!$A$1:$I$89,5,0)</f>
        <v>-1.7823822417994965E-13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552.26894123675538</v>
      </c>
      <c r="AO169" s="59">
        <f t="shared" si="144"/>
        <v>409.85604950107006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84.777230682762593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84.777230682762593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-1.1368683772161603E-13</v>
      </c>
      <c r="BE169" s="13">
        <f>BD169*VLOOKUP('Données projet'!$B$11,Paramètres!$A$1:$I$89,3,0)*VLOOKUP('Données projet'!$B$11,Paramètres!$A$1:$I$89,5,0)</f>
        <v>-1.223725121235475E-13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361.24725625563468</v>
      </c>
      <c r="BJ169" s="59">
        <f t="shared" si="146"/>
        <v>186.0840067781198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48.464934855238759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48.464934855238759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-1.7053025658242404E-13</v>
      </c>
      <c r="BZ169" s="13">
        <f>BY169*VLOOKUP('Données projet'!$B$12,Paramètres!$A$1:$I$89,3,0)*VLOOKUP('Données projet'!$B$12,Paramètres!$A$1:$I$89,5,0)</f>
        <v>-1.1439169611549005E-13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323.91378047319455</v>
      </c>
      <c r="CE169" s="59">
        <f t="shared" si="148"/>
        <v>212.89889176380288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51.258282257106806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51.258282257106806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>
        <f>CT169*VLOOKUP('Données projet'!$B$13,Paramètres!$A$1:$I$89,3,0)*VLOOKUP('Données projet'!$B$13,Paramètres!$A$1:$I$89,5,0)</f>
        <v>0</v>
      </c>
      <c r="CV169" s="13" t="e">
        <f t="shared" si="173"/>
        <v>#NUM!</v>
      </c>
      <c r="CW169" s="20" t="e">
        <f t="shared" si="174"/>
        <v>#NUM!</v>
      </c>
      <c r="CX169" s="59" t="e">
        <f t="shared" si="122"/>
        <v>#NUM!</v>
      </c>
      <c r="CY169" s="59">
        <f ca="1">AVERAGE(OFFSET($CX$3,0,0,'Données projet'!$E$13+1,1))-AVERAGE(OFFSET($H$3,0,0,'Données projet'!$E$13+1,1))</f>
        <v>356.07880667298025</v>
      </c>
      <c r="CZ169" s="59">
        <f t="shared" si="150"/>
        <v>396.05161661639659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22.474394630522792</v>
      </c>
      <c r="DG169" s="21">
        <f>EXP(-LN(2)/25)*DG168+(1-EXP(-LN(2)/25))/(LN(2)/25)*Calculateur!DB169*Calculateur!DD169*VLOOKUP('Données projet'!$B$13,Paramètres!$A$1:$I$89,3,0)*0.475*44/12</f>
        <v>2.3275700061111473</v>
      </c>
      <c r="DH169" s="21">
        <f>EXP(-LN(2)/2)*DH168+(1-EXP(-LN(2)/2))/(LN(2)/2)*DB169*DE169*VLOOKUP('Données projet'!$B$13,Paramètres!$A$1:$I$89,3,0)*0.475*44/12</f>
        <v>3.804906204644968E-15</v>
      </c>
      <c r="DI169" s="22">
        <f t="shared" si="175"/>
        <v>24.801964636633944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>
        <f>DO169*VLOOKUP('Données projet'!$B$14,Paramètres!$A$1:$I$89,3,0)*VLOOKUP('Données projet'!$B$14,Paramètres!$A$1:$I$89,5,0)</f>
        <v>0</v>
      </c>
      <c r="DQ169" s="13" t="e">
        <f t="shared" si="176"/>
        <v>#NUM!</v>
      </c>
      <c r="DR169" s="20" t="e">
        <f t="shared" si="177"/>
        <v>#NUM!</v>
      </c>
      <c r="DS169" s="59" t="e">
        <f t="shared" si="125"/>
        <v>#NUM!</v>
      </c>
      <c r="DT169" s="59">
        <f ca="1">AVERAGE(OFFSET($DS$3,0,0,'Données projet'!$E$14+1,1))-AVERAGE(OFFSET($H$3,0,0,'Données projet'!$E$14+1,1))</f>
        <v>246.11623544660486</v>
      </c>
      <c r="DU169" s="59">
        <f t="shared" si="152"/>
        <v>273.18950868898253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15.419461539062596</v>
      </c>
      <c r="EB169" s="21">
        <f>EXP(-LN(2)/25)*EB168+(1-EXP(-LN(2)/25))/(LN(2)/25)*Calculateur!DW169*Calculateur!DY169*VLOOKUP('Données projet'!$B$14,Paramètres!$A$1:$I$89,3,0)*0.475*44/12</f>
        <v>2.114145422682034</v>
      </c>
      <c r="EC169" s="21">
        <f>EXP(-LN(2)/2)*EC168+(1-EXP(-LN(2)/2))/(LN(2)/2)*DW169*DZ169*VLOOKUP('Données projet'!$B$14,Paramètres!$A$1:$I$89,3,0)*0.475*44/12</f>
        <v>3.6154549251244688E-15</v>
      </c>
      <c r="ED169" s="22">
        <f t="shared" si="178"/>
        <v>17.533606961744635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5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67">
        <f t="shared" si="110"/>
        <v>183.33333333333334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-1.7053025658242404E-13</v>
      </c>
      <c r="O170" s="13">
        <f>N170*VLOOKUP('Données projet'!$B$9,Paramètres!$A$1:$I$89,3,0)*VLOOKUP('Données projet'!$B$9,Paramètres!$A$1:$I$89,5,0)</f>
        <v>-1.72917680174578E-13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538.10210778862256</v>
      </c>
      <c r="T170" s="59">
        <f t="shared" si="142"/>
        <v>399.53300632021399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80.63376206530009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80.63376206530009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-1.7053025658242404E-13</v>
      </c>
      <c r="AJ170" s="13">
        <f>AI170*VLOOKUP('Données projet'!$B$10,Paramètres!$A$1:$I$89,3,0)*VLOOKUP('Données projet'!$B$10,Paramètres!$A$1:$I$89,5,0)</f>
        <v>-1.7823822417994965E-13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552.26894123675538</v>
      </c>
      <c r="AO170" s="59">
        <f t="shared" si="144"/>
        <v>409.85604950107006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83.114800898078499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83.114800898078499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-1.1368683772161603E-13</v>
      </c>
      <c r="BE170" s="13">
        <f>BD170*VLOOKUP('Données projet'!$B$11,Paramètres!$A$1:$I$89,3,0)*VLOOKUP('Données projet'!$B$11,Paramètres!$A$1:$I$89,5,0)</f>
        <v>-1.223725121235475E-13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361.24725625563468</v>
      </c>
      <c r="BJ170" s="59">
        <f t="shared" si="146"/>
        <v>186.0840067781198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47.514567043418914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47.514567043418914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-1.7053025658242404E-13</v>
      </c>
      <c r="BZ170" s="13">
        <f>BY170*VLOOKUP('Données projet'!$B$12,Paramètres!$A$1:$I$89,3,0)*VLOOKUP('Données projet'!$B$12,Paramètres!$A$1:$I$89,5,0)</f>
        <v>-1.1439169611549005E-13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323.91378047319455</v>
      </c>
      <c r="CE170" s="59">
        <f t="shared" si="148"/>
        <v>212.89889176380288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50.253138606510007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50.253138606510007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>
        <f>CT170*VLOOKUP('Données projet'!$B$13,Paramètres!$A$1:$I$89,3,0)*VLOOKUP('Données projet'!$B$13,Paramètres!$A$1:$I$89,5,0)</f>
        <v>0</v>
      </c>
      <c r="CV170" s="13" t="e">
        <f t="shared" si="173"/>
        <v>#NUM!</v>
      </c>
      <c r="CW170" s="20" t="e">
        <f t="shared" si="174"/>
        <v>#NUM!</v>
      </c>
      <c r="CX170" s="59" t="e">
        <f t="shared" si="122"/>
        <v>#NUM!</v>
      </c>
      <c r="CY170" s="59">
        <f ca="1">AVERAGE(OFFSET($CX$3,0,0,'Données projet'!$E$13+1,1))-AVERAGE(OFFSET($H$3,0,0,'Données projet'!$E$13+1,1))</f>
        <v>356.07880667298025</v>
      </c>
      <c r="CZ170" s="59">
        <f t="shared" si="150"/>
        <v>396.05161661639659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22.033685459845408</v>
      </c>
      <c r="DG170" s="21">
        <f>EXP(-LN(2)/25)*DG169+(1-EXP(-LN(2)/25))/(LN(2)/25)*Calculateur!DB170*Calculateur!DD170*VLOOKUP('Données projet'!$B$13,Paramètres!$A$1:$I$89,3,0)*0.475*44/12</f>
        <v>2.2639224818924513</v>
      </c>
      <c r="DH170" s="21">
        <f>EXP(-LN(2)/2)*DH169+(1-EXP(-LN(2)/2))/(LN(2)/2)*DB170*DE170*VLOOKUP('Données projet'!$B$13,Paramètres!$A$1:$I$89,3,0)*0.475*44/12</f>
        <v>2.6904749790832265E-15</v>
      </c>
      <c r="DI170" s="22">
        <f t="shared" si="175"/>
        <v>24.297607941737862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>
        <f>DO170*VLOOKUP('Données projet'!$B$14,Paramètres!$A$1:$I$89,3,0)*VLOOKUP('Données projet'!$B$14,Paramètres!$A$1:$I$89,5,0)</f>
        <v>0</v>
      </c>
      <c r="DQ170" s="13" t="e">
        <f t="shared" si="176"/>
        <v>#NUM!</v>
      </c>
      <c r="DR170" s="20" t="e">
        <f t="shared" si="177"/>
        <v>#NUM!</v>
      </c>
      <c r="DS170" s="59" t="e">
        <f t="shared" si="125"/>
        <v>#NUM!</v>
      </c>
      <c r="DT170" s="59">
        <f ca="1">AVERAGE(OFFSET($DS$3,0,0,'Données projet'!$E$14+1,1))-AVERAGE(OFFSET($H$3,0,0,'Données projet'!$E$14+1,1))</f>
        <v>246.11623544660486</v>
      </c>
      <c r="DU170" s="59">
        <f t="shared" si="152"/>
        <v>273.18950868898253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15.117095303224456</v>
      </c>
      <c r="EB170" s="21">
        <f>EXP(-LN(2)/25)*EB169+(1-EXP(-LN(2)/25))/(LN(2)/25)*Calculateur!DW170*Calculateur!DY170*VLOOKUP('Données projet'!$B$14,Paramètres!$A$1:$I$89,3,0)*0.475*44/12</f>
        <v>2.0563340049207177</v>
      </c>
      <c r="EC170" s="21">
        <f>EXP(-LN(2)/2)*EC169+(1-EXP(-LN(2)/2))/(LN(2)/2)*DW170*DZ170*VLOOKUP('Données projet'!$B$14,Paramètres!$A$1:$I$89,3,0)*0.475*44/12</f>
        <v>2.5565126946298133E-15</v>
      </c>
      <c r="ED170" s="22">
        <f t="shared" si="178"/>
        <v>17.173429308145177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5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67">
        <f t="shared" si="110"/>
        <v>183.33333333333334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-1.7053025658242404E-13</v>
      </c>
      <c r="O171" s="13">
        <f>N171*VLOOKUP('Données projet'!$B$9,Paramètres!$A$1:$I$89,3,0)*VLOOKUP('Données projet'!$B$9,Paramètres!$A$1:$I$89,5,0)</f>
        <v>-1.72917680174578E-13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538.10210778862256</v>
      </c>
      <c r="T171" s="59">
        <f t="shared" si="142"/>
        <v>399.53300632021399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79.052583172938128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79.052583172938128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-1.7053025658242404E-13</v>
      </c>
      <c r="AJ171" s="13">
        <f>AI171*VLOOKUP('Données projet'!$B$10,Paramètres!$A$1:$I$89,3,0)*VLOOKUP('Données projet'!$B$10,Paramètres!$A$1:$I$89,5,0)</f>
        <v>-1.7823822417994965E-13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552.26894123675538</v>
      </c>
      <c r="AO171" s="59">
        <f t="shared" si="144"/>
        <v>409.85604950107006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81.484970347490005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81.484970347490005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-1.1368683772161603E-13</v>
      </c>
      <c r="BE171" s="13">
        <f>BD171*VLOOKUP('Données projet'!$B$11,Paramètres!$A$1:$I$89,3,0)*VLOOKUP('Données projet'!$B$11,Paramètres!$A$1:$I$89,5,0)</f>
        <v>-1.223725121235475E-13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361.24725625563468</v>
      </c>
      <c r="BJ171" s="59">
        <f t="shared" si="146"/>
        <v>186.0840067781198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46.582835364721724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46.582835364721724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-1.7053025658242404E-13</v>
      </c>
      <c r="BZ171" s="13">
        <f>BY171*VLOOKUP('Données projet'!$B$12,Paramètres!$A$1:$I$89,3,0)*VLOOKUP('Données projet'!$B$12,Paramètres!$A$1:$I$89,5,0)</f>
        <v>-1.1439169611549005E-13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323.91378047319455</v>
      </c>
      <c r="CE171" s="59">
        <f t="shared" si="148"/>
        <v>212.89889176380288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49.267705209824321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49.267705209824321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>
        <f>CT171*VLOOKUP('Données projet'!$B$13,Paramètres!$A$1:$I$89,3,0)*VLOOKUP('Données projet'!$B$13,Paramètres!$A$1:$I$89,5,0)</f>
        <v>0</v>
      </c>
      <c r="CV171" s="13" t="e">
        <f t="shared" si="173"/>
        <v>#NUM!</v>
      </c>
      <c r="CW171" s="20" t="e">
        <f t="shared" si="174"/>
        <v>#NUM!</v>
      </c>
      <c r="CX171" s="59" t="e">
        <f t="shared" si="122"/>
        <v>#NUM!</v>
      </c>
      <c r="CY171" s="59">
        <f ca="1">AVERAGE(OFFSET($CX$3,0,0,'Données projet'!$E$13+1,1))-AVERAGE(OFFSET($H$3,0,0,'Données projet'!$E$13+1,1))</f>
        <v>356.07880667298025</v>
      </c>
      <c r="CZ171" s="59">
        <f t="shared" si="150"/>
        <v>396.05161661639659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21.601618327198956</v>
      </c>
      <c r="DG171" s="21">
        <f>EXP(-LN(2)/25)*DG170+(1-EXP(-LN(2)/25))/(LN(2)/25)*Calculateur!DB171*Calculateur!DD171*VLOOKUP('Données projet'!$B$13,Paramètres!$A$1:$I$89,3,0)*0.475*44/12</f>
        <v>2.2020154025705931</v>
      </c>
      <c r="DH171" s="21">
        <f>EXP(-LN(2)/2)*DH170+(1-EXP(-LN(2)/2))/(LN(2)/2)*DB171*DE171*VLOOKUP('Données projet'!$B$13,Paramètres!$A$1:$I$89,3,0)*0.475*44/12</f>
        <v>1.902453102322484E-15</v>
      </c>
      <c r="DI171" s="22">
        <f t="shared" si="175"/>
        <v>23.803633729769555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>
        <f>DO171*VLOOKUP('Données projet'!$B$14,Paramètres!$A$1:$I$89,3,0)*VLOOKUP('Données projet'!$B$14,Paramètres!$A$1:$I$89,5,0)</f>
        <v>0</v>
      </c>
      <c r="DQ171" s="13" t="e">
        <f t="shared" si="176"/>
        <v>#NUM!</v>
      </c>
      <c r="DR171" s="20" t="e">
        <f t="shared" si="177"/>
        <v>#NUM!</v>
      </c>
      <c r="DS171" s="59" t="e">
        <f t="shared" si="125"/>
        <v>#NUM!</v>
      </c>
      <c r="DT171" s="59">
        <f ca="1">AVERAGE(OFFSET($DS$3,0,0,'Données projet'!$E$14+1,1))-AVERAGE(OFFSET($H$3,0,0,'Données projet'!$E$14+1,1))</f>
        <v>246.11623544660486</v>
      </c>
      <c r="DU171" s="59">
        <f t="shared" si="152"/>
        <v>273.18950868898253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14.820658284845909</v>
      </c>
      <c r="EB171" s="21">
        <f>EXP(-LN(2)/25)*EB170+(1-EXP(-LN(2)/25))/(LN(2)/25)*Calculateur!DW171*Calculateur!DY171*VLOOKUP('Données projet'!$B$14,Paramètres!$A$1:$I$89,3,0)*0.475*44/12</f>
        <v>2.0001034434182552</v>
      </c>
      <c r="EC171" s="21">
        <f>EXP(-LN(2)/2)*EC170+(1-EXP(-LN(2)/2))/(LN(2)/2)*DW171*DZ171*VLOOKUP('Données projet'!$B$14,Paramètres!$A$1:$I$89,3,0)*0.475*44/12</f>
        <v>1.8077274625622344E-15</v>
      </c>
      <c r="ED171" s="22">
        <f t="shared" si="178"/>
        <v>16.820761728264166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5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67">
        <f t="shared" si="110"/>
        <v>183.33333333333334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-1.7053025658242404E-13</v>
      </c>
      <c r="O172" s="13">
        <f>N172*VLOOKUP('Données projet'!$B$9,Paramètres!$A$1:$I$89,3,0)*VLOOKUP('Données projet'!$B$9,Paramètres!$A$1:$I$89,5,0)</f>
        <v>-1.72917680174578E-13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538.10210778862256</v>
      </c>
      <c r="T172" s="59">
        <f t="shared" si="142"/>
        <v>399.53300632021399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77.502410234231476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77.502410234231476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-1.7053025658242404E-13</v>
      </c>
      <c r="AJ172" s="13">
        <f>AI172*VLOOKUP('Données projet'!$B$10,Paramètres!$A$1:$I$89,3,0)*VLOOKUP('Données projet'!$B$10,Paramètres!$A$1:$I$89,5,0)</f>
        <v>-1.7823822417994965E-13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552.26894123675538</v>
      </c>
      <c r="AO172" s="59">
        <f t="shared" si="144"/>
        <v>409.85604950107006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79.887099779900083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79.887099779900083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-1.1368683772161603E-13</v>
      </c>
      <c r="BE172" s="13">
        <f>BD172*VLOOKUP('Données projet'!$B$11,Paramètres!$A$1:$I$89,3,0)*VLOOKUP('Données projet'!$B$11,Paramètres!$A$1:$I$89,5,0)</f>
        <v>-1.223725121235475E-13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361.24725625563468</v>
      </c>
      <c r="BJ172" s="59">
        <f t="shared" si="146"/>
        <v>186.0840067781198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45.669374375943583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45.669374375943583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-1.7053025658242404E-13</v>
      </c>
      <c r="BZ172" s="13">
        <f>BY172*VLOOKUP('Données projet'!$B$12,Paramètres!$A$1:$I$89,3,0)*VLOOKUP('Données projet'!$B$12,Paramètres!$A$1:$I$89,5,0)</f>
        <v>-1.1439169611549005E-13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323.91378047319455</v>
      </c>
      <c r="CE172" s="59">
        <f t="shared" si="148"/>
        <v>212.89889176380288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48.301595560992617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48.301595560992617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>
        <f>CT172*VLOOKUP('Données projet'!$B$13,Paramètres!$A$1:$I$89,3,0)*VLOOKUP('Données projet'!$B$13,Paramètres!$A$1:$I$89,5,0)</f>
        <v>0</v>
      </c>
      <c r="CV172" s="13" t="e">
        <f t="shared" si="173"/>
        <v>#NUM!</v>
      </c>
      <c r="CW172" s="20" t="e">
        <f t="shared" si="174"/>
        <v>#NUM!</v>
      </c>
      <c r="CX172" s="59" t="e">
        <f t="shared" si="122"/>
        <v>#NUM!</v>
      </c>
      <c r="CY172" s="59">
        <f ca="1">AVERAGE(OFFSET($CX$3,0,0,'Données projet'!$E$13+1,1))-AVERAGE(OFFSET($H$3,0,0,'Données projet'!$E$13+1,1))</f>
        <v>356.07880667298025</v>
      </c>
      <c r="CZ172" s="59">
        <f t="shared" si="150"/>
        <v>396.05161661639659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21.178023767488774</v>
      </c>
      <c r="DG172" s="21">
        <f>EXP(-LN(2)/25)*DG171+(1-EXP(-LN(2)/25))/(LN(2)/25)*Calculateur!DB172*Calculateur!DD172*VLOOKUP('Données projet'!$B$13,Paramètres!$A$1:$I$89,3,0)*0.475*44/12</f>
        <v>2.141801175588343</v>
      </c>
      <c r="DH172" s="21">
        <f>EXP(-LN(2)/2)*DH171+(1-EXP(-LN(2)/2))/(LN(2)/2)*DB172*DE172*VLOOKUP('Données projet'!$B$13,Paramètres!$A$1:$I$89,3,0)*0.475*44/12</f>
        <v>1.3452374895416132E-15</v>
      </c>
      <c r="DI172" s="22">
        <f t="shared" si="175"/>
        <v>23.319824943077116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>
        <f>DO172*VLOOKUP('Données projet'!$B$14,Paramètres!$A$1:$I$89,3,0)*VLOOKUP('Données projet'!$B$14,Paramètres!$A$1:$I$89,5,0)</f>
        <v>0</v>
      </c>
      <c r="DQ172" s="13" t="e">
        <f t="shared" si="176"/>
        <v>#NUM!</v>
      </c>
      <c r="DR172" s="20" t="e">
        <f t="shared" si="177"/>
        <v>#NUM!</v>
      </c>
      <c r="DS172" s="59" t="e">
        <f t="shared" si="125"/>
        <v>#NUM!</v>
      </c>
      <c r="DT172" s="59">
        <f ca="1">AVERAGE(OFFSET($DS$3,0,0,'Données projet'!$E$14+1,1))-AVERAGE(OFFSET($H$3,0,0,'Données projet'!$E$14+1,1))</f>
        <v>246.11623544660486</v>
      </c>
      <c r="DU172" s="59">
        <f t="shared" si="152"/>
        <v>273.18950868898253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14.530034215589037</v>
      </c>
      <c r="EB172" s="21">
        <f>EXP(-LN(2)/25)*EB171+(1-EXP(-LN(2)/25))/(LN(2)/25)*Calculateur!DW172*Calculateur!DY172*VLOOKUP('Données projet'!$B$14,Paramètres!$A$1:$I$89,3,0)*0.475*44/12</f>
        <v>1.9454105095771141</v>
      </c>
      <c r="EC172" s="21">
        <f>EXP(-LN(2)/2)*EC171+(1-EXP(-LN(2)/2))/(LN(2)/2)*DW172*DZ172*VLOOKUP('Données projet'!$B$14,Paramètres!$A$1:$I$89,3,0)*0.475*44/12</f>
        <v>1.2782563473149067E-15</v>
      </c>
      <c r="ED172" s="22">
        <f t="shared" si="178"/>
        <v>16.475444725166152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5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67">
        <f t="shared" si="110"/>
        <v>183.33333333333334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-1.7053025658242404E-13</v>
      </c>
      <c r="O173" s="13">
        <f>N173*VLOOKUP('Données projet'!$B$9,Paramètres!$A$1:$I$89,3,0)*VLOOKUP('Données projet'!$B$9,Paramètres!$A$1:$I$89,5,0)</f>
        <v>-1.72917680174578E-13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538.10210778862256</v>
      </c>
      <c r="T173" s="59">
        <f t="shared" si="142"/>
        <v>399.53300632021399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75.982635241340731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75.982635241340731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-1.7053025658242404E-13</v>
      </c>
      <c r="AJ173" s="13">
        <f>AI173*VLOOKUP('Données projet'!$B$10,Paramètres!$A$1:$I$89,3,0)*VLOOKUP('Données projet'!$B$10,Paramètres!$A$1:$I$89,5,0)</f>
        <v>-1.7823822417994965E-13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552.26894123675538</v>
      </c>
      <c r="AO173" s="59">
        <f t="shared" si="144"/>
        <v>409.85604950107006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78.320562479535781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78.320562479535781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-1.1368683772161603E-13</v>
      </c>
      <c r="BE173" s="13">
        <f>BD173*VLOOKUP('Données projet'!$B$11,Paramètres!$A$1:$I$89,3,0)*VLOOKUP('Données projet'!$B$11,Paramètres!$A$1:$I$89,5,0)</f>
        <v>-1.223725121235475E-13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361.24725625563468</v>
      </c>
      <c r="BJ173" s="59">
        <f t="shared" si="146"/>
        <v>186.0840067781198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44.773825799999187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44.773825799999187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-1.7053025658242404E-13</v>
      </c>
      <c r="BZ173" s="13">
        <f>BY173*VLOOKUP('Données projet'!$B$12,Paramètres!$A$1:$I$89,3,0)*VLOOKUP('Données projet'!$B$12,Paramètres!$A$1:$I$89,5,0)</f>
        <v>-1.1439169611549005E-13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323.91378047319455</v>
      </c>
      <c r="CE173" s="59">
        <f t="shared" si="148"/>
        <v>212.89889176380288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47.354430733105808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47.354430733105808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>
        <f>CT173*VLOOKUP('Données projet'!$B$13,Paramètres!$A$1:$I$89,3,0)*VLOOKUP('Données projet'!$B$13,Paramètres!$A$1:$I$89,5,0)</f>
        <v>0</v>
      </c>
      <c r="CV173" s="13" t="e">
        <f t="shared" si="173"/>
        <v>#NUM!</v>
      </c>
      <c r="CW173" s="20" t="e">
        <f t="shared" si="174"/>
        <v>#NUM!</v>
      </c>
      <c r="CX173" s="59" t="e">
        <f t="shared" si="122"/>
        <v>#NUM!</v>
      </c>
      <c r="CY173" s="59">
        <f ca="1">AVERAGE(OFFSET($CX$3,0,0,'Données projet'!$E$13+1,1))-AVERAGE(OFFSET($H$3,0,0,'Données projet'!$E$13+1,1))</f>
        <v>356.07880667298025</v>
      </c>
      <c r="CZ173" s="59">
        <f t="shared" si="150"/>
        <v>396.05161661639659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20.762735638727339</v>
      </c>
      <c r="DG173" s="21">
        <f>EXP(-LN(2)/25)*DG172+(1-EXP(-LN(2)/25))/(LN(2)/25)*Calculateur!DB173*Calculateur!DD173*VLOOKUP('Données projet'!$B$13,Paramètres!$A$1:$I$89,3,0)*0.475*44/12</f>
        <v>2.083233509809451</v>
      </c>
      <c r="DH173" s="21">
        <f>EXP(-LN(2)/2)*DH172+(1-EXP(-LN(2)/2))/(LN(2)/2)*DB173*DE173*VLOOKUP('Données projet'!$B$13,Paramètres!$A$1:$I$89,3,0)*0.475*44/12</f>
        <v>9.5122655116124201E-16</v>
      </c>
      <c r="DI173" s="22">
        <f t="shared" si="175"/>
        <v>22.845969148536788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>
        <f>DO173*VLOOKUP('Données projet'!$B$14,Paramètres!$A$1:$I$89,3,0)*VLOOKUP('Données projet'!$B$14,Paramètres!$A$1:$I$89,5,0)</f>
        <v>0</v>
      </c>
      <c r="DQ173" s="13" t="e">
        <f t="shared" si="176"/>
        <v>#NUM!</v>
      </c>
      <c r="DR173" s="20" t="e">
        <f t="shared" si="177"/>
        <v>#NUM!</v>
      </c>
      <c r="DS173" s="59" t="e">
        <f t="shared" si="125"/>
        <v>#NUM!</v>
      </c>
      <c r="DT173" s="59">
        <f ca="1">AVERAGE(OFFSET($DS$3,0,0,'Données projet'!$E$14+1,1))-AVERAGE(OFFSET($H$3,0,0,'Données projet'!$E$14+1,1))</f>
        <v>246.11623544660486</v>
      </c>
      <c r="DU173" s="59">
        <f t="shared" si="152"/>
        <v>273.18950868898253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14.245109107067114</v>
      </c>
      <c r="EB173" s="21">
        <f>EXP(-LN(2)/25)*EB172+(1-EXP(-LN(2)/25))/(LN(2)/25)*Calculateur!DW173*Calculateur!DY173*VLOOKUP('Données projet'!$B$14,Paramètres!$A$1:$I$89,3,0)*0.475*44/12</f>
        <v>1.8922131568880356</v>
      </c>
      <c r="EC173" s="21">
        <f>EXP(-LN(2)/2)*EC172+(1-EXP(-LN(2)/2))/(LN(2)/2)*DW173*DZ173*VLOOKUP('Données projet'!$B$14,Paramètres!$A$1:$I$89,3,0)*0.475*44/12</f>
        <v>9.0386373128111719E-16</v>
      </c>
      <c r="ED173" s="22">
        <f t="shared" si="178"/>
        <v>16.137322263955149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5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67">
        <f t="shared" si="110"/>
        <v>183.33333333333334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-1.7053025658242404E-13</v>
      </c>
      <c r="O174" s="13">
        <f>N174*VLOOKUP('Données projet'!$B$9,Paramètres!$A$1:$I$89,3,0)*VLOOKUP('Données projet'!$B$9,Paramètres!$A$1:$I$89,5,0)</f>
        <v>-1.72917680174578E-13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538.10210778862256</v>
      </c>
      <c r="T174" s="59">
        <f t="shared" si="142"/>
        <v>399.53300632021399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74.492662109089366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74.492662109089366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-1.7053025658242404E-13</v>
      </c>
      <c r="AJ174" s="13">
        <f>AI174*VLOOKUP('Données projet'!$B$10,Paramètres!$A$1:$I$89,3,0)*VLOOKUP('Données projet'!$B$10,Paramètres!$A$1:$I$89,5,0)</f>
        <v>-1.7823822417994965E-13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552.26894123675538</v>
      </c>
      <c r="AO174" s="59">
        <f t="shared" si="144"/>
        <v>409.85604950107006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76.78474402013822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76.78474402013822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-1.1368683772161603E-13</v>
      </c>
      <c r="BE174" s="13">
        <f>BD174*VLOOKUP('Données projet'!$B$11,Paramètres!$A$1:$I$89,3,0)*VLOOKUP('Données projet'!$B$11,Paramètres!$A$1:$I$89,5,0)</f>
        <v>-1.223725121235475E-13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361.24725625563468</v>
      </c>
      <c r="BJ174" s="59">
        <f t="shared" si="146"/>
        <v>186.0840067781198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43.89583838539837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43.89583838539837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-1.7053025658242404E-13</v>
      </c>
      <c r="BZ174" s="13">
        <f>BY174*VLOOKUP('Données projet'!$B$12,Paramètres!$A$1:$I$89,3,0)*VLOOKUP('Données projet'!$B$12,Paramètres!$A$1:$I$89,5,0)</f>
        <v>-1.1439169611549005E-13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323.91378047319455</v>
      </c>
      <c r="CE174" s="59">
        <f t="shared" si="148"/>
        <v>212.89889176380288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46.425839229780358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46.425839229780358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>
        <f>CT174*VLOOKUP('Données projet'!$B$13,Paramètres!$A$1:$I$89,3,0)*VLOOKUP('Données projet'!$B$13,Paramètres!$A$1:$I$89,5,0)</f>
        <v>0</v>
      </c>
      <c r="CV174" s="13" t="e">
        <f t="shared" si="173"/>
        <v>#NUM!</v>
      </c>
      <c r="CW174" s="20" t="e">
        <f t="shared" si="174"/>
        <v>#NUM!</v>
      </c>
      <c r="CX174" s="59" t="e">
        <f t="shared" si="122"/>
        <v>#NUM!</v>
      </c>
      <c r="CY174" s="59">
        <f ca="1">AVERAGE(OFFSET($CX$3,0,0,'Données projet'!$E$13+1,1))-AVERAGE(OFFSET($H$3,0,0,'Données projet'!$E$13+1,1))</f>
        <v>356.07880667298025</v>
      </c>
      <c r="CZ174" s="59">
        <f t="shared" si="150"/>
        <v>396.05161661639659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20.355591056870168</v>
      </c>
      <c r="DG174" s="21">
        <f>EXP(-LN(2)/25)*DG173+(1-EXP(-LN(2)/25))/(LN(2)/25)*Calculateur!DB174*Calculateur!DD174*VLOOKUP('Données projet'!$B$13,Paramètres!$A$1:$I$89,3,0)*0.475*44/12</f>
        <v>2.0262673799312227</v>
      </c>
      <c r="DH174" s="21">
        <f>EXP(-LN(2)/2)*DH173+(1-EXP(-LN(2)/2))/(LN(2)/2)*DB174*DE174*VLOOKUP('Données projet'!$B$13,Paramètres!$A$1:$I$89,3,0)*0.475*44/12</f>
        <v>6.7261874477080662E-16</v>
      </c>
      <c r="DI174" s="22">
        <f t="shared" si="175"/>
        <v>22.381858436801391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>
        <f>DO174*VLOOKUP('Données projet'!$B$14,Paramètres!$A$1:$I$89,3,0)*VLOOKUP('Données projet'!$B$14,Paramètres!$A$1:$I$89,5,0)</f>
        <v>0</v>
      </c>
      <c r="DQ174" s="13" t="e">
        <f t="shared" si="176"/>
        <v>#NUM!</v>
      </c>
      <c r="DR174" s="20" t="e">
        <f t="shared" si="177"/>
        <v>#NUM!</v>
      </c>
      <c r="DS174" s="59" t="e">
        <f t="shared" si="125"/>
        <v>#NUM!</v>
      </c>
      <c r="DT174" s="59">
        <f ca="1">AVERAGE(OFFSET($DS$3,0,0,'Données projet'!$E$14+1,1))-AVERAGE(OFFSET($H$3,0,0,'Données projet'!$E$14+1,1))</f>
        <v>246.11623544660486</v>
      </c>
      <c r="DU174" s="59">
        <f t="shared" si="152"/>
        <v>273.18950868898253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13.965771206136148</v>
      </c>
      <c r="EB174" s="21">
        <f>EXP(-LN(2)/25)*EB173+(1-EXP(-LN(2)/25))/(LN(2)/25)*Calculateur!DW174*Calculateur!DY174*VLOOKUP('Données projet'!$B$14,Paramètres!$A$1:$I$89,3,0)*0.475*44/12</f>
        <v>1.840470488605767</v>
      </c>
      <c r="EC174" s="21">
        <f>EXP(-LN(2)/2)*EC173+(1-EXP(-LN(2)/2))/(LN(2)/2)*DW174*DZ174*VLOOKUP('Données projet'!$B$14,Paramètres!$A$1:$I$89,3,0)*0.475*44/12</f>
        <v>6.3912817365745333E-16</v>
      </c>
      <c r="ED174" s="22">
        <f t="shared" si="178"/>
        <v>15.806241694741916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5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67">
        <f t="shared" si="110"/>
        <v>183.33333333333334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-1.7053025658242404E-13</v>
      </c>
      <c r="O175" s="13">
        <f>N175*VLOOKUP('Données projet'!$B$9,Paramètres!$A$1:$I$89,3,0)*VLOOKUP('Données projet'!$B$9,Paramètres!$A$1:$I$89,5,0)</f>
        <v>-1.72917680174578E-13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538.10210778862256</v>
      </c>
      <c r="T175" s="59">
        <f t="shared" si="142"/>
        <v>399.53300632021399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73.031906441167578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73.031906441167578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-1.7053025658242404E-13</v>
      </c>
      <c r="AJ175" s="13">
        <f>AI175*VLOOKUP('Données projet'!$B$10,Paramètres!$A$1:$I$89,3,0)*VLOOKUP('Données projet'!$B$10,Paramètres!$A$1:$I$89,5,0)</f>
        <v>-1.7823822417994965E-13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552.26894123675538</v>
      </c>
      <c r="AO175" s="59">
        <f t="shared" si="144"/>
        <v>409.85604950107006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75.279042023972679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75.279042023972679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-1.1368683772161603E-13</v>
      </c>
      <c r="BE175" s="13">
        <f>BD175*VLOOKUP('Données projet'!$B$11,Paramètres!$A$1:$I$89,3,0)*VLOOKUP('Données projet'!$B$11,Paramètres!$A$1:$I$89,5,0)</f>
        <v>-1.223725121235475E-13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361.24725625563468</v>
      </c>
      <c r="BJ175" s="59">
        <f t="shared" si="146"/>
        <v>186.0840067781198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43.035067768478427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43.035067768478427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-1.7053025658242404E-13</v>
      </c>
      <c r="BZ175" s="13">
        <f>BY175*VLOOKUP('Données projet'!$B$12,Paramètres!$A$1:$I$89,3,0)*VLOOKUP('Données projet'!$B$12,Paramètres!$A$1:$I$89,5,0)</f>
        <v>-1.1439169611549005E-13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323.91378047319455</v>
      </c>
      <c r="CE175" s="59">
        <f t="shared" si="148"/>
        <v>212.89889176380288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45.515456839450231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45.515456839450231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>
        <f>CT175*VLOOKUP('Données projet'!$B$13,Paramètres!$A$1:$I$89,3,0)*VLOOKUP('Données projet'!$B$13,Paramètres!$A$1:$I$89,5,0)</f>
        <v>0</v>
      </c>
      <c r="CV175" s="13" t="e">
        <f t="shared" si="173"/>
        <v>#NUM!</v>
      </c>
      <c r="CW175" s="20" t="e">
        <f t="shared" si="174"/>
        <v>#NUM!</v>
      </c>
      <c r="CX175" s="59" t="e">
        <f t="shared" si="122"/>
        <v>#NUM!</v>
      </c>
      <c r="CY175" s="59">
        <f ca="1">AVERAGE(OFFSET($CX$3,0,0,'Données projet'!$E$13+1,1))-AVERAGE(OFFSET($H$3,0,0,'Données projet'!$E$13+1,1))</f>
        <v>356.07880667298025</v>
      </c>
      <c r="CZ175" s="59">
        <f t="shared" si="150"/>
        <v>396.05161661639659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19.956430331929543</v>
      </c>
      <c r="DG175" s="21">
        <f>EXP(-LN(2)/25)*DG174+(1-EXP(-LN(2)/25))/(LN(2)/25)*Calculateur!DB175*Calculateur!DD175*VLOOKUP('Données projet'!$B$13,Paramètres!$A$1:$I$89,3,0)*0.475*44/12</f>
        <v>1.9708589918702331</v>
      </c>
      <c r="DH175" s="21">
        <f>EXP(-LN(2)/2)*DH174+(1-EXP(-LN(2)/2))/(LN(2)/2)*DB175*DE175*VLOOKUP('Données projet'!$B$13,Paramètres!$A$1:$I$89,3,0)*0.475*44/12</f>
        <v>4.7561327558062101E-16</v>
      </c>
      <c r="DI175" s="22">
        <f t="shared" si="175"/>
        <v>21.927289323799776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>
        <f>DO175*VLOOKUP('Données projet'!$B$14,Paramètres!$A$1:$I$89,3,0)*VLOOKUP('Données projet'!$B$14,Paramètres!$A$1:$I$89,5,0)</f>
        <v>0</v>
      </c>
      <c r="DQ175" s="13" t="e">
        <f t="shared" si="176"/>
        <v>#NUM!</v>
      </c>
      <c r="DR175" s="20" t="e">
        <f t="shared" si="177"/>
        <v>#NUM!</v>
      </c>
      <c r="DS175" s="59" t="e">
        <f t="shared" si="125"/>
        <v>#NUM!</v>
      </c>
      <c r="DT175" s="59">
        <f ca="1">AVERAGE(OFFSET($DS$3,0,0,'Données projet'!$E$14+1,1))-AVERAGE(OFFSET($H$3,0,0,'Données projet'!$E$14+1,1))</f>
        <v>246.11623544660486</v>
      </c>
      <c r="DU175" s="59">
        <f t="shared" si="152"/>
        <v>273.18950868898253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13.691910951063145</v>
      </c>
      <c r="EB175" s="21">
        <f>EXP(-LN(2)/25)*EB174+(1-EXP(-LN(2)/25))/(LN(2)/25)*Calculateur!DW175*Calculateur!DY175*VLOOKUP('Données projet'!$B$14,Paramètres!$A$1:$I$89,3,0)*0.475*44/12</f>
        <v>1.7901427263087057</v>
      </c>
      <c r="EC175" s="21">
        <f>EXP(-LN(2)/2)*EC174+(1-EXP(-LN(2)/2))/(LN(2)/2)*DW175*DZ175*VLOOKUP('Données projet'!$B$14,Paramètres!$A$1:$I$89,3,0)*0.475*44/12</f>
        <v>4.5193186564055859E-16</v>
      </c>
      <c r="ED175" s="22">
        <f t="shared" si="178"/>
        <v>15.48205367737185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5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67">
        <f t="shared" si="110"/>
        <v>183.33333333333334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-1.7053025658242404E-13</v>
      </c>
      <c r="O176" s="13">
        <f>N176*VLOOKUP('Données projet'!$B$9,Paramètres!$A$1:$I$89,3,0)*VLOOKUP('Données projet'!$B$9,Paramètres!$A$1:$I$89,5,0)</f>
        <v>-1.72917680174578E-13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538.10210778862256</v>
      </c>
      <c r="T176" s="59">
        <f t="shared" si="142"/>
        <v>399.53300632021399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71.599795300920746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71.599795300920746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-1.7053025658242404E-13</v>
      </c>
      <c r="AJ176" s="13">
        <f>AI176*VLOOKUP('Données projet'!$B$10,Paramètres!$A$1:$I$89,3,0)*VLOOKUP('Données projet'!$B$10,Paramètres!$A$1:$I$89,5,0)</f>
        <v>-1.7823822417994965E-13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552.26894123675538</v>
      </c>
      <c r="AO176" s="59">
        <f t="shared" si="144"/>
        <v>409.85604950107006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73.802865925564419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73.802865925564419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-1.1368683772161603E-13</v>
      </c>
      <c r="BE176" s="13">
        <f>BD176*VLOOKUP('Données projet'!$B$11,Paramètres!$A$1:$I$89,3,0)*VLOOKUP('Données projet'!$B$11,Paramètres!$A$1:$I$89,5,0)</f>
        <v>-1.223725121235475E-13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361.24725625563468</v>
      </c>
      <c r="BJ176" s="59">
        <f t="shared" si="146"/>
        <v>186.0840067781198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42.191176338338053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42.191176338338053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-1.7053025658242404E-13</v>
      </c>
      <c r="BZ176" s="13">
        <f>BY176*VLOOKUP('Données projet'!$B$12,Paramètres!$A$1:$I$89,3,0)*VLOOKUP('Données projet'!$B$12,Paramètres!$A$1:$I$89,5,0)</f>
        <v>-1.1439169611549005E-13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323.91378047319455</v>
      </c>
      <c r="CE176" s="59">
        <f t="shared" si="148"/>
        <v>212.89889176380288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44.622926492516044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44.622926492516044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>
        <f>CT176*VLOOKUP('Données projet'!$B$13,Paramètres!$A$1:$I$89,3,0)*VLOOKUP('Données projet'!$B$13,Paramètres!$A$1:$I$89,5,0)</f>
        <v>0</v>
      </c>
      <c r="CV176" s="13" t="e">
        <f t="shared" si="173"/>
        <v>#NUM!</v>
      </c>
      <c r="CW176" s="20" t="e">
        <f t="shared" si="174"/>
        <v>#NUM!</v>
      </c>
      <c r="CX176" s="59" t="e">
        <f t="shared" si="122"/>
        <v>#NUM!</v>
      </c>
      <c r="CY176" s="59">
        <f ca="1">AVERAGE(OFFSET($CX$3,0,0,'Données projet'!$E$13+1,1))-AVERAGE(OFFSET($H$3,0,0,'Données projet'!$E$13+1,1))</f>
        <v>356.07880667298025</v>
      </c>
      <c r="CZ176" s="59">
        <f t="shared" si="150"/>
        <v>396.05161661639659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19.565096905341001</v>
      </c>
      <c r="DG176" s="21">
        <f>EXP(-LN(2)/25)*DG175+(1-EXP(-LN(2)/25))/(LN(2)/25)*Calculateur!DB176*Calculateur!DD176*VLOOKUP('Données projet'!$B$13,Paramètres!$A$1:$I$89,3,0)*0.475*44/12</f>
        <v>1.9169657490945715</v>
      </c>
      <c r="DH176" s="21">
        <f>EXP(-LN(2)/2)*DH175+(1-EXP(-LN(2)/2))/(LN(2)/2)*DB176*DE176*VLOOKUP('Données projet'!$B$13,Paramètres!$A$1:$I$89,3,0)*0.475*44/12</f>
        <v>3.3630937238540331E-16</v>
      </c>
      <c r="DI176" s="22">
        <f t="shared" si="175"/>
        <v>21.482062654435573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>
        <f>DO176*VLOOKUP('Données projet'!$B$14,Paramètres!$A$1:$I$89,3,0)*VLOOKUP('Données projet'!$B$14,Paramètres!$A$1:$I$89,5,0)</f>
        <v>0</v>
      </c>
      <c r="DQ176" s="13" t="e">
        <f t="shared" si="176"/>
        <v>#NUM!</v>
      </c>
      <c r="DR176" s="20" t="e">
        <f t="shared" si="177"/>
        <v>#NUM!</v>
      </c>
      <c r="DS176" s="59" t="e">
        <f t="shared" si="125"/>
        <v>#NUM!</v>
      </c>
      <c r="DT176" s="59">
        <f ca="1">AVERAGE(OFFSET($DS$3,0,0,'Données projet'!$E$14+1,1))-AVERAGE(OFFSET($H$3,0,0,'Données projet'!$E$14+1,1))</f>
        <v>246.11623544660486</v>
      </c>
      <c r="DU176" s="59">
        <f t="shared" si="152"/>
        <v>273.18950868898253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13.42342092855386</v>
      </c>
      <c r="EB176" s="21">
        <f>EXP(-LN(2)/25)*EB175+(1-EXP(-LN(2)/25))/(LN(2)/25)*Calculateur!DW176*Calculateur!DY176*VLOOKUP('Données projet'!$B$14,Paramètres!$A$1:$I$89,3,0)*0.475*44/12</f>
        <v>1.7411911793182797</v>
      </c>
      <c r="EC176" s="21">
        <f>EXP(-LN(2)/2)*EC175+(1-EXP(-LN(2)/2))/(LN(2)/2)*DW176*DZ176*VLOOKUP('Données projet'!$B$14,Paramètres!$A$1:$I$89,3,0)*0.475*44/12</f>
        <v>3.1956408682872667E-16</v>
      </c>
      <c r="ED176" s="22">
        <f t="shared" si="178"/>
        <v>15.16461210787214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5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67">
        <f t="shared" si="110"/>
        <v>183.33333333333334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-1.7053025658242404E-13</v>
      </c>
      <c r="O177" s="13">
        <f>N177*VLOOKUP('Données projet'!$B$9,Paramètres!$A$1:$I$89,3,0)*VLOOKUP('Données projet'!$B$9,Paramètres!$A$1:$I$89,5,0)</f>
        <v>-1.72917680174578E-13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538.10210778862256</v>
      </c>
      <c r="T177" s="59">
        <f t="shared" si="142"/>
        <v>399.53300632021399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70.19576698663262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70.19576698663262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-1.7053025658242404E-13</v>
      </c>
      <c r="AJ177" s="13">
        <f>AI177*VLOOKUP('Données projet'!$B$10,Paramètres!$A$1:$I$89,3,0)*VLOOKUP('Données projet'!$B$10,Paramètres!$A$1:$I$89,5,0)</f>
        <v>-1.7823822417994965E-13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552.26894123675538</v>
      </c>
      <c r="AO177" s="59">
        <f t="shared" si="144"/>
        <v>409.85604950107006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72.355636740067425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72.355636740067425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-1.1368683772161603E-13</v>
      </c>
      <c r="BE177" s="13">
        <f>BD177*VLOOKUP('Données projet'!$B$11,Paramètres!$A$1:$I$89,3,0)*VLOOKUP('Données projet'!$B$11,Paramètres!$A$1:$I$89,5,0)</f>
        <v>-1.223725121235475E-13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361.24725625563468</v>
      </c>
      <c r="BJ177" s="59">
        <f t="shared" si="146"/>
        <v>186.0840067781198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41.363833104419783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41.363833104419783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-1.7053025658242404E-13</v>
      </c>
      <c r="BZ177" s="13">
        <f>BY177*VLOOKUP('Données projet'!$B$12,Paramètres!$A$1:$I$89,3,0)*VLOOKUP('Données projet'!$B$12,Paramètres!$A$1:$I$89,5,0)</f>
        <v>-1.1439169611549005E-13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323.91378047319455</v>
      </c>
      <c r="CE177" s="59">
        <f t="shared" si="148"/>
        <v>212.89889176380288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43.747898121295478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43.747898121295478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>
        <f>CT177*VLOOKUP('Données projet'!$B$13,Paramètres!$A$1:$I$89,3,0)*VLOOKUP('Données projet'!$B$13,Paramètres!$A$1:$I$89,5,0)</f>
        <v>0</v>
      </c>
      <c r="CV177" s="13" t="e">
        <f t="shared" si="173"/>
        <v>#NUM!</v>
      </c>
      <c r="CW177" s="20" t="e">
        <f t="shared" si="174"/>
        <v>#NUM!</v>
      </c>
      <c r="CX177" s="59" t="e">
        <f t="shared" si="122"/>
        <v>#NUM!</v>
      </c>
      <c r="CY177" s="59">
        <f ca="1">AVERAGE(OFFSET($CX$3,0,0,'Données projet'!$E$13+1,1))-AVERAGE(OFFSET($H$3,0,0,'Données projet'!$E$13+1,1))</f>
        <v>356.07880667298025</v>
      </c>
      <c r="CZ177" s="59">
        <f t="shared" si="150"/>
        <v>396.05161661639659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19.181437288558037</v>
      </c>
      <c r="DG177" s="21">
        <f>EXP(-LN(2)/25)*DG176+(1-EXP(-LN(2)/25))/(LN(2)/25)*Calculateur!DB177*Calculateur!DD177*VLOOKUP('Données projet'!$B$13,Paramètres!$A$1:$I$89,3,0)*0.475*44/12</f>
        <v>1.8645462198767331</v>
      </c>
      <c r="DH177" s="21">
        <f>EXP(-LN(2)/2)*DH176+(1-EXP(-LN(2)/2))/(LN(2)/2)*DB177*DE177*VLOOKUP('Données projet'!$B$13,Paramètres!$A$1:$I$89,3,0)*0.475*44/12</f>
        <v>2.378066377903105E-16</v>
      </c>
      <c r="DI177" s="22">
        <f t="shared" si="175"/>
        <v>21.04598350843477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>
        <f>DO177*VLOOKUP('Données projet'!$B$14,Paramètres!$A$1:$I$89,3,0)*VLOOKUP('Données projet'!$B$14,Paramètres!$A$1:$I$89,5,0)</f>
        <v>0</v>
      </c>
      <c r="DQ177" s="13" t="e">
        <f t="shared" si="176"/>
        <v>#NUM!</v>
      </c>
      <c r="DR177" s="20" t="e">
        <f t="shared" si="177"/>
        <v>#NUM!</v>
      </c>
      <c r="DS177" s="59" t="e">
        <f t="shared" si="125"/>
        <v>#NUM!</v>
      </c>
      <c r="DT177" s="59">
        <f ca="1">AVERAGE(OFFSET($DS$3,0,0,'Données projet'!$E$14+1,1))-AVERAGE(OFFSET($H$3,0,0,'Données projet'!$E$14+1,1))</f>
        <v>246.11623544660486</v>
      </c>
      <c r="DU177" s="59">
        <f t="shared" si="152"/>
        <v>273.18950868898253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13.160195831623239</v>
      </c>
      <c r="EB177" s="21">
        <f>EXP(-LN(2)/25)*EB176+(1-EXP(-LN(2)/25))/(LN(2)/25)*Calculateur!DW177*Calculateur!DY177*VLOOKUP('Données projet'!$B$14,Paramètres!$A$1:$I$89,3,0)*0.475*44/12</f>
        <v>1.6935782149545568</v>
      </c>
      <c r="EC177" s="21">
        <f>EXP(-LN(2)/2)*EC176+(1-EXP(-LN(2)/2))/(LN(2)/2)*DW177*DZ177*VLOOKUP('Données projet'!$B$14,Paramètres!$A$1:$I$89,3,0)*0.475*44/12</f>
        <v>2.259659328202793E-16</v>
      </c>
      <c r="ED177" s="22">
        <f t="shared" si="178"/>
        <v>14.853774046577797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5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67">
        <f t="shared" si="110"/>
        <v>183.33333333333334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-1.7053025658242404E-13</v>
      </c>
      <c r="O178" s="13">
        <f>N178*VLOOKUP('Données projet'!$B$9,Paramètres!$A$1:$I$89,3,0)*VLOOKUP('Données projet'!$B$9,Paramètres!$A$1:$I$89,5,0)</f>
        <v>-1.72917680174578E-13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538.10210778862256</v>
      </c>
      <c r="T178" s="59">
        <f t="shared" si="142"/>
        <v>399.53300632021399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68.819270811214963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68.819270811214963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-1.7053025658242404E-13</v>
      </c>
      <c r="AJ178" s="13">
        <f>AI178*VLOOKUP('Données projet'!$B$10,Paramètres!$A$1:$I$89,3,0)*VLOOKUP('Données projet'!$B$10,Paramètres!$A$1:$I$89,5,0)</f>
        <v>-1.7823822417994965E-13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552.26894123675538</v>
      </c>
      <c r="AO178" s="59">
        <f t="shared" si="144"/>
        <v>409.85604950107006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70.936786836175386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70.936786836175386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-1.1368683772161603E-13</v>
      </c>
      <c r="BE178" s="13">
        <f>BD178*VLOOKUP('Données projet'!$B$11,Paramètres!$A$1:$I$89,3,0)*VLOOKUP('Données projet'!$B$11,Paramètres!$A$1:$I$89,5,0)</f>
        <v>-1.223725121235475E-13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361.24725625563468</v>
      </c>
      <c r="BJ178" s="59">
        <f t="shared" si="146"/>
        <v>186.0840067781198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40.552713566689107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40.552713566689107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-1.7053025658242404E-13</v>
      </c>
      <c r="BZ178" s="13">
        <f>BY178*VLOOKUP('Données projet'!$B$12,Paramètres!$A$1:$I$89,3,0)*VLOOKUP('Données projet'!$B$12,Paramètres!$A$1:$I$89,5,0)</f>
        <v>-1.1439169611549005E-13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323.91378047319455</v>
      </c>
      <c r="CE178" s="59">
        <f t="shared" si="148"/>
        <v>212.89889176380288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42.890028522719945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42.890028522719945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>
        <f>CT178*VLOOKUP('Données projet'!$B$13,Paramètres!$A$1:$I$89,3,0)*VLOOKUP('Données projet'!$B$13,Paramètres!$A$1:$I$89,5,0)</f>
        <v>0</v>
      </c>
      <c r="CV178" s="13" t="e">
        <f t="shared" si="173"/>
        <v>#NUM!</v>
      </c>
      <c r="CW178" s="20" t="e">
        <f t="shared" si="174"/>
        <v>#NUM!</v>
      </c>
      <c r="CX178" s="59" t="e">
        <f t="shared" si="122"/>
        <v>#NUM!</v>
      </c>
      <c r="CY178" s="59">
        <f ca="1">AVERAGE(OFFSET($CX$3,0,0,'Données projet'!$E$13+1,1))-AVERAGE(OFFSET($H$3,0,0,'Données projet'!$E$13+1,1))</f>
        <v>356.07880667298025</v>
      </c>
      <c r="CZ178" s="59">
        <f t="shared" si="150"/>
        <v>396.05161661639659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18.805301002850928</v>
      </c>
      <c r="DG178" s="21">
        <f>EXP(-LN(2)/25)*DG177+(1-EXP(-LN(2)/25))/(LN(2)/25)*Calculateur!DB178*Calculateur!DD178*VLOOKUP('Données projet'!$B$13,Paramètres!$A$1:$I$89,3,0)*0.475*44/12</f>
        <v>1.8135601054419797</v>
      </c>
      <c r="DH178" s="21">
        <f>EXP(-LN(2)/2)*DH177+(1-EXP(-LN(2)/2))/(LN(2)/2)*DB178*DE178*VLOOKUP('Données projet'!$B$13,Paramètres!$A$1:$I$89,3,0)*0.475*44/12</f>
        <v>1.6815468619270166E-16</v>
      </c>
      <c r="DI178" s="22">
        <f t="shared" si="175"/>
        <v>20.618861108292908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>
        <f>DO178*VLOOKUP('Données projet'!$B$14,Paramètres!$A$1:$I$89,3,0)*VLOOKUP('Données projet'!$B$14,Paramètres!$A$1:$I$89,5,0)</f>
        <v>0</v>
      </c>
      <c r="DQ178" s="13" t="e">
        <f t="shared" si="176"/>
        <v>#NUM!</v>
      </c>
      <c r="DR178" s="20" t="e">
        <f t="shared" si="177"/>
        <v>#NUM!</v>
      </c>
      <c r="DS178" s="59" t="e">
        <f t="shared" si="125"/>
        <v>#NUM!</v>
      </c>
      <c r="DT178" s="59">
        <f ca="1">AVERAGE(OFFSET($DS$3,0,0,'Données projet'!$E$14+1,1))-AVERAGE(OFFSET($H$3,0,0,'Données projet'!$E$14+1,1))</f>
        <v>246.11623544660486</v>
      </c>
      <c r="DU178" s="59">
        <f t="shared" si="152"/>
        <v>273.18950868898253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12.902132418291972</v>
      </c>
      <c r="EB178" s="21">
        <f>EXP(-LN(2)/25)*EB177+(1-EXP(-LN(2)/25))/(LN(2)/25)*Calculateur!DW178*Calculateur!DY178*VLOOKUP('Données projet'!$B$14,Paramètres!$A$1:$I$89,3,0)*0.475*44/12</f>
        <v>1.6472672296052169</v>
      </c>
      <c r="EC178" s="21">
        <f>EXP(-LN(2)/2)*EC177+(1-EXP(-LN(2)/2))/(LN(2)/2)*DW178*DZ178*VLOOKUP('Données projet'!$B$14,Paramètres!$A$1:$I$89,3,0)*0.475*44/12</f>
        <v>1.5978204341436333E-16</v>
      </c>
      <c r="ED178" s="22">
        <f t="shared" si="178"/>
        <v>14.549399647897189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5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67">
        <f t="shared" si="110"/>
        <v>183.33333333333334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-1.7053025658242404E-13</v>
      </c>
      <c r="O179" s="13">
        <f>N179*VLOOKUP('Données projet'!$B$9,Paramètres!$A$1:$I$89,3,0)*VLOOKUP('Données projet'!$B$9,Paramètres!$A$1:$I$89,5,0)</f>
        <v>-1.72917680174578E-13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538.10210778862256</v>
      </c>
      <c r="T179" s="59">
        <f t="shared" si="142"/>
        <v>399.53300632021399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67.469766886217485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67.469766886217485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-1.7053025658242404E-13</v>
      </c>
      <c r="AJ179" s="13">
        <f>AI179*VLOOKUP('Données projet'!$B$10,Paramètres!$A$1:$I$89,3,0)*VLOOKUP('Données projet'!$B$10,Paramètres!$A$1:$I$89,5,0)</f>
        <v>-1.7823822417994965E-13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552.26894123675538</v>
      </c>
      <c r="AO179" s="59">
        <f t="shared" si="144"/>
        <v>409.85604950107006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69.54575971348568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69.54575971348568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-1.1368683772161603E-13</v>
      </c>
      <c r="BE179" s="13">
        <f>BD179*VLOOKUP('Données projet'!$B$11,Paramètres!$A$1:$I$89,3,0)*VLOOKUP('Données projet'!$B$11,Paramètres!$A$1:$I$89,5,0)</f>
        <v>-1.223725121235475E-13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361.24725625563468</v>
      </c>
      <c r="BJ179" s="59">
        <f t="shared" si="146"/>
        <v>186.0840067781198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39.757499588359259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39.757499588359259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-1.7053025658242404E-13</v>
      </c>
      <c r="BZ179" s="13">
        <f>BY179*VLOOKUP('Données projet'!$B$12,Paramètres!$A$1:$I$89,3,0)*VLOOKUP('Données projet'!$B$12,Paramètres!$A$1:$I$89,5,0)</f>
        <v>-1.1439169611549005E-13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323.91378047319455</v>
      </c>
      <c r="CE179" s="59">
        <f t="shared" si="148"/>
        <v>212.89889176380288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42.048981223723686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42.048981223723686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>
        <f>CT179*VLOOKUP('Données projet'!$B$13,Paramètres!$A$1:$I$89,3,0)*VLOOKUP('Données projet'!$B$13,Paramètres!$A$1:$I$89,5,0)</f>
        <v>0</v>
      </c>
      <c r="CV179" s="13" t="e">
        <f t="shared" si="173"/>
        <v>#NUM!</v>
      </c>
      <c r="CW179" s="20" t="e">
        <f t="shared" si="174"/>
        <v>#NUM!</v>
      </c>
      <c r="CX179" s="59" t="e">
        <f t="shared" si="122"/>
        <v>#NUM!</v>
      </c>
      <c r="CY179" s="59">
        <f ca="1">AVERAGE(OFFSET($CX$3,0,0,'Données projet'!$E$13+1,1))-AVERAGE(OFFSET($H$3,0,0,'Données projet'!$E$13+1,1))</f>
        <v>356.07880667298025</v>
      </c>
      <c r="CZ179" s="59">
        <f t="shared" si="150"/>
        <v>396.05161661639659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18.436540520286055</v>
      </c>
      <c r="DG179" s="21">
        <f>EXP(-LN(2)/25)*DG178+(1-EXP(-LN(2)/25))/(LN(2)/25)*Calculateur!DB179*Calculateur!DD179*VLOOKUP('Données projet'!$B$13,Paramètres!$A$1:$I$89,3,0)*0.475*44/12</f>
        <v>1.7639682089876878</v>
      </c>
      <c r="DH179" s="21">
        <f>EXP(-LN(2)/2)*DH178+(1-EXP(-LN(2)/2))/(LN(2)/2)*DB179*DE179*VLOOKUP('Données projet'!$B$13,Paramètres!$A$1:$I$89,3,0)*0.475*44/12</f>
        <v>1.1890331889515525E-16</v>
      </c>
      <c r="DI179" s="22">
        <f t="shared" si="175"/>
        <v>20.200508729273743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>
        <f>DO179*VLOOKUP('Données projet'!$B$14,Paramètres!$A$1:$I$89,3,0)*VLOOKUP('Données projet'!$B$14,Paramètres!$A$1:$I$89,5,0)</f>
        <v>0</v>
      </c>
      <c r="DQ179" s="13" t="e">
        <f t="shared" si="176"/>
        <v>#NUM!</v>
      </c>
      <c r="DR179" s="20" t="e">
        <f t="shared" si="177"/>
        <v>#NUM!</v>
      </c>
      <c r="DS179" s="59" t="e">
        <f t="shared" si="125"/>
        <v>#NUM!</v>
      </c>
      <c r="DT179" s="59">
        <f ca="1">AVERAGE(OFFSET($DS$3,0,0,'Données projet'!$E$14+1,1))-AVERAGE(OFFSET($H$3,0,0,'Données projet'!$E$14+1,1))</f>
        <v>246.11623544660486</v>
      </c>
      <c r="DU179" s="59">
        <f t="shared" si="152"/>
        <v>273.18950868898253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12.649129471092991</v>
      </c>
      <c r="EB179" s="21">
        <f>EXP(-LN(2)/25)*EB178+(1-EXP(-LN(2)/25))/(LN(2)/25)*Calculateur!DW179*Calculateur!DY179*VLOOKUP('Données projet'!$B$14,Paramètres!$A$1:$I$89,3,0)*0.475*44/12</f>
        <v>1.6022226205856436</v>
      </c>
      <c r="EC179" s="21">
        <f>EXP(-LN(2)/2)*EC178+(1-EXP(-LN(2)/2))/(LN(2)/2)*DW179*DZ179*VLOOKUP('Données projet'!$B$14,Paramètres!$A$1:$I$89,3,0)*0.475*44/12</f>
        <v>1.1298296641013965E-16</v>
      </c>
      <c r="ED179" s="22">
        <f t="shared" si="178"/>
        <v>14.251352091678633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5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67">
        <f t="shared" si="110"/>
        <v>183.33333333333334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-1.7053025658242404E-13</v>
      </c>
      <c r="O180" s="13">
        <f>N180*VLOOKUP('Données projet'!$B$9,Paramètres!$A$1:$I$89,3,0)*VLOOKUP('Données projet'!$B$9,Paramètres!$A$1:$I$89,5,0)</f>
        <v>-1.72917680174578E-13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538.10210778862256</v>
      </c>
      <c r="T180" s="59">
        <f t="shared" si="142"/>
        <v>399.53300632021399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66.146725910073087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66.146725910073087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-1.7053025658242404E-13</v>
      </c>
      <c r="AJ180" s="13">
        <f>AI180*VLOOKUP('Données projet'!$B$10,Paramètres!$A$1:$I$89,3,0)*VLOOKUP('Données projet'!$B$10,Paramètres!$A$1:$I$89,5,0)</f>
        <v>-1.7823822417994965E-13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552.26894123675538</v>
      </c>
      <c r="AO180" s="59">
        <f t="shared" si="144"/>
        <v>409.85604950107006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68.182009784229152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68.182009784229152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-1.1368683772161603E-13</v>
      </c>
      <c r="BE180" s="13">
        <f>BD180*VLOOKUP('Données projet'!$B$11,Paramètres!$A$1:$I$89,3,0)*VLOOKUP('Données projet'!$B$11,Paramètres!$A$1:$I$89,5,0)</f>
        <v>-1.223725121235475E-13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361.24725625563468</v>
      </c>
      <c r="BJ180" s="59">
        <f t="shared" si="146"/>
        <v>186.0840067781198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38.977879271111824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38.977879271111824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-1.7053025658242404E-13</v>
      </c>
      <c r="BZ180" s="13">
        <f>BY180*VLOOKUP('Données projet'!$B$12,Paramètres!$A$1:$I$89,3,0)*VLOOKUP('Données projet'!$B$12,Paramètres!$A$1:$I$89,5,0)</f>
        <v>-1.1439169611549005E-13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323.91378047319455</v>
      </c>
      <c r="CE180" s="59">
        <f t="shared" si="148"/>
        <v>212.89889176380288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41.224426349272548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41.224426349272548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>
        <f>CT180*VLOOKUP('Données projet'!$B$13,Paramètres!$A$1:$I$89,3,0)*VLOOKUP('Données projet'!$B$13,Paramètres!$A$1:$I$89,5,0)</f>
        <v>0</v>
      </c>
      <c r="CV180" s="13" t="e">
        <f t="shared" si="173"/>
        <v>#NUM!</v>
      </c>
      <c r="CW180" s="20" t="e">
        <f t="shared" si="174"/>
        <v>#NUM!</v>
      </c>
      <c r="CX180" s="59" t="e">
        <f t="shared" si="122"/>
        <v>#NUM!</v>
      </c>
      <c r="CY180" s="59">
        <f ca="1">AVERAGE(OFFSET($CX$3,0,0,'Données projet'!$E$13+1,1))-AVERAGE(OFFSET($H$3,0,0,'Données projet'!$E$13+1,1))</f>
        <v>356.07880667298025</v>
      </c>
      <c r="CZ180" s="59">
        <f t="shared" si="150"/>
        <v>396.05161661639659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18.075011205862594</v>
      </c>
      <c r="DG180" s="21">
        <f>EXP(-LN(2)/25)*DG179+(1-EXP(-LN(2)/25))/(LN(2)/25)*Calculateur!DB180*Calculateur!DD180*VLOOKUP('Données projet'!$B$13,Paramètres!$A$1:$I$89,3,0)*0.475*44/12</f>
        <v>1.7157324055498631</v>
      </c>
      <c r="DH180" s="21">
        <f>EXP(-LN(2)/2)*DH179+(1-EXP(-LN(2)/2))/(LN(2)/2)*DB180*DE180*VLOOKUP('Données projet'!$B$13,Paramètres!$A$1:$I$89,3,0)*0.475*44/12</f>
        <v>8.4077343096350828E-17</v>
      </c>
      <c r="DI180" s="22">
        <f t="shared" si="175"/>
        <v>19.790743611412459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>
        <f>DO180*VLOOKUP('Données projet'!$B$14,Paramètres!$A$1:$I$89,3,0)*VLOOKUP('Données projet'!$B$14,Paramètres!$A$1:$I$89,5,0)</f>
        <v>0</v>
      </c>
      <c r="DQ180" s="13" t="e">
        <f t="shared" si="176"/>
        <v>#NUM!</v>
      </c>
      <c r="DR180" s="20" t="e">
        <f t="shared" si="177"/>
        <v>#NUM!</v>
      </c>
      <c r="DS180" s="59" t="e">
        <f t="shared" si="125"/>
        <v>#NUM!</v>
      </c>
      <c r="DT180" s="59">
        <f ca="1">AVERAGE(OFFSET($DS$3,0,0,'Données projet'!$E$14+1,1))-AVERAGE(OFFSET($H$3,0,0,'Données projet'!$E$14+1,1))</f>
        <v>246.11623544660486</v>
      </c>
      <c r="DU180" s="59">
        <f t="shared" si="152"/>
        <v>273.18950868898253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12.401087757372022</v>
      </c>
      <c r="EB180" s="21">
        <f>EXP(-LN(2)/25)*EB179+(1-EXP(-LN(2)/25))/(LN(2)/25)*Calculateur!DW180*Calculateur!DY180*VLOOKUP('Données projet'!$B$14,Paramètres!$A$1:$I$89,3,0)*0.475*44/12</f>
        <v>1.5584097587685035</v>
      </c>
      <c r="EC180" s="21">
        <f>EXP(-LN(2)/2)*EC179+(1-EXP(-LN(2)/2))/(LN(2)/2)*DW180*DZ180*VLOOKUP('Données projet'!$B$14,Paramètres!$A$1:$I$89,3,0)*0.475*44/12</f>
        <v>7.9891021707181666E-17</v>
      </c>
      <c r="ED180" s="22">
        <f t="shared" si="178"/>
        <v>13.959497516140525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5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67">
        <f t="shared" si="110"/>
        <v>183.33333333333334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-1.7053025658242404E-13</v>
      </c>
      <c r="O181" s="13">
        <f>N181*VLOOKUP('Données projet'!$B$9,Paramètres!$A$1:$I$89,3,0)*VLOOKUP('Données projet'!$B$9,Paramètres!$A$1:$I$89,5,0)</f>
        <v>-1.72917680174578E-13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538.10210778862256</v>
      </c>
      <c r="T181" s="59">
        <f t="shared" si="142"/>
        <v>399.53300632021399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64.849628960495565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64.849628960495565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-1.7053025658242404E-13</v>
      </c>
      <c r="AJ181" s="13">
        <f>AI181*VLOOKUP('Données projet'!$B$10,Paramètres!$A$1:$I$89,3,0)*VLOOKUP('Données projet'!$B$10,Paramètres!$A$1:$I$89,5,0)</f>
        <v>-1.7823822417994965E-13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552.26894123675538</v>
      </c>
      <c r="AO181" s="59">
        <f t="shared" si="144"/>
        <v>409.85604950107006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66.845002159280014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66.845002159280014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-1.1368683772161603E-13</v>
      </c>
      <c r="BE181" s="13">
        <f>BD181*VLOOKUP('Données projet'!$B$11,Paramètres!$A$1:$I$89,3,0)*VLOOKUP('Données projet'!$B$11,Paramètres!$A$1:$I$89,5,0)</f>
        <v>-1.223725121235475E-13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361.24725625563468</v>
      </c>
      <c r="BJ181" s="59">
        <f t="shared" si="146"/>
        <v>186.0840067781198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38.213546832764173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38.213546832764173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-1.7053025658242404E-13</v>
      </c>
      <c r="BZ181" s="13">
        <f>BY181*VLOOKUP('Données projet'!$B$12,Paramètres!$A$1:$I$89,3,0)*VLOOKUP('Données projet'!$B$12,Paramètres!$A$1:$I$89,5,0)</f>
        <v>-1.1439169611549005E-13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323.91378047319455</v>
      </c>
      <c r="CE181" s="59">
        <f t="shared" si="148"/>
        <v>212.89889176380288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40.416040492980578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40.416040492980578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>
        <f>CT181*VLOOKUP('Données projet'!$B$13,Paramètres!$A$1:$I$89,3,0)*VLOOKUP('Données projet'!$B$13,Paramètres!$A$1:$I$89,5,0)</f>
        <v>0</v>
      </c>
      <c r="CV181" s="13" t="e">
        <f t="shared" si="173"/>
        <v>#NUM!</v>
      </c>
      <c r="CW181" s="20" t="e">
        <f t="shared" si="174"/>
        <v>#NUM!</v>
      </c>
      <c r="CX181" s="59" t="e">
        <f t="shared" si="122"/>
        <v>#NUM!</v>
      </c>
      <c r="CY181" s="59">
        <f ca="1">AVERAGE(OFFSET($CX$3,0,0,'Données projet'!$E$13+1,1))-AVERAGE(OFFSET($H$3,0,0,'Données projet'!$E$13+1,1))</f>
        <v>356.07880667298025</v>
      </c>
      <c r="CZ181" s="59">
        <f t="shared" si="150"/>
        <v>396.05161661639659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17.720571260783871</v>
      </c>
      <c r="DG181" s="21">
        <f>EXP(-LN(2)/25)*DG180+(1-EXP(-LN(2)/25))/(LN(2)/25)*Calculateur!DB181*Calculateur!DD181*VLOOKUP('Données projet'!$B$13,Paramètres!$A$1:$I$89,3,0)*0.475*44/12</f>
        <v>1.6688156126936562</v>
      </c>
      <c r="DH181" s="21">
        <f>EXP(-LN(2)/2)*DH180+(1-EXP(-LN(2)/2))/(LN(2)/2)*DB181*DE181*VLOOKUP('Données projet'!$B$13,Paramètres!$A$1:$I$89,3,0)*0.475*44/12</f>
        <v>5.9451659447577626E-17</v>
      </c>
      <c r="DI181" s="22">
        <f t="shared" si="175"/>
        <v>19.389386873477527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>
        <f>DO181*VLOOKUP('Données projet'!$B$14,Paramètres!$A$1:$I$89,3,0)*VLOOKUP('Données projet'!$B$14,Paramètres!$A$1:$I$89,5,0)</f>
        <v>0</v>
      </c>
      <c r="DQ181" s="13" t="e">
        <f t="shared" si="176"/>
        <v>#NUM!</v>
      </c>
      <c r="DR181" s="20" t="e">
        <f t="shared" si="177"/>
        <v>#NUM!</v>
      </c>
      <c r="DS181" s="59" t="e">
        <f t="shared" si="125"/>
        <v>#NUM!</v>
      </c>
      <c r="DT181" s="59">
        <f ca="1">AVERAGE(OFFSET($DS$3,0,0,'Données projet'!$E$14+1,1))-AVERAGE(OFFSET($H$3,0,0,'Données projet'!$E$14+1,1))</f>
        <v>246.11623544660486</v>
      </c>
      <c r="DU181" s="59">
        <f t="shared" si="152"/>
        <v>273.18950868898253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12.157909990366614</v>
      </c>
      <c r="EB181" s="21">
        <f>EXP(-LN(2)/25)*EB180+(1-EXP(-LN(2)/25))/(LN(2)/25)*Calculateur!DW181*Calculateur!DY181*VLOOKUP('Données projet'!$B$14,Paramètres!$A$1:$I$89,3,0)*0.475*44/12</f>
        <v>1.5157949619617714</v>
      </c>
      <c r="EC181" s="21">
        <f>EXP(-LN(2)/2)*EC180+(1-EXP(-LN(2)/2))/(LN(2)/2)*DW181*DZ181*VLOOKUP('Données projet'!$B$14,Paramètres!$A$1:$I$89,3,0)*0.475*44/12</f>
        <v>5.6491483205069824E-17</v>
      </c>
      <c r="ED181" s="22">
        <f t="shared" si="178"/>
        <v>13.673704952328386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5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67">
        <f t="shared" si="110"/>
        <v>183.33333333333334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-1.7053025658242404E-13</v>
      </c>
      <c r="O182" s="13">
        <f>N182*VLOOKUP('Données projet'!$B$9,Paramètres!$A$1:$I$89,3,0)*VLOOKUP('Données projet'!$B$9,Paramètres!$A$1:$I$89,5,0)</f>
        <v>-1.72917680174578E-13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538.10210778862256</v>
      </c>
      <c r="T182" s="59">
        <f t="shared" si="142"/>
        <v>399.53300632021399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63.577967290948244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63.577967290948244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-1.7053025658242404E-13</v>
      </c>
      <c r="AJ182" s="13">
        <f>AI182*VLOOKUP('Données projet'!$B$10,Paramètres!$A$1:$I$89,3,0)*VLOOKUP('Données projet'!$B$10,Paramètres!$A$1:$I$89,5,0)</f>
        <v>-1.7823822417994965E-13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552.26894123675538</v>
      </c>
      <c r="AO182" s="59">
        <f t="shared" si="144"/>
        <v>409.85604950107006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65.534212438362005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65.534212438362005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-1.1368683772161603E-13</v>
      </c>
      <c r="BE182" s="13">
        <f>BD182*VLOOKUP('Données projet'!$B$11,Paramètres!$A$1:$I$89,3,0)*VLOOKUP('Données projet'!$B$11,Paramètres!$A$1:$I$89,5,0)</f>
        <v>-1.223725121235475E-13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361.24725625563468</v>
      </c>
      <c r="BJ182" s="59">
        <f t="shared" si="146"/>
        <v>186.0840067781198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37.464202487335768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37.464202487335768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-1.7053025658242404E-13</v>
      </c>
      <c r="BZ182" s="13">
        <f>BY182*VLOOKUP('Données projet'!$B$12,Paramètres!$A$1:$I$89,3,0)*VLOOKUP('Données projet'!$B$12,Paramètres!$A$1:$I$89,5,0)</f>
        <v>-1.1439169611549005E-13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323.91378047319455</v>
      </c>
      <c r="CE182" s="59">
        <f t="shared" si="148"/>
        <v>212.89889176380288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39.623506590263808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39.623506590263808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>
        <f>CT182*VLOOKUP('Données projet'!$B$13,Paramètres!$A$1:$I$89,3,0)*VLOOKUP('Données projet'!$B$13,Paramètres!$A$1:$I$89,5,0)</f>
        <v>0</v>
      </c>
      <c r="CV182" s="13" t="e">
        <f t="shared" si="173"/>
        <v>#NUM!</v>
      </c>
      <c r="CW182" s="20" t="e">
        <f t="shared" si="174"/>
        <v>#NUM!</v>
      </c>
      <c r="CX182" s="59" t="e">
        <f t="shared" si="122"/>
        <v>#NUM!</v>
      </c>
      <c r="CY182" s="59">
        <f ca="1">AVERAGE(OFFSET($CX$3,0,0,'Données projet'!$E$13+1,1))-AVERAGE(OFFSET($H$3,0,0,'Données projet'!$E$13+1,1))</f>
        <v>356.07880667298025</v>
      </c>
      <c r="CZ182" s="59">
        <f t="shared" si="150"/>
        <v>396.05161661639659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17.37308166684112</v>
      </c>
      <c r="DG182" s="21">
        <f>EXP(-LN(2)/25)*DG181+(1-EXP(-LN(2)/25))/(LN(2)/25)*Calculateur!DB182*Calculateur!DD182*VLOOKUP('Données projet'!$B$13,Paramètres!$A$1:$I$89,3,0)*0.475*44/12</f>
        <v>1.6231817620053492</v>
      </c>
      <c r="DH182" s="21">
        <f>EXP(-LN(2)/2)*DH181+(1-EXP(-LN(2)/2))/(LN(2)/2)*DB182*DE182*VLOOKUP('Données projet'!$B$13,Paramètres!$A$1:$I$89,3,0)*0.475*44/12</f>
        <v>4.2038671548175414E-17</v>
      </c>
      <c r="DI182" s="22">
        <f t="shared" si="175"/>
        <v>18.996263428846468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>
        <f>DO182*VLOOKUP('Données projet'!$B$14,Paramètres!$A$1:$I$89,3,0)*VLOOKUP('Données projet'!$B$14,Paramètres!$A$1:$I$89,5,0)</f>
        <v>0</v>
      </c>
      <c r="DQ182" s="13" t="e">
        <f t="shared" si="176"/>
        <v>#NUM!</v>
      </c>
      <c r="DR182" s="20" t="e">
        <f t="shared" si="177"/>
        <v>#NUM!</v>
      </c>
      <c r="DS182" s="59" t="e">
        <f t="shared" si="125"/>
        <v>#NUM!</v>
      </c>
      <c r="DT182" s="59">
        <f ca="1">AVERAGE(OFFSET($DS$3,0,0,'Données projet'!$E$14+1,1))-AVERAGE(OFFSET($H$3,0,0,'Données projet'!$E$14+1,1))</f>
        <v>246.11623544660486</v>
      </c>
      <c r="DU182" s="59">
        <f t="shared" si="152"/>
        <v>273.18950868898253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11.919500791048389</v>
      </c>
      <c r="EB182" s="21">
        <f>EXP(-LN(2)/25)*EB181+(1-EXP(-LN(2)/25))/(LN(2)/25)*Calculateur!DW182*Calculateur!DY182*VLOOKUP('Données projet'!$B$14,Paramètres!$A$1:$I$89,3,0)*0.475*44/12</f>
        <v>1.4743454690147342</v>
      </c>
      <c r="EC182" s="21">
        <f>EXP(-LN(2)/2)*EC181+(1-EXP(-LN(2)/2))/(LN(2)/2)*DW182*DZ182*VLOOKUP('Données projet'!$B$14,Paramètres!$A$1:$I$89,3,0)*0.475*44/12</f>
        <v>3.9945510853590833E-17</v>
      </c>
      <c r="ED182" s="22">
        <f t="shared" si="178"/>
        <v>13.393846260063123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5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67">
        <f t="shared" si="110"/>
        <v>183.33333333333334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-1.7053025658242404E-13</v>
      </c>
      <c r="O183" s="13">
        <f>N183*VLOOKUP('Données projet'!$B$9,Paramètres!$A$1:$I$89,3,0)*VLOOKUP('Données projet'!$B$9,Paramètres!$A$1:$I$89,5,0)</f>
        <v>-1.72917680174578E-13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538.10210778862256</v>
      </c>
      <c r="T183" s="59">
        <f t="shared" si="142"/>
        <v>399.53300632021399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62.331242131103714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62.331242131103714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-1.7053025658242404E-13</v>
      </c>
      <c r="AJ183" s="13">
        <f>AI183*VLOOKUP('Données projet'!$B$10,Paramètres!$A$1:$I$89,3,0)*VLOOKUP('Données projet'!$B$10,Paramètres!$A$1:$I$89,5,0)</f>
        <v>-1.7823822417994965E-13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552.26894123675538</v>
      </c>
      <c r="AO183" s="59">
        <f t="shared" si="144"/>
        <v>409.85604950107006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64.249126504368419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64.249126504368419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-1.1368683772161603E-13</v>
      </c>
      <c r="BE183" s="13">
        <f>BD183*VLOOKUP('Données projet'!$B$11,Paramètres!$A$1:$I$89,3,0)*VLOOKUP('Données projet'!$B$11,Paramètres!$A$1:$I$89,5,0)</f>
        <v>-1.223725121235475E-13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361.24725625563468</v>
      </c>
      <c r="BJ183" s="59">
        <f t="shared" si="146"/>
        <v>186.0840067781198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36.729552327466294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36.729552327466294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-1.7053025658242404E-13</v>
      </c>
      <c r="BZ183" s="13">
        <f>BY183*VLOOKUP('Données projet'!$B$12,Paramètres!$A$1:$I$89,3,0)*VLOOKUP('Données projet'!$B$12,Paramètres!$A$1:$I$89,5,0)</f>
        <v>-1.1439169611549005E-13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323.91378047319455</v>
      </c>
      <c r="CE183" s="59">
        <f t="shared" si="148"/>
        <v>212.89889176380288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38.846513793981366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38.846513793981366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>
        <f>CT183*VLOOKUP('Données projet'!$B$13,Paramètres!$A$1:$I$89,3,0)*VLOOKUP('Données projet'!$B$13,Paramètres!$A$1:$I$89,5,0)</f>
        <v>0</v>
      </c>
      <c r="CV183" s="13" t="e">
        <f t="shared" si="173"/>
        <v>#NUM!</v>
      </c>
      <c r="CW183" s="20" t="e">
        <f t="shared" si="174"/>
        <v>#NUM!</v>
      </c>
      <c r="CX183" s="59" t="e">
        <f t="shared" si="122"/>
        <v>#NUM!</v>
      </c>
      <c r="CY183" s="59">
        <f ca="1">AVERAGE(OFFSET($CX$3,0,0,'Données projet'!$E$13+1,1))-AVERAGE(OFFSET($H$3,0,0,'Données projet'!$E$13+1,1))</f>
        <v>356.07880667298025</v>
      </c>
      <c r="CZ183" s="59">
        <f t="shared" si="150"/>
        <v>396.05161661639659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17.032406131887861</v>
      </c>
      <c r="DG183" s="21">
        <f>EXP(-LN(2)/25)*DG182+(1-EXP(-LN(2)/25))/(LN(2)/25)*Calculateur!DB183*Calculateur!DD183*VLOOKUP('Données projet'!$B$13,Paramètres!$A$1:$I$89,3,0)*0.475*44/12</f>
        <v>1.578795771363894</v>
      </c>
      <c r="DH183" s="21">
        <f>EXP(-LN(2)/2)*DH182+(1-EXP(-LN(2)/2))/(LN(2)/2)*DB183*DE183*VLOOKUP('Données projet'!$B$13,Paramètres!$A$1:$I$89,3,0)*0.475*44/12</f>
        <v>2.9725829723788813E-17</v>
      </c>
      <c r="DI183" s="22">
        <f t="shared" si="175"/>
        <v>18.611201903251754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>
        <f>DO183*VLOOKUP('Données projet'!$B$14,Paramètres!$A$1:$I$89,3,0)*VLOOKUP('Données projet'!$B$14,Paramètres!$A$1:$I$89,5,0)</f>
        <v>0</v>
      </c>
      <c r="DQ183" s="13" t="e">
        <f t="shared" si="176"/>
        <v>#NUM!</v>
      </c>
      <c r="DR183" s="20" t="e">
        <f t="shared" si="177"/>
        <v>#NUM!</v>
      </c>
      <c r="DS183" s="59" t="e">
        <f t="shared" si="125"/>
        <v>#NUM!</v>
      </c>
      <c r="DT183" s="59">
        <f ca="1">AVERAGE(OFFSET($DS$3,0,0,'Données projet'!$E$14+1,1))-AVERAGE(OFFSET($H$3,0,0,'Données projet'!$E$14+1,1))</f>
        <v>246.11623544660486</v>
      </c>
      <c r="DU183" s="59">
        <f t="shared" si="152"/>
        <v>273.18950868898253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11.685766650713543</v>
      </c>
      <c r="EB183" s="21">
        <f>EXP(-LN(2)/25)*EB182+(1-EXP(-LN(2)/25))/(LN(2)/25)*Calculateur!DW183*Calculateur!DY183*VLOOKUP('Données projet'!$B$14,Paramètres!$A$1:$I$89,3,0)*0.475*44/12</f>
        <v>1.4340294146320678</v>
      </c>
      <c r="EC183" s="21">
        <f>EXP(-LN(2)/2)*EC182+(1-EXP(-LN(2)/2))/(LN(2)/2)*DW183*DZ183*VLOOKUP('Données projet'!$B$14,Paramètres!$A$1:$I$89,3,0)*0.475*44/12</f>
        <v>2.8245741602534912E-17</v>
      </c>
      <c r="ED183" s="22">
        <f t="shared" si="178"/>
        <v>13.119796065345611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5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67">
        <f t="shared" si="110"/>
        <v>183.33333333333334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-1.7053025658242404E-13</v>
      </c>
      <c r="O184" s="13">
        <f>N184*VLOOKUP('Données projet'!$B$9,Paramètres!$A$1:$I$89,3,0)*VLOOKUP('Données projet'!$B$9,Paramètres!$A$1:$I$89,5,0)</f>
        <v>-1.72917680174578E-13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538.10210778862256</v>
      </c>
      <c r="T184" s="59">
        <f t="shared" si="142"/>
        <v>399.53300632021399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61.108964491216476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61.108964491216476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-1.7053025658242404E-13</v>
      </c>
      <c r="AJ184" s="13">
        <f>AI184*VLOOKUP('Données projet'!$B$10,Paramètres!$A$1:$I$89,3,0)*VLOOKUP('Données projet'!$B$10,Paramètres!$A$1:$I$89,5,0)</f>
        <v>-1.7823822417994965E-13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552.26894123675538</v>
      </c>
      <c r="AO184" s="59">
        <f t="shared" si="144"/>
        <v>409.85604950107006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62.989240321715421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62.989240321715421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-1.1368683772161603E-13</v>
      </c>
      <c r="BE184" s="13">
        <f>BD184*VLOOKUP('Données projet'!$B$11,Paramètres!$A$1:$I$89,3,0)*VLOOKUP('Données projet'!$B$11,Paramètres!$A$1:$I$89,5,0)</f>
        <v>-1.223725121235475E-13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361.24725625563468</v>
      </c>
      <c r="BJ184" s="59">
        <f t="shared" si="146"/>
        <v>186.0840067781198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36.009308209139505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36.009308209139505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-1.7053025658242404E-13</v>
      </c>
      <c r="BZ184" s="13">
        <f>BY184*VLOOKUP('Données projet'!$B$12,Paramètres!$A$1:$I$89,3,0)*VLOOKUP('Données projet'!$B$12,Paramètres!$A$1:$I$89,5,0)</f>
        <v>-1.1439169611549005E-13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323.91378047319455</v>
      </c>
      <c r="CE184" s="59">
        <f t="shared" si="148"/>
        <v>212.89889176380288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38.084757352515211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38.084757352515211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>
        <f>CT184*VLOOKUP('Données projet'!$B$13,Paramètres!$A$1:$I$89,3,0)*VLOOKUP('Données projet'!$B$13,Paramètres!$A$1:$I$89,5,0)</f>
        <v>0</v>
      </c>
      <c r="CV184" s="13" t="e">
        <f t="shared" si="173"/>
        <v>#NUM!</v>
      </c>
      <c r="CW184" s="20" t="e">
        <f t="shared" si="174"/>
        <v>#NUM!</v>
      </c>
      <c r="CX184" s="59" t="e">
        <f t="shared" si="122"/>
        <v>#NUM!</v>
      </c>
      <c r="CY184" s="59">
        <f ca="1">AVERAGE(OFFSET($CX$3,0,0,'Données projet'!$E$13+1,1))-AVERAGE(OFFSET($H$3,0,0,'Données projet'!$E$13+1,1))</f>
        <v>356.07880667298025</v>
      </c>
      <c r="CZ184" s="59">
        <f t="shared" si="150"/>
        <v>396.05161661639659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16.698411036383476</v>
      </c>
      <c r="DG184" s="21">
        <f>EXP(-LN(2)/25)*DG183+(1-EXP(-LN(2)/25))/(LN(2)/25)*Calculateur!DB184*Calculateur!DD184*VLOOKUP('Données projet'!$B$13,Paramètres!$A$1:$I$89,3,0)*0.475*44/12</f>
        <v>1.5356235179706872</v>
      </c>
      <c r="DH184" s="21">
        <f>EXP(-LN(2)/2)*DH183+(1-EXP(-LN(2)/2))/(LN(2)/2)*DB184*DE184*VLOOKUP('Données projet'!$B$13,Paramètres!$A$1:$I$89,3,0)*0.475*44/12</f>
        <v>2.1019335774087707E-17</v>
      </c>
      <c r="DI184" s="22">
        <f t="shared" si="175"/>
        <v>18.234034554354164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>
        <f>DO184*VLOOKUP('Données projet'!$B$14,Paramètres!$A$1:$I$89,3,0)*VLOOKUP('Données projet'!$B$14,Paramètres!$A$1:$I$89,5,0)</f>
        <v>0</v>
      </c>
      <c r="DQ184" s="13" t="e">
        <f t="shared" si="176"/>
        <v>#NUM!</v>
      </c>
      <c r="DR184" s="20" t="e">
        <f t="shared" si="177"/>
        <v>#NUM!</v>
      </c>
      <c r="DS184" s="59" t="e">
        <f t="shared" si="125"/>
        <v>#NUM!</v>
      </c>
      <c r="DT184" s="59">
        <f ca="1">AVERAGE(OFFSET($DS$3,0,0,'Données projet'!$E$14+1,1))-AVERAGE(OFFSET($H$3,0,0,'Données projet'!$E$14+1,1))</f>
        <v>246.11623544660486</v>
      </c>
      <c r="DU184" s="59">
        <f t="shared" si="152"/>
        <v>273.18950868898253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11.456615894306914</v>
      </c>
      <c r="EB184" s="21">
        <f>EXP(-LN(2)/25)*EB183+(1-EXP(-LN(2)/25))/(LN(2)/25)*Calculateur!DW184*Calculateur!DY184*VLOOKUP('Données projet'!$B$14,Paramètres!$A$1:$I$89,3,0)*0.475*44/12</f>
        <v>1.3948158048766246</v>
      </c>
      <c r="EC184" s="21">
        <f>EXP(-LN(2)/2)*EC183+(1-EXP(-LN(2)/2))/(LN(2)/2)*DW184*DZ184*VLOOKUP('Données projet'!$B$14,Paramètres!$A$1:$I$89,3,0)*0.475*44/12</f>
        <v>1.9972755426795417E-17</v>
      </c>
      <c r="ED184" s="22">
        <f t="shared" si="178"/>
        <v>12.851431699183539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5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67">
        <f t="shared" si="110"/>
        <v>183.33333333333334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-1.7053025658242404E-13</v>
      </c>
      <c r="O185" s="13">
        <f>N185*VLOOKUP('Données projet'!$B$9,Paramètres!$A$1:$I$89,3,0)*VLOOKUP('Données projet'!$B$9,Paramètres!$A$1:$I$89,5,0)</f>
        <v>-1.72917680174578E-13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538.10210778862256</v>
      </c>
      <c r="T185" s="59">
        <f t="shared" si="142"/>
        <v>399.53300632021399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59.910654970331677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59.910654970331677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-1.7053025658242404E-13</v>
      </c>
      <c r="AJ185" s="13">
        <f>AI185*VLOOKUP('Données projet'!$B$10,Paramètres!$A$1:$I$89,3,0)*VLOOKUP('Données projet'!$B$10,Paramètres!$A$1:$I$89,5,0)</f>
        <v>-1.7823822417994965E-13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552.26894123675538</v>
      </c>
      <c r="AO185" s="59">
        <f t="shared" si="144"/>
        <v>409.85604950107006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61.754059738649552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61.754059738649552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-1.1368683772161603E-13</v>
      </c>
      <c r="BE185" s="13">
        <f>BD185*VLOOKUP('Données projet'!$B$11,Paramètres!$A$1:$I$89,3,0)*VLOOKUP('Données projet'!$B$11,Paramètres!$A$1:$I$89,5,0)</f>
        <v>-1.223725121235475E-13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361.24725625563468</v>
      </c>
      <c r="BJ185" s="59">
        <f t="shared" si="146"/>
        <v>186.0840067781198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35.303187638667573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35.303187638667573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-1.7053025658242404E-13</v>
      </c>
      <c r="BZ185" s="13">
        <f>BY185*VLOOKUP('Données projet'!$B$12,Paramètres!$A$1:$I$89,3,0)*VLOOKUP('Données projet'!$B$12,Paramètres!$A$1:$I$89,5,0)</f>
        <v>-1.1439169611549005E-13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323.91378047319455</v>
      </c>
      <c r="CE185" s="59">
        <f t="shared" si="148"/>
        <v>212.89889176380288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37.33793849024066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37.33793849024066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>
        <f>CT185*VLOOKUP('Données projet'!$B$13,Paramètres!$A$1:$I$89,3,0)*VLOOKUP('Données projet'!$B$13,Paramètres!$A$1:$I$89,5,0)</f>
        <v>0</v>
      </c>
      <c r="CV185" s="13" t="e">
        <f t="shared" si="173"/>
        <v>#NUM!</v>
      </c>
      <c r="CW185" s="20" t="e">
        <f t="shared" si="174"/>
        <v>#NUM!</v>
      </c>
      <c r="CX185" s="59" t="e">
        <f t="shared" si="122"/>
        <v>#NUM!</v>
      </c>
      <c r="CY185" s="59">
        <f ca="1">AVERAGE(OFFSET($CX$3,0,0,'Données projet'!$E$13+1,1))-AVERAGE(OFFSET($H$3,0,0,'Données projet'!$E$13+1,1))</f>
        <v>356.07880667298025</v>
      </c>
      <c r="CZ185" s="59">
        <f t="shared" si="150"/>
        <v>396.05161661639659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16.370965380985041</v>
      </c>
      <c r="DG185" s="21">
        <f>EXP(-LN(2)/25)*DG184+(1-EXP(-LN(2)/25))/(LN(2)/25)*Calculateur!DB185*Calculateur!DD185*VLOOKUP('Données projet'!$B$13,Paramètres!$A$1:$I$89,3,0)*0.475*44/12</f>
        <v>1.4936318121168477</v>
      </c>
      <c r="DH185" s="21">
        <f>EXP(-LN(2)/2)*DH184+(1-EXP(-LN(2)/2))/(LN(2)/2)*DB185*DE185*VLOOKUP('Données projet'!$B$13,Paramètres!$A$1:$I$89,3,0)*0.475*44/12</f>
        <v>1.4862914861894406E-17</v>
      </c>
      <c r="DI185" s="22">
        <f t="shared" si="175"/>
        <v>17.86459719310189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>
        <f>DO185*VLOOKUP('Données projet'!$B$14,Paramètres!$A$1:$I$89,3,0)*VLOOKUP('Données projet'!$B$14,Paramètres!$A$1:$I$89,5,0)</f>
        <v>0</v>
      </c>
      <c r="DQ185" s="13" t="e">
        <f t="shared" si="176"/>
        <v>#NUM!</v>
      </c>
      <c r="DR185" s="20" t="e">
        <f t="shared" si="177"/>
        <v>#NUM!</v>
      </c>
      <c r="DS185" s="59" t="e">
        <f t="shared" si="125"/>
        <v>#NUM!</v>
      </c>
      <c r="DT185" s="59">
        <f ca="1">AVERAGE(OFFSET($DS$3,0,0,'Données projet'!$E$14+1,1))-AVERAGE(OFFSET($H$3,0,0,'Données projet'!$E$14+1,1))</f>
        <v>246.11623544660486</v>
      </c>
      <c r="DU185" s="59">
        <f t="shared" si="152"/>
        <v>273.18950868898253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11.231958644465259</v>
      </c>
      <c r="EB185" s="21">
        <f>EXP(-LN(2)/25)*EB184+(1-EXP(-LN(2)/25))/(LN(2)/25)*Calculateur!DW185*Calculateur!DY185*VLOOKUP('Données projet'!$B$14,Paramètres!$A$1:$I$89,3,0)*0.475*44/12</f>
        <v>1.356674493342098</v>
      </c>
      <c r="EC185" s="21">
        <f>EXP(-LN(2)/2)*EC184+(1-EXP(-LN(2)/2))/(LN(2)/2)*DW185*DZ185*VLOOKUP('Données projet'!$B$14,Paramètres!$A$1:$I$89,3,0)*0.475*44/12</f>
        <v>1.4122870801267456E-17</v>
      </c>
      <c r="ED185" s="22">
        <f t="shared" si="178"/>
        <v>12.588633137807356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5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67">
        <f t="shared" si="110"/>
        <v>183.33333333333334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-1.7053025658242404E-13</v>
      </c>
      <c r="O186" s="13">
        <f>N186*VLOOKUP('Données projet'!$B$9,Paramètres!$A$1:$I$89,3,0)*VLOOKUP('Données projet'!$B$9,Paramètres!$A$1:$I$89,5,0)</f>
        <v>-1.72917680174578E-13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538.10210778862256</v>
      </c>
      <c r="T186" s="59">
        <f t="shared" si="142"/>
        <v>399.53300632021399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58.735843568254793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58.735843568254793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-1.7053025658242404E-13</v>
      </c>
      <c r="AJ186" s="13">
        <f>AI186*VLOOKUP('Données projet'!$B$10,Paramètres!$A$1:$I$89,3,0)*VLOOKUP('Données projet'!$B$10,Paramètres!$A$1:$I$89,5,0)</f>
        <v>-1.7823822417994965E-13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552.26894123675538</v>
      </c>
      <c r="AO186" s="59">
        <f t="shared" si="144"/>
        <v>409.85604950107006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60.543100293431841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60.543100293431841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-1.1368683772161603E-13</v>
      </c>
      <c r="BE186" s="13">
        <f>BD186*VLOOKUP('Données projet'!$B$11,Paramètres!$A$1:$I$89,3,0)*VLOOKUP('Données projet'!$B$11,Paramètres!$A$1:$I$89,5,0)</f>
        <v>-1.223725121235475E-13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361.24725625563468</v>
      </c>
      <c r="BJ186" s="59">
        <f t="shared" si="146"/>
        <v>186.0840067781198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34.610913661891573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34.610913661891573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-1.7053025658242404E-13</v>
      </c>
      <c r="BZ186" s="13">
        <f>BY186*VLOOKUP('Données projet'!$B$12,Paramètres!$A$1:$I$89,3,0)*VLOOKUP('Données projet'!$B$12,Paramètres!$A$1:$I$89,5,0)</f>
        <v>-1.1439169611549005E-13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323.91378047319455</v>
      </c>
      <c r="CE186" s="59">
        <f t="shared" si="148"/>
        <v>212.89889176380288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36.605764290340787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36.605764290340787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>
        <f>CT186*VLOOKUP('Données projet'!$B$13,Paramètres!$A$1:$I$89,3,0)*VLOOKUP('Données projet'!$B$13,Paramètres!$A$1:$I$89,5,0)</f>
        <v>0</v>
      </c>
      <c r="CV186" s="13" t="e">
        <f t="shared" si="173"/>
        <v>#NUM!</v>
      </c>
      <c r="CW186" s="20" t="e">
        <f t="shared" si="174"/>
        <v>#NUM!</v>
      </c>
      <c r="CX186" s="59" t="e">
        <f t="shared" si="122"/>
        <v>#NUM!</v>
      </c>
      <c r="CY186" s="59">
        <f ca="1">AVERAGE(OFFSET($CX$3,0,0,'Données projet'!$E$13+1,1))-AVERAGE(OFFSET($H$3,0,0,'Données projet'!$E$13+1,1))</f>
        <v>356.07880667298025</v>
      </c>
      <c r="CZ186" s="59">
        <f t="shared" si="150"/>
        <v>396.05161661639659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16.049940735166839</v>
      </c>
      <c r="DG186" s="21">
        <f>EXP(-LN(2)/25)*DG185+(1-EXP(-LN(2)/25))/(LN(2)/25)*Calculateur!DB186*Calculateur!DD186*VLOOKUP('Données projet'!$B$13,Paramètres!$A$1:$I$89,3,0)*0.475*44/12</f>
        <v>1.4527883716678291</v>
      </c>
      <c r="DH186" s="21">
        <f>EXP(-LN(2)/2)*DH185+(1-EXP(-LN(2)/2))/(LN(2)/2)*DB186*DE186*VLOOKUP('Données projet'!$B$13,Paramètres!$A$1:$I$89,3,0)*0.475*44/12</f>
        <v>1.0509667887043853E-17</v>
      </c>
      <c r="DI186" s="22">
        <f t="shared" si="175"/>
        <v>17.502729106834668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>
        <f>DO186*VLOOKUP('Données projet'!$B$14,Paramètres!$A$1:$I$89,3,0)*VLOOKUP('Données projet'!$B$14,Paramètres!$A$1:$I$89,5,0)</f>
        <v>0</v>
      </c>
      <c r="DQ186" s="13" t="e">
        <f t="shared" si="176"/>
        <v>#NUM!</v>
      </c>
      <c r="DR186" s="20" t="e">
        <f t="shared" si="177"/>
        <v>#NUM!</v>
      </c>
      <c r="DS186" s="59" t="e">
        <f t="shared" si="125"/>
        <v>#NUM!</v>
      </c>
      <c r="DT186" s="59">
        <f ca="1">AVERAGE(OFFSET($DS$3,0,0,'Données projet'!$E$14+1,1))-AVERAGE(OFFSET($H$3,0,0,'Données projet'!$E$14+1,1))</f>
        <v>246.11623544660486</v>
      </c>
      <c r="DU186" s="59">
        <f t="shared" si="152"/>
        <v>273.18950868898253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11.011706786265606</v>
      </c>
      <c r="EB186" s="21">
        <f>EXP(-LN(2)/25)*EB185+(1-EXP(-LN(2)/25))/(LN(2)/25)*Calculateur!DW186*Calculateur!DY186*VLOOKUP('Données projet'!$B$14,Paramètres!$A$1:$I$89,3,0)*0.475*44/12</f>
        <v>1.3195761579772474</v>
      </c>
      <c r="EC186" s="21">
        <f>EXP(-LN(2)/2)*EC185+(1-EXP(-LN(2)/2))/(LN(2)/2)*DW186*DZ186*VLOOKUP('Données projet'!$B$14,Paramètres!$A$1:$I$89,3,0)*0.475*44/12</f>
        <v>9.9863777133977083E-18</v>
      </c>
      <c r="ED186" s="22">
        <f t="shared" si="178"/>
        <v>12.331282944242853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5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67">
        <f t="shared" si="110"/>
        <v>183.33333333333334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-1.7053025658242404E-13</v>
      </c>
      <c r="O187" s="13">
        <f>N187*VLOOKUP('Données projet'!$B$9,Paramètres!$A$1:$I$89,3,0)*VLOOKUP('Données projet'!$B$9,Paramètres!$A$1:$I$89,5,0)</f>
        <v>-1.72917680174578E-13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538.10210778862256</v>
      </c>
      <c r="T187" s="59">
        <f t="shared" si="142"/>
        <v>399.53300632021399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57.58406950120844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57.58406950120844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-1.7053025658242404E-13</v>
      </c>
      <c r="AJ187" s="13">
        <f>AI187*VLOOKUP('Données projet'!$B$10,Paramètres!$A$1:$I$89,3,0)*VLOOKUP('Données projet'!$B$10,Paramètres!$A$1:$I$89,5,0)</f>
        <v>-1.7823822417994965E-13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552.26894123675538</v>
      </c>
      <c r="AO187" s="59">
        <f t="shared" si="144"/>
        <v>409.85604950107006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59.35588702432252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59.35588702432252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-1.1368683772161603E-13</v>
      </c>
      <c r="BE187" s="13">
        <f>BD187*VLOOKUP('Données projet'!$B$11,Paramètres!$A$1:$I$89,3,0)*VLOOKUP('Données projet'!$B$11,Paramètres!$A$1:$I$89,5,0)</f>
        <v>-1.223725121235475E-13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361.24725625563468</v>
      </c>
      <c r="BJ187" s="59">
        <f t="shared" si="146"/>
        <v>186.0840067781198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33.932214755554718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33.932214755554718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-1.7053025658242404E-13</v>
      </c>
      <c r="BZ187" s="13">
        <f>BY187*VLOOKUP('Données projet'!$B$12,Paramètres!$A$1:$I$89,3,0)*VLOOKUP('Données projet'!$B$12,Paramètres!$A$1:$I$89,5,0)</f>
        <v>-1.1439169611549005E-13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323.91378047319455</v>
      </c>
      <c r="CE187" s="59">
        <f t="shared" si="148"/>
        <v>212.89889176380288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35.88794757991878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35.88794757991878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>
        <f>CT187*VLOOKUP('Données projet'!$B$13,Paramètres!$A$1:$I$89,3,0)*VLOOKUP('Données projet'!$B$13,Paramètres!$A$1:$I$89,5,0)</f>
        <v>0</v>
      </c>
      <c r="CV187" s="13" t="e">
        <f t="shared" si="173"/>
        <v>#NUM!</v>
      </c>
      <c r="CW187" s="20" t="e">
        <f t="shared" si="174"/>
        <v>#NUM!</v>
      </c>
      <c r="CX187" s="59" t="e">
        <f t="shared" si="122"/>
        <v>#NUM!</v>
      </c>
      <c r="CY187" s="59">
        <f ca="1">AVERAGE(OFFSET($CX$3,0,0,'Données projet'!$E$13+1,1))-AVERAGE(OFFSET($H$3,0,0,'Données projet'!$E$13+1,1))</f>
        <v>356.07880667298025</v>
      </c>
      <c r="CZ187" s="59">
        <f t="shared" si="150"/>
        <v>396.05161661639659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15.735211186847433</v>
      </c>
      <c r="DG187" s="21">
        <f>EXP(-LN(2)/25)*DG186+(1-EXP(-LN(2)/25))/(LN(2)/25)*Calculateur!DB187*Calculateur!DD187*VLOOKUP('Données projet'!$B$13,Paramètres!$A$1:$I$89,3,0)*0.475*44/12</f>
        <v>1.4130617972457522</v>
      </c>
      <c r="DH187" s="21">
        <f>EXP(-LN(2)/2)*DH186+(1-EXP(-LN(2)/2))/(LN(2)/2)*DB187*DE187*VLOOKUP('Données projet'!$B$13,Paramètres!$A$1:$I$89,3,0)*0.475*44/12</f>
        <v>7.4314574309472032E-18</v>
      </c>
      <c r="DI187" s="22">
        <f t="shared" si="175"/>
        <v>17.148272984093186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>
        <f>DO187*VLOOKUP('Données projet'!$B$14,Paramètres!$A$1:$I$89,3,0)*VLOOKUP('Données projet'!$B$14,Paramètres!$A$1:$I$89,5,0)</f>
        <v>0</v>
      </c>
      <c r="DQ187" s="13" t="e">
        <f t="shared" si="176"/>
        <v>#NUM!</v>
      </c>
      <c r="DR187" s="20" t="e">
        <f t="shared" si="177"/>
        <v>#NUM!</v>
      </c>
      <c r="DS187" s="59" t="e">
        <f t="shared" si="125"/>
        <v>#NUM!</v>
      </c>
      <c r="DT187" s="59">
        <f ca="1">AVERAGE(OFFSET($DS$3,0,0,'Données projet'!$E$14+1,1))-AVERAGE(OFFSET($H$3,0,0,'Données projet'!$E$14+1,1))</f>
        <v>246.11623544660486</v>
      </c>
      <c r="DU187" s="59">
        <f t="shared" si="152"/>
        <v>273.18950868898253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10.795773932664879</v>
      </c>
      <c r="EB187" s="21">
        <f>EXP(-LN(2)/25)*EB186+(1-EXP(-LN(2)/25))/(LN(2)/25)*Calculateur!DW187*Calculateur!DY187*VLOOKUP('Données projet'!$B$14,Paramètres!$A$1:$I$89,3,0)*0.475*44/12</f>
        <v>1.2834922785438654</v>
      </c>
      <c r="EC187" s="21">
        <f>EXP(-LN(2)/2)*EC186+(1-EXP(-LN(2)/2))/(LN(2)/2)*DW187*DZ187*VLOOKUP('Données projet'!$B$14,Paramètres!$A$1:$I$89,3,0)*0.475*44/12</f>
        <v>7.061435400633728E-18</v>
      </c>
      <c r="ED187" s="22">
        <f t="shared" si="178"/>
        <v>12.079266211208745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5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67">
        <f t="shared" si="110"/>
        <v>183.33333333333334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-1.7053025658242404E-13</v>
      </c>
      <c r="O188" s="13">
        <f>N188*VLOOKUP('Données projet'!$B$9,Paramètres!$A$1:$I$89,3,0)*VLOOKUP('Données projet'!$B$9,Paramètres!$A$1:$I$89,5,0)</f>
        <v>-1.72917680174578E-13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538.10210778862256</v>
      </c>
      <c r="T188" s="59">
        <f t="shared" si="142"/>
        <v>399.53300632021399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56.45488102110405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56.45488102110405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-1.7053025658242404E-13</v>
      </c>
      <c r="AJ188" s="13">
        <f>AI188*VLOOKUP('Données projet'!$B$10,Paramètres!$A$1:$I$89,3,0)*VLOOKUP('Données projet'!$B$10,Paramètres!$A$1:$I$89,5,0)</f>
        <v>-1.7823822417994965E-13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552.26894123675538</v>
      </c>
      <c r="AO188" s="59">
        <f t="shared" si="144"/>
        <v>409.85604950107006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58.191954283291842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58.191954283291842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-1.1368683772161603E-13</v>
      </c>
      <c r="BE188" s="13">
        <f>BD188*VLOOKUP('Données projet'!$B$11,Paramètres!$A$1:$I$89,3,0)*VLOOKUP('Données projet'!$B$11,Paramètres!$A$1:$I$89,5,0)</f>
        <v>-1.223725121235475E-13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361.24725625563468</v>
      </c>
      <c r="BJ188" s="59">
        <f t="shared" si="146"/>
        <v>186.0840067781198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33.266824720805673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33.266824720805673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-1.7053025658242404E-13</v>
      </c>
      <c r="BZ188" s="13">
        <f>BY188*VLOOKUP('Données projet'!$B$12,Paramètres!$A$1:$I$89,3,0)*VLOOKUP('Données projet'!$B$12,Paramètres!$A$1:$I$89,5,0)</f>
        <v>-1.1439169611549005E-13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323.91378047319455</v>
      </c>
      <c r="CE188" s="59">
        <f t="shared" si="148"/>
        <v>212.89889176380288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35.18420681736319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35.18420681736319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>
        <f>CT188*VLOOKUP('Données projet'!$B$13,Paramètres!$A$1:$I$89,3,0)*VLOOKUP('Données projet'!$B$13,Paramètres!$A$1:$I$89,5,0)</f>
        <v>0</v>
      </c>
      <c r="CV188" s="13" t="e">
        <f t="shared" si="173"/>
        <v>#NUM!</v>
      </c>
      <c r="CW188" s="20" t="e">
        <f t="shared" si="174"/>
        <v>#NUM!</v>
      </c>
      <c r="CX188" s="59" t="e">
        <f t="shared" si="122"/>
        <v>#NUM!</v>
      </c>
      <c r="CY188" s="59">
        <f ca="1">AVERAGE(OFFSET($CX$3,0,0,'Données projet'!$E$13+1,1))-AVERAGE(OFFSET($H$3,0,0,'Données projet'!$E$13+1,1))</f>
        <v>356.07880667298025</v>
      </c>
      <c r="CZ188" s="59">
        <f t="shared" si="150"/>
        <v>396.05161661639659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15.426653293004501</v>
      </c>
      <c r="DG188" s="21">
        <f>EXP(-LN(2)/25)*DG187+(1-EXP(-LN(2)/25))/(LN(2)/25)*Calculateur!DB188*Calculateur!DD188*VLOOKUP('Données projet'!$B$13,Paramètres!$A$1:$I$89,3,0)*0.475*44/12</f>
        <v>1.3744215480903768</v>
      </c>
      <c r="DH188" s="21">
        <f>EXP(-LN(2)/2)*DH187+(1-EXP(-LN(2)/2))/(LN(2)/2)*DB188*DE188*VLOOKUP('Données projet'!$B$13,Paramètres!$A$1:$I$89,3,0)*0.475*44/12</f>
        <v>5.2548339435219267E-18</v>
      </c>
      <c r="DI188" s="22">
        <f t="shared" si="175"/>
        <v>16.801074841094877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>
        <f>DO188*VLOOKUP('Données projet'!$B$14,Paramètres!$A$1:$I$89,3,0)*VLOOKUP('Données projet'!$B$14,Paramètres!$A$1:$I$89,5,0)</f>
        <v>0</v>
      </c>
      <c r="DQ188" s="13" t="e">
        <f t="shared" si="176"/>
        <v>#NUM!</v>
      </c>
      <c r="DR188" s="20" t="e">
        <f t="shared" si="177"/>
        <v>#NUM!</v>
      </c>
      <c r="DS188" s="59" t="e">
        <f t="shared" si="125"/>
        <v>#NUM!</v>
      </c>
      <c r="DT188" s="59">
        <f ca="1">AVERAGE(OFFSET($DS$3,0,0,'Données projet'!$E$14+1,1))-AVERAGE(OFFSET($H$3,0,0,'Données projet'!$E$14+1,1))</f>
        <v>246.11623544660486</v>
      </c>
      <c r="DU188" s="59">
        <f t="shared" si="152"/>
        <v>273.18950868898253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10.584075390617228</v>
      </c>
      <c r="EB188" s="21">
        <f>EXP(-LN(2)/25)*EB187+(1-EXP(-LN(2)/25))/(LN(2)/25)*Calculateur!DW188*Calculateur!DY188*VLOOKUP('Données projet'!$B$14,Paramètres!$A$1:$I$89,3,0)*0.475*44/12</f>
        <v>1.2483951146911578</v>
      </c>
      <c r="EC188" s="21">
        <f>EXP(-LN(2)/2)*EC187+(1-EXP(-LN(2)/2))/(LN(2)/2)*DW188*DZ188*VLOOKUP('Données projet'!$B$14,Paramètres!$A$1:$I$89,3,0)*0.475*44/12</f>
        <v>4.9931888566988541E-18</v>
      </c>
      <c r="ED188" s="22">
        <f t="shared" si="178"/>
        <v>11.832470505308386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5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67">
        <f t="shared" si="110"/>
        <v>183.33333333333334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-1.7053025658242404E-13</v>
      </c>
      <c r="O189" s="13">
        <f>N189*VLOOKUP('Données projet'!$B$9,Paramètres!$A$1:$I$89,3,0)*VLOOKUP('Données projet'!$B$9,Paramètres!$A$1:$I$89,5,0)</f>
        <v>-1.72917680174578E-13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538.10210778862256</v>
      </c>
      <c r="T189" s="59">
        <f t="shared" si="142"/>
        <v>399.53300632021399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55.34783523835754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55.34783523835754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-1.7053025658242404E-13</v>
      </c>
      <c r="AJ189" s="13">
        <f>AI189*VLOOKUP('Données projet'!$B$10,Paramètres!$A$1:$I$89,3,0)*VLOOKUP('Données projet'!$B$10,Paramètres!$A$1:$I$89,5,0)</f>
        <v>-1.7823822417994965E-13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552.26894123675538</v>
      </c>
      <c r="AO189" s="59">
        <f t="shared" si="144"/>
        <v>409.85604950107006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57.050845553383901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57.050845553383901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-1.1368683772161603E-13</v>
      </c>
      <c r="BE189" s="13">
        <f>BD189*VLOOKUP('Données projet'!$B$11,Paramètres!$A$1:$I$89,3,0)*VLOOKUP('Données projet'!$B$11,Paramètres!$A$1:$I$89,5,0)</f>
        <v>-1.223725121235475E-13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361.24725625563468</v>
      </c>
      <c r="BJ189" s="59">
        <f t="shared" si="146"/>
        <v>186.0840067781198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32.614482578790209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32.614482578790209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-1.7053025658242404E-13</v>
      </c>
      <c r="BZ189" s="13">
        <f>BY189*VLOOKUP('Données projet'!$B$12,Paramètres!$A$1:$I$89,3,0)*VLOOKUP('Données projet'!$B$12,Paramètres!$A$1:$I$89,5,0)</f>
        <v>-1.1439169611549005E-13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323.91378047319455</v>
      </c>
      <c r="CE189" s="59">
        <f t="shared" si="148"/>
        <v>212.89889176380288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34.494265981921835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34.494265981921835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>
        <f>CT189*VLOOKUP('Données projet'!$B$13,Paramètres!$A$1:$I$89,3,0)*VLOOKUP('Données projet'!$B$13,Paramètres!$A$1:$I$89,5,0)</f>
        <v>0</v>
      </c>
      <c r="CV189" s="13" t="e">
        <f t="shared" si="173"/>
        <v>#NUM!</v>
      </c>
      <c r="CW189" s="20" t="e">
        <f t="shared" si="174"/>
        <v>#NUM!</v>
      </c>
      <c r="CX189" s="59" t="e">
        <f t="shared" si="122"/>
        <v>#NUM!</v>
      </c>
      <c r="CY189" s="59">
        <f ca="1">AVERAGE(OFFSET($CX$3,0,0,'Données projet'!$E$13+1,1))-AVERAGE(OFFSET($H$3,0,0,'Données projet'!$E$13+1,1))</f>
        <v>356.07880667298025</v>
      </c>
      <c r="CZ189" s="59">
        <f t="shared" si="150"/>
        <v>396.05161661639659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15.124146031258096</v>
      </c>
      <c r="DG189" s="21">
        <f>EXP(-LN(2)/25)*DG188+(1-EXP(-LN(2)/25))/(LN(2)/25)*Calculateur!DB189*Calculateur!DD189*VLOOKUP('Données projet'!$B$13,Paramètres!$A$1:$I$89,3,0)*0.475*44/12</f>
        <v>1.3368379185801575</v>
      </c>
      <c r="DH189" s="21">
        <f>EXP(-LN(2)/2)*DH188+(1-EXP(-LN(2)/2))/(LN(2)/2)*DB189*DE189*VLOOKUP('Données projet'!$B$13,Paramètres!$A$1:$I$89,3,0)*0.475*44/12</f>
        <v>3.7157287154736016E-18</v>
      </c>
      <c r="DI189" s="22">
        <f t="shared" si="175"/>
        <v>16.460983949838255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>
        <f>DO189*VLOOKUP('Données projet'!$B$14,Paramètres!$A$1:$I$89,3,0)*VLOOKUP('Données projet'!$B$14,Paramètres!$A$1:$I$89,5,0)</f>
        <v>0</v>
      </c>
      <c r="DQ189" s="13" t="e">
        <f t="shared" si="176"/>
        <v>#NUM!</v>
      </c>
      <c r="DR189" s="20" t="e">
        <f t="shared" si="177"/>
        <v>#NUM!</v>
      </c>
      <c r="DS189" s="59" t="e">
        <f t="shared" si="125"/>
        <v>#NUM!</v>
      </c>
      <c r="DT189" s="59">
        <f ca="1">AVERAGE(OFFSET($DS$3,0,0,'Données projet'!$E$14+1,1))-AVERAGE(OFFSET($H$3,0,0,'Données projet'!$E$14+1,1))</f>
        <v>246.11623544660486</v>
      </c>
      <c r="DU189" s="59">
        <f t="shared" si="152"/>
        <v>273.18950868898253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10.376528127855769</v>
      </c>
      <c r="EB189" s="21">
        <f>EXP(-LN(2)/25)*EB188+(1-EXP(-LN(2)/25))/(LN(2)/25)*Calculateur!DW189*Calculateur!DY189*VLOOKUP('Données projet'!$B$14,Paramètres!$A$1:$I$89,3,0)*0.475*44/12</f>
        <v>1.2142576846296822</v>
      </c>
      <c r="EC189" s="21">
        <f>EXP(-LN(2)/2)*EC188+(1-EXP(-LN(2)/2))/(LN(2)/2)*DW189*DZ189*VLOOKUP('Données projet'!$B$14,Paramètres!$A$1:$I$89,3,0)*0.475*44/12</f>
        <v>3.530717700316864E-18</v>
      </c>
      <c r="ED189" s="22">
        <f t="shared" si="178"/>
        <v>11.590785812485452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5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67">
        <f t="shared" si="110"/>
        <v>183.33333333333334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-1.7053025658242404E-13</v>
      </c>
      <c r="O190" s="13">
        <f>N190*VLOOKUP('Données projet'!$B$9,Paramètres!$A$1:$I$89,3,0)*VLOOKUP('Données projet'!$B$9,Paramètres!$A$1:$I$89,5,0)</f>
        <v>-1.72917680174578E-13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538.10210778862256</v>
      </c>
      <c r="T190" s="59">
        <f t="shared" si="142"/>
        <v>399.53300632021399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54.262497948179437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54.262497948179437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-1.7053025658242404E-13</v>
      </c>
      <c r="AJ190" s="13">
        <f>AI190*VLOOKUP('Données projet'!$B$10,Paramètres!$A$1:$I$89,3,0)*VLOOKUP('Données projet'!$B$10,Paramètres!$A$1:$I$89,5,0)</f>
        <v>-1.7823822417994965E-13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552.26894123675538</v>
      </c>
      <c r="AO190" s="59">
        <f t="shared" si="144"/>
        <v>409.85604950107006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55.932113269661855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55.932113269661855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-1.1368683772161603E-13</v>
      </c>
      <c r="BE190" s="13">
        <f>BD190*VLOOKUP('Données projet'!$B$11,Paramètres!$A$1:$I$89,3,0)*VLOOKUP('Données projet'!$B$11,Paramètres!$A$1:$I$89,5,0)</f>
        <v>-1.223725121235475E-13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361.24725625563468</v>
      </c>
      <c r="BJ190" s="59">
        <f t="shared" si="146"/>
        <v>186.0840067781198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31.974932468290248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31.974932468290248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-1.7053025658242404E-13</v>
      </c>
      <c r="BZ190" s="13">
        <f>BY190*VLOOKUP('Données projet'!$B$12,Paramètres!$A$1:$I$89,3,0)*VLOOKUP('Données projet'!$B$12,Paramètres!$A$1:$I$89,5,0)</f>
        <v>-1.1439169611549005E-13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323.91378047319455</v>
      </c>
      <c r="CE190" s="59">
        <f t="shared" si="148"/>
        <v>212.89889176380288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33.817854465441123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33.817854465441123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>
        <f>CT190*VLOOKUP('Données projet'!$B$13,Paramètres!$A$1:$I$89,3,0)*VLOOKUP('Données projet'!$B$13,Paramètres!$A$1:$I$89,5,0)</f>
        <v>0</v>
      </c>
      <c r="CV190" s="13" t="e">
        <f t="shared" si="173"/>
        <v>#NUM!</v>
      </c>
      <c r="CW190" s="20" t="e">
        <f t="shared" si="174"/>
        <v>#NUM!</v>
      </c>
      <c r="CX190" s="59" t="e">
        <f t="shared" si="122"/>
        <v>#NUM!</v>
      </c>
      <c r="CY190" s="59">
        <f ca="1">AVERAGE(OFFSET($CX$3,0,0,'Données projet'!$E$13+1,1))-AVERAGE(OFFSET($H$3,0,0,'Données projet'!$E$13+1,1))</f>
        <v>356.07880667298025</v>
      </c>
      <c r="CZ190" s="59">
        <f t="shared" si="150"/>
        <v>396.05161661639659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14.827570752403329</v>
      </c>
      <c r="DG190" s="21">
        <f>EXP(-LN(2)/25)*DG189+(1-EXP(-LN(2)/25))/(LN(2)/25)*Calculateur!DB190*Calculateur!DD190*VLOOKUP('Données projet'!$B$13,Paramètres!$A$1:$I$89,3,0)*0.475*44/12</f>
        <v>1.3002820153953323</v>
      </c>
      <c r="DH190" s="21">
        <f>EXP(-LN(2)/2)*DH189+(1-EXP(-LN(2)/2))/(LN(2)/2)*DB190*DE190*VLOOKUP('Données projet'!$B$13,Paramètres!$A$1:$I$89,3,0)*0.475*44/12</f>
        <v>2.6274169717609634E-18</v>
      </c>
      <c r="DI190" s="22">
        <f t="shared" si="175"/>
        <v>16.127852767798661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>
        <f>DO190*VLOOKUP('Données projet'!$B$14,Paramètres!$A$1:$I$89,3,0)*VLOOKUP('Données projet'!$B$14,Paramètres!$A$1:$I$89,5,0)</f>
        <v>0</v>
      </c>
      <c r="DQ190" s="13" t="e">
        <f t="shared" si="176"/>
        <v>#NUM!</v>
      </c>
      <c r="DR190" s="20" t="e">
        <f t="shared" si="177"/>
        <v>#NUM!</v>
      </c>
      <c r="DS190" s="59" t="e">
        <f t="shared" si="125"/>
        <v>#NUM!</v>
      </c>
      <c r="DT190" s="59">
        <f ca="1">AVERAGE(OFFSET($DS$3,0,0,'Données projet'!$E$14+1,1))-AVERAGE(OFFSET($H$3,0,0,'Données projet'!$E$14+1,1))</f>
        <v>246.11623544660486</v>
      </c>
      <c r="DU190" s="59">
        <f t="shared" si="152"/>
        <v>273.18950868898253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10.173050740325733</v>
      </c>
      <c r="EB190" s="21">
        <f>EXP(-LN(2)/25)*EB189+(1-EXP(-LN(2)/25))/(LN(2)/25)*Calculateur!DW190*Calculateur!DY190*VLOOKUP('Données projet'!$B$14,Paramètres!$A$1:$I$89,3,0)*0.475*44/12</f>
        <v>1.1810537443884472</v>
      </c>
      <c r="EC190" s="21">
        <f>EXP(-LN(2)/2)*EC189+(1-EXP(-LN(2)/2))/(LN(2)/2)*DW190*DZ190*VLOOKUP('Données projet'!$B$14,Paramètres!$A$1:$I$89,3,0)*0.475*44/12</f>
        <v>2.4965944283494271E-18</v>
      </c>
      <c r="ED190" s="22">
        <f t="shared" si="178"/>
        <v>11.354104484714181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5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67">
        <f t="shared" si="110"/>
        <v>183.33333333333334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-1.7053025658242404E-13</v>
      </c>
      <c r="O191" s="13">
        <f>N191*VLOOKUP('Données projet'!$B$9,Paramètres!$A$1:$I$89,3,0)*VLOOKUP('Données projet'!$B$9,Paramètres!$A$1:$I$89,5,0)</f>
        <v>-1.72917680174578E-13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538.10210778862256</v>
      </c>
      <c r="T191" s="59">
        <f t="shared" si="142"/>
        <v>399.53300632021399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53.198443460271342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53.198443460271342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-1.7053025658242404E-13</v>
      </c>
      <c r="AJ191" s="13">
        <f>AI191*VLOOKUP('Données projet'!$B$10,Paramètres!$A$1:$I$89,3,0)*VLOOKUP('Données projet'!$B$10,Paramètres!$A$1:$I$89,5,0)</f>
        <v>-1.7823822417994965E-13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552.26894123675538</v>
      </c>
      <c r="AO191" s="59">
        <f t="shared" si="144"/>
        <v>409.85604950107006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54.83531864366428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54.83531864366428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-1.1368683772161603E-13</v>
      </c>
      <c r="BE191" s="13">
        <f>BD191*VLOOKUP('Données projet'!$B$11,Paramètres!$A$1:$I$89,3,0)*VLOOKUP('Données projet'!$B$11,Paramètres!$A$1:$I$89,5,0)</f>
        <v>-1.223725121235475E-13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361.24725625563468</v>
      </c>
      <c r="BJ191" s="59">
        <f t="shared" si="146"/>
        <v>186.0840067781198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31.347923545370143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31.347923545370143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-1.7053025658242404E-13</v>
      </c>
      <c r="BZ191" s="13">
        <f>BY191*VLOOKUP('Données projet'!$B$12,Paramètres!$A$1:$I$89,3,0)*VLOOKUP('Données projet'!$B$12,Paramètres!$A$1:$I$89,5,0)</f>
        <v>-1.1439169611549005E-13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323.91378047319455</v>
      </c>
      <c r="CE191" s="59">
        <f t="shared" si="148"/>
        <v>212.89889176380288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33.154706966228311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33.154706966228311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>
        <f>CT191*VLOOKUP('Données projet'!$B$13,Paramètres!$A$1:$I$89,3,0)*VLOOKUP('Données projet'!$B$13,Paramètres!$A$1:$I$89,5,0)</f>
        <v>0</v>
      </c>
      <c r="CV191" s="13" t="e">
        <f t="shared" si="173"/>
        <v>#NUM!</v>
      </c>
      <c r="CW191" s="20" t="e">
        <f t="shared" si="174"/>
        <v>#NUM!</v>
      </c>
      <c r="CX191" s="59" t="e">
        <f t="shared" si="122"/>
        <v>#NUM!</v>
      </c>
      <c r="CY191" s="59">
        <f ca="1">AVERAGE(OFFSET($CX$3,0,0,'Données projet'!$E$13+1,1))-AVERAGE(OFFSET($H$3,0,0,'Données projet'!$E$13+1,1))</f>
        <v>356.07880667298025</v>
      </c>
      <c r="CZ191" s="59">
        <f t="shared" si="150"/>
        <v>396.05161661639659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14.536811133873845</v>
      </c>
      <c r="DG191" s="21">
        <f>EXP(-LN(2)/25)*DG190+(1-EXP(-LN(2)/25))/(LN(2)/25)*Calculateur!DB191*Calculateur!DD191*VLOOKUP('Données projet'!$B$13,Paramètres!$A$1:$I$89,3,0)*0.475*44/12</f>
        <v>1.2647257353054875</v>
      </c>
      <c r="DH191" s="21">
        <f>EXP(-LN(2)/2)*DH190+(1-EXP(-LN(2)/2))/(LN(2)/2)*DB191*DE191*VLOOKUP('Données projet'!$B$13,Paramètres!$A$1:$I$89,3,0)*0.475*44/12</f>
        <v>1.8578643577368008E-18</v>
      </c>
      <c r="DI191" s="22">
        <f t="shared" si="175"/>
        <v>15.801536869179333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>
        <f>DO191*VLOOKUP('Données projet'!$B$14,Paramètres!$A$1:$I$89,3,0)*VLOOKUP('Données projet'!$B$14,Paramètres!$A$1:$I$89,5,0)</f>
        <v>0</v>
      </c>
      <c r="DQ191" s="13" t="e">
        <f t="shared" si="176"/>
        <v>#NUM!</v>
      </c>
      <c r="DR191" s="20" t="e">
        <f t="shared" si="177"/>
        <v>#NUM!</v>
      </c>
      <c r="DS191" s="59" t="e">
        <f t="shared" si="125"/>
        <v>#NUM!</v>
      </c>
      <c r="DT191" s="59">
        <f ca="1">AVERAGE(OFFSET($DS$3,0,0,'Données projet'!$E$14+1,1))-AVERAGE(OFFSET($H$3,0,0,'Données projet'!$E$14+1,1))</f>
        <v>246.11623544660486</v>
      </c>
      <c r="DU191" s="59">
        <f t="shared" si="152"/>
        <v>273.18950868898253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9.9735634202562089</v>
      </c>
      <c r="EB191" s="21">
        <f>EXP(-LN(2)/25)*EB190+(1-EXP(-LN(2)/25))/(LN(2)/25)*Calculateur!DW191*Calculateur!DY191*VLOOKUP('Données projet'!$B$14,Paramètres!$A$1:$I$89,3,0)*0.475*44/12</f>
        <v>1.148757767639228</v>
      </c>
      <c r="EC191" s="21">
        <f>EXP(-LN(2)/2)*EC190+(1-EXP(-LN(2)/2))/(LN(2)/2)*DW191*DZ191*VLOOKUP('Données projet'!$B$14,Paramètres!$A$1:$I$89,3,0)*0.475*44/12</f>
        <v>1.765358850158432E-18</v>
      </c>
      <c r="ED191" s="22">
        <f t="shared" si="178"/>
        <v>11.122321187895437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5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67">
        <f t="shared" si="110"/>
        <v>183.33333333333334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-1.7053025658242404E-13</v>
      </c>
      <c r="O192" s="13">
        <f>N192*VLOOKUP('Données projet'!$B$9,Paramètres!$A$1:$I$89,3,0)*VLOOKUP('Données projet'!$B$9,Paramètres!$A$1:$I$89,5,0)</f>
        <v>-1.72917680174578E-13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538.10210778862256</v>
      </c>
      <c r="T192" s="59">
        <f t="shared" si="142"/>
        <v>399.53300632021399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52.155254431861977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52.155254431861977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-1.7053025658242404E-13</v>
      </c>
      <c r="AJ192" s="13">
        <f>AI192*VLOOKUP('Données projet'!$B$10,Paramètres!$A$1:$I$89,3,0)*VLOOKUP('Données projet'!$B$10,Paramètres!$A$1:$I$89,5,0)</f>
        <v>-1.7823822417994965E-13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552.26894123675538</v>
      </c>
      <c r="AO192" s="59">
        <f t="shared" si="144"/>
        <v>409.85604950107006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53.760031491303856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53.760031491303856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-1.1368683772161603E-13</v>
      </c>
      <c r="BE192" s="13">
        <f>BD192*VLOOKUP('Données projet'!$B$11,Paramètres!$A$1:$I$89,3,0)*VLOOKUP('Données projet'!$B$11,Paramètres!$A$1:$I$89,5,0)</f>
        <v>-1.223725121235475E-13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361.24725625563468</v>
      </c>
      <c r="BJ192" s="59">
        <f t="shared" si="146"/>
        <v>186.0840067781198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30.733209884990821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30.733209884990821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-1.7053025658242404E-13</v>
      </c>
      <c r="BZ192" s="13">
        <f>BY192*VLOOKUP('Données projet'!$B$12,Paramètres!$A$1:$I$89,3,0)*VLOOKUP('Données projet'!$B$12,Paramètres!$A$1:$I$89,5,0)</f>
        <v>-1.1439169611549005E-13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323.91378047319455</v>
      </c>
      <c r="CE192" s="59">
        <f t="shared" si="148"/>
        <v>212.89889176380288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32.504563384995031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32.504563384995031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>
        <f>CT192*VLOOKUP('Données projet'!$B$13,Paramètres!$A$1:$I$89,3,0)*VLOOKUP('Données projet'!$B$13,Paramètres!$A$1:$I$89,5,0)</f>
        <v>0</v>
      </c>
      <c r="CV192" s="13" t="e">
        <f t="shared" si="173"/>
        <v>#NUM!</v>
      </c>
      <c r="CW192" s="20" t="e">
        <f t="shared" si="174"/>
        <v>#NUM!</v>
      </c>
      <c r="CX192" s="59" t="e">
        <f t="shared" si="122"/>
        <v>#NUM!</v>
      </c>
      <c r="CY192" s="59">
        <f ca="1">AVERAGE(OFFSET($CX$3,0,0,'Données projet'!$E$13+1,1))-AVERAGE(OFFSET($H$3,0,0,'Données projet'!$E$13+1,1))</f>
        <v>356.07880667298025</v>
      </c>
      <c r="CZ192" s="59">
        <f t="shared" si="150"/>
        <v>396.05161661639659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14.25175313411787</v>
      </c>
      <c r="DG192" s="21">
        <f>EXP(-LN(2)/25)*DG191+(1-EXP(-LN(2)/25))/(LN(2)/25)*Calculateur!DB192*Calculateur!DD192*VLOOKUP('Données projet'!$B$13,Paramètres!$A$1:$I$89,3,0)*0.475*44/12</f>
        <v>1.230141743564523</v>
      </c>
      <c r="DH192" s="21">
        <f>EXP(-LN(2)/2)*DH191+(1-EXP(-LN(2)/2))/(LN(2)/2)*DB192*DE192*VLOOKUP('Données projet'!$B$13,Paramètres!$A$1:$I$89,3,0)*0.475*44/12</f>
        <v>1.3137084858804817E-18</v>
      </c>
      <c r="DI192" s="22">
        <f t="shared" si="175"/>
        <v>15.481894877682393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>
        <f>DO192*VLOOKUP('Données projet'!$B$14,Paramètres!$A$1:$I$89,3,0)*VLOOKUP('Données projet'!$B$14,Paramètres!$A$1:$I$89,5,0)</f>
        <v>0</v>
      </c>
      <c r="DQ192" s="13" t="e">
        <f t="shared" si="176"/>
        <v>#NUM!</v>
      </c>
      <c r="DR192" s="20" t="e">
        <f t="shared" si="177"/>
        <v>#NUM!</v>
      </c>
      <c r="DS192" s="59" t="e">
        <f t="shared" si="125"/>
        <v>#NUM!</v>
      </c>
      <c r="DT192" s="59">
        <f ca="1">AVERAGE(OFFSET($DS$3,0,0,'Données projet'!$E$14+1,1))-AVERAGE(OFFSET($H$3,0,0,'Données projet'!$E$14+1,1))</f>
        <v>246.11623544660486</v>
      </c>
      <c r="DU192" s="59">
        <f t="shared" si="152"/>
        <v>273.18950868898253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9.7779879248579977</v>
      </c>
      <c r="EB192" s="21">
        <f>EXP(-LN(2)/25)*EB191+(1-EXP(-LN(2)/25))/(LN(2)/25)*Calculateur!DW192*Calculateur!DY192*VLOOKUP('Données projet'!$B$14,Paramètres!$A$1:$I$89,3,0)*0.475*44/12</f>
        <v>1.1173449260725878</v>
      </c>
      <c r="EC192" s="21">
        <f>EXP(-LN(2)/2)*EC191+(1-EXP(-LN(2)/2))/(LN(2)/2)*DW192*DZ192*VLOOKUP('Données projet'!$B$14,Paramètres!$A$1:$I$89,3,0)*0.475*44/12</f>
        <v>1.2482972141747135E-18</v>
      </c>
      <c r="ED192" s="22">
        <f t="shared" si="178"/>
        <v>10.895332850930586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5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67">
        <f t="shared" si="110"/>
        <v>183.33333333333334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-1.7053025658242404E-13</v>
      </c>
      <c r="O193" s="13">
        <f>N193*VLOOKUP('Données projet'!$B$9,Paramètres!$A$1:$I$89,3,0)*VLOOKUP('Données projet'!$B$9,Paramètres!$A$1:$I$89,5,0)</f>
        <v>-1.72917680174578E-13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538.10210778862256</v>
      </c>
      <c r="T193" s="59">
        <f t="shared" si="142"/>
        <v>399.53300632021399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51.132521704017236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51.132521704017236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-1.7053025658242404E-13</v>
      </c>
      <c r="AJ193" s="13">
        <f>AI193*VLOOKUP('Données projet'!$B$10,Paramètres!$A$1:$I$89,3,0)*VLOOKUP('Données projet'!$B$10,Paramètres!$A$1:$I$89,5,0)</f>
        <v>-1.7823822417994965E-13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552.26894123675538</v>
      </c>
      <c r="AO193" s="59">
        <f t="shared" si="144"/>
        <v>409.85604950107006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52.705830064140812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52.705830064140812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-1.1368683772161603E-13</v>
      </c>
      <c r="BE193" s="13">
        <f>BD193*VLOOKUP('Données projet'!$B$11,Paramètres!$A$1:$I$89,3,0)*VLOOKUP('Données projet'!$B$11,Paramètres!$A$1:$I$89,5,0)</f>
        <v>-1.223725121235475E-13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361.24725625563468</v>
      </c>
      <c r="BJ193" s="59">
        <f t="shared" si="146"/>
        <v>186.0840067781198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30.130550384553224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30.130550384553224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-1.7053025658242404E-13</v>
      </c>
      <c r="BZ193" s="13">
        <f>BY193*VLOOKUP('Données projet'!$B$12,Paramètres!$A$1:$I$89,3,0)*VLOOKUP('Données projet'!$B$12,Paramètres!$A$1:$I$89,5,0)</f>
        <v>-1.1439169611549005E-13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323.91378047319455</v>
      </c>
      <c r="CE193" s="59">
        <f t="shared" si="148"/>
        <v>212.89889176380288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31.867168722841306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31.867168722841306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>
        <f>CT193*VLOOKUP('Données projet'!$B$13,Paramètres!$A$1:$I$89,3,0)*VLOOKUP('Données projet'!$B$13,Paramètres!$A$1:$I$89,5,0)</f>
        <v>0</v>
      </c>
      <c r="CV193" s="13" t="e">
        <f t="shared" si="173"/>
        <v>#NUM!</v>
      </c>
      <c r="CW193" s="20" t="e">
        <f t="shared" si="174"/>
        <v>#NUM!</v>
      </c>
      <c r="CX193" s="59" t="e">
        <f t="shared" si="122"/>
        <v>#NUM!</v>
      </c>
      <c r="CY193" s="59">
        <f ca="1">AVERAGE(OFFSET($CX$3,0,0,'Données projet'!$E$13+1,1))-AVERAGE(OFFSET($H$3,0,0,'Données projet'!$E$13+1,1))</f>
        <v>356.07880667298025</v>
      </c>
      <c r="CZ193" s="59">
        <f t="shared" si="150"/>
        <v>396.05161661639659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13.972284947868896</v>
      </c>
      <c r="DG193" s="21">
        <f>EXP(-LN(2)/25)*DG192+(1-EXP(-LN(2)/25))/(LN(2)/25)*Calculateur!DB193*Calculateur!DD193*VLOOKUP('Données projet'!$B$13,Paramètres!$A$1:$I$89,3,0)*0.475*44/12</f>
        <v>1.1965034528964082</v>
      </c>
      <c r="DH193" s="21">
        <f>EXP(-LN(2)/2)*DH192+(1-EXP(-LN(2)/2))/(LN(2)/2)*DB193*DE193*VLOOKUP('Données projet'!$B$13,Paramètres!$A$1:$I$89,3,0)*0.475*44/12</f>
        <v>9.289321788684004E-19</v>
      </c>
      <c r="DI193" s="22">
        <f t="shared" si="175"/>
        <v>15.168788400765305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>
        <f>DO193*VLOOKUP('Données projet'!$B$14,Paramètres!$A$1:$I$89,3,0)*VLOOKUP('Données projet'!$B$14,Paramètres!$A$1:$I$89,5,0)</f>
        <v>0</v>
      </c>
      <c r="DQ193" s="13" t="e">
        <f t="shared" si="176"/>
        <v>#NUM!</v>
      </c>
      <c r="DR193" s="20" t="e">
        <f t="shared" si="177"/>
        <v>#NUM!</v>
      </c>
      <c r="DS193" s="59" t="e">
        <f t="shared" si="125"/>
        <v>#NUM!</v>
      </c>
      <c r="DT193" s="59">
        <f ca="1">AVERAGE(OFFSET($DS$3,0,0,'Données projet'!$E$14+1,1))-AVERAGE(OFFSET($H$3,0,0,'Données projet'!$E$14+1,1))</f>
        <v>246.11623544660486</v>
      </c>
      <c r="DU193" s="59">
        <f t="shared" si="152"/>
        <v>273.18950868898253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9.5862475456352723</v>
      </c>
      <c r="EB193" s="21">
        <f>EXP(-LN(2)/25)*EB192+(1-EXP(-LN(2)/25))/(LN(2)/25)*Calculateur!DW193*Calculateur!DY193*VLOOKUP('Données projet'!$B$14,Paramètres!$A$1:$I$89,3,0)*0.475*44/12</f>
        <v>1.086791070310517</v>
      </c>
      <c r="EC193" s="21">
        <f>EXP(-LN(2)/2)*EC192+(1-EXP(-LN(2)/2))/(LN(2)/2)*DW193*DZ193*VLOOKUP('Données projet'!$B$14,Paramètres!$A$1:$I$89,3,0)*0.475*44/12</f>
        <v>8.82679425079216E-19</v>
      </c>
      <c r="ED193" s="22">
        <f t="shared" si="178"/>
        <v>10.673038615945789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5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67">
        <f t="shared" si="110"/>
        <v>183.33333333333334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-1.7053025658242404E-13</v>
      </c>
      <c r="O194" s="13">
        <f>N194*VLOOKUP('Données projet'!$B$9,Paramètres!$A$1:$I$89,3,0)*VLOOKUP('Données projet'!$B$9,Paramètres!$A$1:$I$89,5,0)</f>
        <v>-1.72917680174578E-13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538.10210778862256</v>
      </c>
      <c r="T194" s="59">
        <f t="shared" si="142"/>
        <v>399.53300632021399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50.129844141160163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50.129844141160163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-1.7053025658242404E-13</v>
      </c>
      <c r="AJ194" s="13">
        <f>AI194*VLOOKUP('Données projet'!$B$10,Paramètres!$A$1:$I$89,3,0)*VLOOKUP('Données projet'!$B$10,Paramètres!$A$1:$I$89,5,0)</f>
        <v>-1.7823822417994965E-13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552.26894123675538</v>
      </c>
      <c r="AO194" s="59">
        <f t="shared" si="144"/>
        <v>409.85604950107006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51.672300883965057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51.672300883965057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-1.1368683772161603E-13</v>
      </c>
      <c r="BE194" s="13">
        <f>BD194*VLOOKUP('Données projet'!$B$11,Paramètres!$A$1:$I$89,3,0)*VLOOKUP('Données projet'!$B$11,Paramètres!$A$1:$I$89,5,0)</f>
        <v>-1.223725121235475E-13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361.24725625563468</v>
      </c>
      <c r="BJ194" s="59">
        <f t="shared" si="146"/>
        <v>186.0840067781198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29.539708669333212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29.539708669333212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-1.7053025658242404E-13</v>
      </c>
      <c r="BZ194" s="13">
        <f>BY194*VLOOKUP('Données projet'!$B$12,Paramètres!$A$1:$I$89,3,0)*VLOOKUP('Données projet'!$B$12,Paramètres!$A$1:$I$89,5,0)</f>
        <v>-1.1439169611549005E-13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323.91378047319455</v>
      </c>
      <c r="CE194" s="59">
        <f t="shared" si="148"/>
        <v>212.89889176380288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31.24227298124006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31.24227298124006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>
        <f>CT194*VLOOKUP('Données projet'!$B$13,Paramètres!$A$1:$I$89,3,0)*VLOOKUP('Données projet'!$B$13,Paramètres!$A$1:$I$89,5,0)</f>
        <v>0</v>
      </c>
      <c r="CV194" s="13" t="e">
        <f t="shared" si="173"/>
        <v>#NUM!</v>
      </c>
      <c r="CW194" s="20" t="e">
        <f t="shared" si="174"/>
        <v>#NUM!</v>
      </c>
      <c r="CX194" s="59" t="e">
        <f t="shared" si="122"/>
        <v>#NUM!</v>
      </c>
      <c r="CY194" s="59">
        <f ca="1">AVERAGE(OFFSET($CX$3,0,0,'Données projet'!$E$13+1,1))-AVERAGE(OFFSET($H$3,0,0,'Données projet'!$E$13+1,1))</f>
        <v>356.07880667298025</v>
      </c>
      <c r="CZ194" s="59">
        <f t="shared" si="150"/>
        <v>396.05161661639659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13.698296962293503</v>
      </c>
      <c r="DG194" s="21">
        <f>EXP(-LN(2)/25)*DG193+(1-EXP(-LN(2)/25))/(LN(2)/25)*Calculateur!DB194*Calculateur!DD194*VLOOKUP('Données projet'!$B$13,Paramètres!$A$1:$I$89,3,0)*0.475*44/12</f>
        <v>1.1637850030555741</v>
      </c>
      <c r="DH194" s="21">
        <f>EXP(-LN(2)/2)*DH193+(1-EXP(-LN(2)/2))/(LN(2)/2)*DB194*DE194*VLOOKUP('Données projet'!$B$13,Paramètres!$A$1:$I$89,3,0)*0.475*44/12</f>
        <v>6.5685424294024084E-19</v>
      </c>
      <c r="DI194" s="22">
        <f t="shared" si="175"/>
        <v>14.862081965349077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>
        <f>DO194*VLOOKUP('Données projet'!$B$14,Paramètres!$A$1:$I$89,3,0)*VLOOKUP('Données projet'!$B$14,Paramètres!$A$1:$I$89,5,0)</f>
        <v>0</v>
      </c>
      <c r="DQ194" s="13" t="e">
        <f t="shared" si="176"/>
        <v>#NUM!</v>
      </c>
      <c r="DR194" s="20" t="e">
        <f t="shared" si="177"/>
        <v>#NUM!</v>
      </c>
      <c r="DS194" s="59" t="e">
        <f t="shared" si="125"/>
        <v>#NUM!</v>
      </c>
      <c r="DT194" s="59">
        <f ca="1">AVERAGE(OFFSET($DS$3,0,0,'Données projet'!$E$14+1,1))-AVERAGE(OFFSET($H$3,0,0,'Données projet'!$E$14+1,1))</f>
        <v>246.11623544660486</v>
      </c>
      <c r="DU194" s="59">
        <f t="shared" si="152"/>
        <v>273.18950868898253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9.3982670782990212</v>
      </c>
      <c r="EB194" s="21">
        <f>EXP(-LN(2)/25)*EB193+(1-EXP(-LN(2)/25))/(LN(2)/25)*Calculateur!DW194*Calculateur!DY194*VLOOKUP('Données projet'!$B$14,Paramètres!$A$1:$I$89,3,0)*0.475*44/12</f>
        <v>1.0570727113410174</v>
      </c>
      <c r="EC194" s="21">
        <f>EXP(-LN(2)/2)*EC193+(1-EXP(-LN(2)/2))/(LN(2)/2)*DW194*DZ194*VLOOKUP('Données projet'!$B$14,Paramètres!$A$1:$I$89,3,0)*0.475*44/12</f>
        <v>6.2414860708735677E-19</v>
      </c>
      <c r="ED194" s="22">
        <f t="shared" si="178"/>
        <v>10.455339789640039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5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67">
        <f t="shared" si="110"/>
        <v>183.33333333333334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-1.7053025658242404E-13</v>
      </c>
      <c r="O195" s="13">
        <f>N195*VLOOKUP('Données projet'!$B$9,Paramètres!$A$1:$I$89,3,0)*VLOOKUP('Données projet'!$B$9,Paramètres!$A$1:$I$89,5,0)</f>
        <v>-1.72917680174578E-13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538.10210778862256</v>
      </c>
      <c r="T195" s="59">
        <f t="shared" si="142"/>
        <v>399.53300632021399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49.146828473737791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49.146828473737791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-1.7053025658242404E-13</v>
      </c>
      <c r="AJ195" s="13">
        <f>AI195*VLOOKUP('Données projet'!$B$10,Paramètres!$A$1:$I$89,3,0)*VLOOKUP('Données projet'!$B$10,Paramètres!$A$1:$I$89,5,0)</f>
        <v>-1.7823822417994965E-13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552.26894123675538</v>
      </c>
      <c r="AO195" s="59">
        <f t="shared" si="144"/>
        <v>409.85604950107006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50.659038580621996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50.659038580621996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-1.1368683772161603E-13</v>
      </c>
      <c r="BE195" s="13">
        <f>BD195*VLOOKUP('Données projet'!$B$11,Paramètres!$A$1:$I$89,3,0)*VLOOKUP('Données projet'!$B$11,Paramètres!$A$1:$I$89,5,0)</f>
        <v>-1.223725121235475E-13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361.24725625563468</v>
      </c>
      <c r="BJ195" s="59">
        <f t="shared" si="146"/>
        <v>186.0840067781198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28.960452999770801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28.960452999770801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-1.7053025658242404E-13</v>
      </c>
      <c r="BZ195" s="13">
        <f>BY195*VLOOKUP('Données projet'!$B$12,Paramètres!$A$1:$I$89,3,0)*VLOOKUP('Données projet'!$B$12,Paramètres!$A$1:$I$89,5,0)</f>
        <v>-1.1439169611549005E-13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323.91378047319455</v>
      </c>
      <c r="CE195" s="59">
        <f t="shared" si="148"/>
        <v>212.89889176380288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30.629631063982846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30.629631063982846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>
        <f>CT195*VLOOKUP('Données projet'!$B$13,Paramètres!$A$1:$I$89,3,0)*VLOOKUP('Données projet'!$B$13,Paramètres!$A$1:$I$89,5,0)</f>
        <v>0</v>
      </c>
      <c r="CV195" s="13" t="e">
        <f t="shared" si="173"/>
        <v>#NUM!</v>
      </c>
      <c r="CW195" s="20" t="e">
        <f t="shared" si="174"/>
        <v>#NUM!</v>
      </c>
      <c r="CX195" s="59" t="e">
        <f t="shared" si="122"/>
        <v>#NUM!</v>
      </c>
      <c r="CY195" s="59">
        <f ca="1">AVERAGE(OFFSET($CX$3,0,0,'Données projet'!$E$13+1,1))-AVERAGE(OFFSET($H$3,0,0,'Données projet'!$E$13+1,1))</f>
        <v>356.07880667298025</v>
      </c>
      <c r="CZ195" s="59">
        <f t="shared" si="150"/>
        <v>396.05161661639659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13.429681713999074</v>
      </c>
      <c r="DG195" s="21">
        <f>EXP(-LN(2)/25)*DG194+(1-EXP(-LN(2)/25))/(LN(2)/25)*Calculateur!DB195*Calculateur!DD195*VLOOKUP('Données projet'!$B$13,Paramètres!$A$1:$I$89,3,0)*0.475*44/12</f>
        <v>1.1319612409462261</v>
      </c>
      <c r="DH195" s="21">
        <f>EXP(-LN(2)/2)*DH194+(1-EXP(-LN(2)/2))/(LN(2)/2)*DB195*DE195*VLOOKUP('Données projet'!$B$13,Paramètres!$A$1:$I$89,3,0)*0.475*44/12</f>
        <v>4.644660894342002E-19</v>
      </c>
      <c r="DI195" s="22">
        <f t="shared" si="175"/>
        <v>14.561642954945299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>
        <f>DO195*VLOOKUP('Données projet'!$B$14,Paramètres!$A$1:$I$89,3,0)*VLOOKUP('Données projet'!$B$14,Paramètres!$A$1:$I$89,5,0)</f>
        <v>0</v>
      </c>
      <c r="DQ195" s="13" t="e">
        <f t="shared" si="176"/>
        <v>#NUM!</v>
      </c>
      <c r="DR195" s="20" t="e">
        <f t="shared" si="177"/>
        <v>#NUM!</v>
      </c>
      <c r="DS195" s="59" t="e">
        <f t="shared" si="125"/>
        <v>#NUM!</v>
      </c>
      <c r="DT195" s="59">
        <f ca="1">AVERAGE(OFFSET($DS$3,0,0,'Données projet'!$E$14+1,1))-AVERAGE(OFFSET($H$3,0,0,'Données projet'!$E$14+1,1))</f>
        <v>246.11623544660486</v>
      </c>
      <c r="DU195" s="59">
        <f t="shared" si="152"/>
        <v>273.18950868898253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9.2139727932704698</v>
      </c>
      <c r="EB195" s="21">
        <f>EXP(-LN(2)/25)*EB194+(1-EXP(-LN(2)/25))/(LN(2)/25)*Calculateur!DW195*Calculateur!DY195*VLOOKUP('Données projet'!$B$14,Paramètres!$A$1:$I$89,3,0)*0.475*44/12</f>
        <v>1.0281670024603593</v>
      </c>
      <c r="EC195" s="21">
        <f>EXP(-LN(2)/2)*EC194+(1-EXP(-LN(2)/2))/(LN(2)/2)*DW195*DZ195*VLOOKUP('Données projet'!$B$14,Paramètres!$A$1:$I$89,3,0)*0.475*44/12</f>
        <v>4.41339712539608E-19</v>
      </c>
      <c r="ED195" s="22">
        <f t="shared" si="178"/>
        <v>10.242139795730829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5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67">
        <f t="shared" ref="H196:H203" si="192">(B196+E196+F196)*44/12+(C196+D196)*0.475*44/12</f>
        <v>183.33333333333334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-1.7053025658242404E-13</v>
      </c>
      <c r="O196" s="13">
        <f>N196*VLOOKUP('Données projet'!$B$9,Paramètres!$A$1:$I$89,3,0)*VLOOKUP('Données projet'!$B$9,Paramètres!$A$1:$I$89,5,0)</f>
        <v>-1.72917680174578E-13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538.10210778862256</v>
      </c>
      <c r="T196" s="59">
        <f t="shared" si="142"/>
        <v>399.53300632021399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48.18308914397322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48.18308914397322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-1.7053025658242404E-13</v>
      </c>
      <c r="AJ196" s="13">
        <f>AI196*VLOOKUP('Données projet'!$B$10,Paramètres!$A$1:$I$89,3,0)*VLOOKUP('Données projet'!$B$10,Paramètres!$A$1:$I$89,5,0)</f>
        <v>-1.7823822417994965E-13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552.26894123675538</v>
      </c>
      <c r="AO196" s="59">
        <f t="shared" si="144"/>
        <v>409.85604950107006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49.665645733018515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49.665645733018515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-1.1368683772161603E-13</v>
      </c>
      <c r="BE196" s="13">
        <f>BD196*VLOOKUP('Données projet'!$B$11,Paramètres!$A$1:$I$89,3,0)*VLOOKUP('Données projet'!$B$11,Paramètres!$A$1:$I$89,5,0)</f>
        <v>-1.223725121235475E-13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361.24725625563468</v>
      </c>
      <c r="BJ196" s="59">
        <f t="shared" si="146"/>
        <v>186.0840067781198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28.392556180577436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28.392556180577436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-1.7053025658242404E-13</v>
      </c>
      <c r="BZ196" s="13">
        <f>BY196*VLOOKUP('Données projet'!$B$12,Paramètres!$A$1:$I$89,3,0)*VLOOKUP('Données projet'!$B$12,Paramètres!$A$1:$I$89,5,0)</f>
        <v>-1.1439169611549005E-13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323.91378047319455</v>
      </c>
      <c r="CE196" s="59">
        <f t="shared" si="148"/>
        <v>212.89889176380288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30.029002681048375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30.029002681048375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>
        <f>CT196*VLOOKUP('Données projet'!$B$13,Paramètres!$A$1:$I$89,3,0)*VLOOKUP('Données projet'!$B$13,Paramètres!$A$1:$I$89,5,0)</f>
        <v>0</v>
      </c>
      <c r="CV196" s="13" t="e">
        <f t="shared" si="173"/>
        <v>#NUM!</v>
      </c>
      <c r="CW196" s="20" t="e">
        <f t="shared" si="174"/>
        <v>#NUM!</v>
      </c>
      <c r="CX196" s="59" t="e">
        <f t="shared" ref="CX196:CX203" si="196">CW196+(CO196+CP196)*44/12</f>
        <v>#NUM!</v>
      </c>
      <c r="CY196" s="59">
        <f ca="1">AVERAGE(OFFSET($CX$3,0,0,'Données projet'!$E$13+1,1))-AVERAGE(OFFSET($H$3,0,0,'Données projet'!$E$13+1,1))</f>
        <v>356.07880667298025</v>
      </c>
      <c r="CZ196" s="59">
        <f t="shared" si="150"/>
        <v>396.05161661639659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13.166333846884575</v>
      </c>
      <c r="DG196" s="21">
        <f>EXP(-LN(2)/25)*DG195+(1-EXP(-LN(2)/25))/(LN(2)/25)*Calculateur!DB196*Calculateur!DD196*VLOOKUP('Données projet'!$B$13,Paramètres!$A$1:$I$89,3,0)*0.475*44/12</f>
        <v>1.101007701285297</v>
      </c>
      <c r="DH196" s="21">
        <f>EXP(-LN(2)/2)*DH195+(1-EXP(-LN(2)/2))/(LN(2)/2)*DB196*DE196*VLOOKUP('Données projet'!$B$13,Paramètres!$A$1:$I$89,3,0)*0.475*44/12</f>
        <v>3.2842712147012042E-19</v>
      </c>
      <c r="DI196" s="22">
        <f t="shared" si="175"/>
        <v>14.267341548169872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>
        <f>DO196*VLOOKUP('Données projet'!$B$14,Paramètres!$A$1:$I$89,3,0)*VLOOKUP('Données projet'!$B$14,Paramètres!$A$1:$I$89,5,0)</f>
        <v>0</v>
      </c>
      <c r="DQ196" s="13" t="e">
        <f t="shared" si="176"/>
        <v>#NUM!</v>
      </c>
      <c r="DR196" s="20" t="e">
        <f t="shared" si="177"/>
        <v>#NUM!</v>
      </c>
      <c r="DS196" s="59" t="e">
        <f t="shared" ref="DS196:DS203" si="197">DR196+(DJ196+DK196)*44/12</f>
        <v>#NUM!</v>
      </c>
      <c r="DT196" s="59">
        <f ca="1">AVERAGE(OFFSET($DS$3,0,0,'Données projet'!$E$14+1,1))-AVERAGE(OFFSET($H$3,0,0,'Données projet'!$E$14+1,1))</f>
        <v>246.11623544660486</v>
      </c>
      <c r="DU196" s="59">
        <f t="shared" si="152"/>
        <v>273.18950868898253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9.0332924067629143</v>
      </c>
      <c r="EB196" s="21">
        <f>EXP(-LN(2)/25)*EB195+(1-EXP(-LN(2)/25))/(LN(2)/25)*Calculateur!DW196*Calculateur!DY196*VLOOKUP('Données projet'!$B$14,Paramètres!$A$1:$I$89,3,0)*0.475*44/12</f>
        <v>1.000051721709128</v>
      </c>
      <c r="EC196" s="21">
        <f>EXP(-LN(2)/2)*EC195+(1-EXP(-LN(2)/2))/(LN(2)/2)*DW196*DZ196*VLOOKUP('Données projet'!$B$14,Paramètres!$A$1:$I$89,3,0)*0.475*44/12</f>
        <v>3.1207430354367838E-19</v>
      </c>
      <c r="ED196" s="22">
        <f t="shared" si="178"/>
        <v>10.033344128472041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5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67">
        <f t="shared" si="192"/>
        <v>183.33333333333334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-1.7053025658242404E-13</v>
      </c>
      <c r="O197" s="13">
        <f>N197*VLOOKUP('Données projet'!$B$9,Paramètres!$A$1:$I$89,3,0)*VLOOKUP('Données projet'!$B$9,Paramètres!$A$1:$I$89,5,0)</f>
        <v>-1.72917680174578E-13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538.10210778862256</v>
      </c>
      <c r="T197" s="59">
        <f t="shared" ref="T197:T203" si="204">$T$3</f>
        <v>399.53300632021399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47.238248154642385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47.238248154642385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-1.7053025658242404E-13</v>
      </c>
      <c r="AJ197" s="13">
        <f>AI197*VLOOKUP('Données projet'!$B$10,Paramètres!$A$1:$I$89,3,0)*VLOOKUP('Données projet'!$B$10,Paramètres!$A$1:$I$89,5,0)</f>
        <v>-1.7823822417994965E-13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552.26894123675538</v>
      </c>
      <c r="AO197" s="59">
        <f t="shared" ref="AO197:AO203" si="205">$AO$3</f>
        <v>409.85604950107006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48.691732713246729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48.691732713246729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-1.1368683772161603E-13</v>
      </c>
      <c r="BE197" s="13">
        <f>BD197*VLOOKUP('Données projet'!$B$11,Paramètres!$A$1:$I$89,3,0)*VLOOKUP('Données projet'!$B$11,Paramètres!$A$1:$I$89,5,0)</f>
        <v>-1.223725121235475E-13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361.24725625563468</v>
      </c>
      <c r="BJ197" s="59">
        <f t="shared" ref="BJ197:BJ203" si="206">$BJ$3</f>
        <v>186.0840067781198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27.835795471625598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27.835795471625598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-1.7053025658242404E-13</v>
      </c>
      <c r="BZ197" s="13">
        <f>BY197*VLOOKUP('Données projet'!$B$12,Paramètres!$A$1:$I$89,3,0)*VLOOKUP('Données projet'!$B$12,Paramètres!$A$1:$I$89,5,0)</f>
        <v>-1.1439169611549005E-13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323.91378047319455</v>
      </c>
      <c r="CE197" s="59">
        <f t="shared" ref="CE197:CE203" si="207">$CE$3</f>
        <v>212.89889176380288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29.440152254356107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29.440152254356107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>
        <f>CT197*VLOOKUP('Données projet'!$B$13,Paramètres!$A$1:$I$89,3,0)*VLOOKUP('Données projet'!$B$13,Paramètres!$A$1:$I$89,5,0)</f>
        <v>0</v>
      </c>
      <c r="CV197" s="13" t="e">
        <f t="shared" si="173"/>
        <v>#NUM!</v>
      </c>
      <c r="CW197" s="20" t="e">
        <f t="shared" si="174"/>
        <v>#NUM!</v>
      </c>
      <c r="CX197" s="59" t="e">
        <f t="shared" si="196"/>
        <v>#NUM!</v>
      </c>
      <c r="CY197" s="59">
        <f ca="1">AVERAGE(OFFSET($CX$3,0,0,'Données projet'!$E$13+1,1))-AVERAGE(OFFSET($H$3,0,0,'Données projet'!$E$13+1,1))</f>
        <v>356.07880667298025</v>
      </c>
      <c r="CZ197" s="59">
        <f t="shared" ref="CZ197:CZ203" si="208">$CZ$3</f>
        <v>396.05161661639659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12.908150070817852</v>
      </c>
      <c r="DG197" s="21">
        <f>EXP(-LN(2)/25)*DG196+(1-EXP(-LN(2)/25))/(LN(2)/25)*Calculateur!DB197*Calculateur!DD197*VLOOKUP('Données projet'!$B$13,Paramètres!$A$1:$I$89,3,0)*0.475*44/12</f>
        <v>1.070900587794172</v>
      </c>
      <c r="DH197" s="21">
        <f>EXP(-LN(2)/2)*DH196+(1-EXP(-LN(2)/2))/(LN(2)/2)*DB197*DE197*VLOOKUP('Données projet'!$B$13,Paramètres!$A$1:$I$89,3,0)*0.475*44/12</f>
        <v>2.322330447171001E-19</v>
      </c>
      <c r="DI197" s="22">
        <f t="shared" si="175"/>
        <v>13.979050658612024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>
        <f>DO197*VLOOKUP('Données projet'!$B$14,Paramètres!$A$1:$I$89,3,0)*VLOOKUP('Données projet'!$B$14,Paramètres!$A$1:$I$89,5,0)</f>
        <v>0</v>
      </c>
      <c r="DQ197" s="13" t="e">
        <f t="shared" si="176"/>
        <v>#NUM!</v>
      </c>
      <c r="DR197" s="20" t="e">
        <f t="shared" si="177"/>
        <v>#NUM!</v>
      </c>
      <c r="DS197" s="59" t="e">
        <f t="shared" si="197"/>
        <v>#NUM!</v>
      </c>
      <c r="DT197" s="59">
        <f ca="1">AVERAGE(OFFSET($DS$3,0,0,'Données projet'!$E$14+1,1))-AVERAGE(OFFSET($H$3,0,0,'Données projet'!$E$14+1,1))</f>
        <v>246.11623544660486</v>
      </c>
      <c r="DU197" s="59">
        <f t="shared" ref="DU197:DU203" si="209">$DU$3</f>
        <v>273.18950868898253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8.8561550524306174</v>
      </c>
      <c r="EB197" s="21">
        <f>EXP(-LN(2)/25)*EB196+(1-EXP(-LN(2)/25))/(LN(2)/25)*Calculateur!DW197*Calculateur!DY197*VLOOKUP('Données projet'!$B$14,Paramètres!$A$1:$I$89,3,0)*0.475*44/12</f>
        <v>0.97270525478855752</v>
      </c>
      <c r="EC197" s="21">
        <f>EXP(-LN(2)/2)*EC196+(1-EXP(-LN(2)/2))/(LN(2)/2)*DW197*DZ197*VLOOKUP('Données projet'!$B$14,Paramètres!$A$1:$I$89,3,0)*0.475*44/12</f>
        <v>2.20669856269804E-19</v>
      </c>
      <c r="ED197" s="22">
        <f t="shared" si="178"/>
        <v>9.8288603072191751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5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67">
        <f t="shared" si="192"/>
        <v>183.33333333333334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-1.7053025658242404E-13</v>
      </c>
      <c r="O198" s="13">
        <f>N198*VLOOKUP('Données projet'!$B$9,Paramètres!$A$1:$I$89,3,0)*VLOOKUP('Données projet'!$B$9,Paramètres!$A$1:$I$89,5,0)</f>
        <v>-1.72917680174578E-13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538.10210778862256</v>
      </c>
      <c r="T198" s="59">
        <f t="shared" si="204"/>
        <v>399.53300632021399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46.311934920816228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46.311934920816228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-1.7053025658242404E-13</v>
      </c>
      <c r="AJ198" s="13">
        <f>AI198*VLOOKUP('Données projet'!$B$10,Paramètres!$A$1:$I$89,3,0)*VLOOKUP('Données projet'!$B$10,Paramètres!$A$1:$I$89,5,0)</f>
        <v>-1.7823822417994965E-13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552.26894123675538</v>
      </c>
      <c r="AO198" s="59">
        <f t="shared" si="205"/>
        <v>409.85604950107006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47.736917533764384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47.736917533764384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-1.1368683772161603E-13</v>
      </c>
      <c r="BE198" s="13">
        <f>BD198*VLOOKUP('Données projet'!$B$11,Paramètres!$A$1:$I$89,3,0)*VLOOKUP('Données projet'!$B$11,Paramètres!$A$1:$I$89,5,0)</f>
        <v>-1.223725121235475E-13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361.24725625563468</v>
      </c>
      <c r="BJ198" s="59">
        <f t="shared" si="206"/>
        <v>186.0840067781198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27.289952500585805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27.289952500585805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-1.7053025658242404E-13</v>
      </c>
      <c r="BZ198" s="13">
        <f>BY198*VLOOKUP('Données projet'!$B$12,Paramètres!$A$1:$I$89,3,0)*VLOOKUP('Données projet'!$B$12,Paramètres!$A$1:$I$89,5,0)</f>
        <v>-1.1439169611549005E-13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323.91378047319455</v>
      </c>
      <c r="CE198" s="59">
        <f t="shared" si="207"/>
        <v>212.89889176380288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28.86284882536798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28.86284882536798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>
        <f>CT198*VLOOKUP('Données projet'!$B$13,Paramètres!$A$1:$I$89,3,0)*VLOOKUP('Données projet'!$B$13,Paramètres!$A$1:$I$89,5,0)</f>
        <v>0</v>
      </c>
      <c r="CV198" s="13" t="e">
        <f t="shared" si="173"/>
        <v>#NUM!</v>
      </c>
      <c r="CW198" s="20" t="e">
        <f t="shared" si="174"/>
        <v>#NUM!</v>
      </c>
      <c r="CX198" s="59" t="e">
        <f t="shared" si="196"/>
        <v>#NUM!</v>
      </c>
      <c r="CY198" s="59">
        <f ca="1">AVERAGE(OFFSET($CX$3,0,0,'Données projet'!$E$13+1,1))-AVERAGE(OFFSET($H$3,0,0,'Données projet'!$E$13+1,1))</f>
        <v>356.07880667298025</v>
      </c>
      <c r="CZ198" s="59">
        <f t="shared" si="208"/>
        <v>396.05161661639659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12.655029121123244</v>
      </c>
      <c r="DG198" s="21">
        <f>EXP(-LN(2)/25)*DG197+(1-EXP(-LN(2)/25))/(LN(2)/25)*Calculateur!DB198*Calculateur!DD198*VLOOKUP('Données projet'!$B$13,Paramètres!$A$1:$I$89,3,0)*0.475*44/12</f>
        <v>1.0416167549047259</v>
      </c>
      <c r="DH198" s="21">
        <f>EXP(-LN(2)/2)*DH197+(1-EXP(-LN(2)/2))/(LN(2)/2)*DB198*DE198*VLOOKUP('Données projet'!$B$13,Paramètres!$A$1:$I$89,3,0)*0.475*44/12</f>
        <v>1.6421356073506021E-19</v>
      </c>
      <c r="DI198" s="22">
        <f t="shared" si="175"/>
        <v>13.69664587602797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>
        <f>DO198*VLOOKUP('Données projet'!$B$14,Paramètres!$A$1:$I$89,3,0)*VLOOKUP('Données projet'!$B$14,Paramètres!$A$1:$I$89,5,0)</f>
        <v>0</v>
      </c>
      <c r="DQ198" s="13" t="e">
        <f t="shared" si="176"/>
        <v>#NUM!</v>
      </c>
      <c r="DR198" s="20" t="e">
        <f t="shared" si="177"/>
        <v>#NUM!</v>
      </c>
      <c r="DS198" s="59" t="e">
        <f t="shared" si="197"/>
        <v>#NUM!</v>
      </c>
      <c r="DT198" s="59">
        <f ca="1">AVERAGE(OFFSET($DS$3,0,0,'Données projet'!$E$14+1,1))-AVERAGE(OFFSET($H$3,0,0,'Données projet'!$E$14+1,1))</f>
        <v>246.11623544660486</v>
      </c>
      <c r="DU198" s="59">
        <f t="shared" si="209"/>
        <v>273.18950868898253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8.6824912535736587</v>
      </c>
      <c r="EB198" s="21">
        <f>EXP(-LN(2)/25)*EB197+(1-EXP(-LN(2)/25))/(LN(2)/25)*Calculateur!DW198*Calculateur!DY198*VLOOKUP('Données projet'!$B$14,Paramètres!$A$1:$I$89,3,0)*0.475*44/12</f>
        <v>0.94610657844401824</v>
      </c>
      <c r="EC198" s="21">
        <f>EXP(-LN(2)/2)*EC197+(1-EXP(-LN(2)/2))/(LN(2)/2)*DW198*DZ198*VLOOKUP('Données projet'!$B$14,Paramètres!$A$1:$I$89,3,0)*0.475*44/12</f>
        <v>1.5603715177183919E-19</v>
      </c>
      <c r="ED198" s="22">
        <f t="shared" si="178"/>
        <v>9.628597832017677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5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67">
        <f t="shared" si="192"/>
        <v>183.33333333333334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-1.7053025658242404E-13</v>
      </c>
      <c r="O199" s="13">
        <f>N199*VLOOKUP('Données projet'!$B$9,Paramètres!$A$1:$I$89,3,0)*VLOOKUP('Données projet'!$B$9,Paramètres!$A$1:$I$89,5,0)</f>
        <v>-1.72917680174578E-13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538.10210778862256</v>
      </c>
      <c r="T199" s="59">
        <f t="shared" si="204"/>
        <v>399.53300632021399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45.403786124510113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45.403786124510113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-1.7053025658242404E-13</v>
      </c>
      <c r="AJ199" s="13">
        <f>AI199*VLOOKUP('Données projet'!$B$10,Paramètres!$A$1:$I$89,3,0)*VLOOKUP('Données projet'!$B$10,Paramètres!$A$1:$I$89,5,0)</f>
        <v>-1.7823822417994965E-13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552.26894123675538</v>
      </c>
      <c r="AO199" s="59">
        <f t="shared" si="205"/>
        <v>409.85604950107006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46.800825697571931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46.800825697571931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-1.1368683772161603E-13</v>
      </c>
      <c r="BE199" s="13">
        <f>BD199*VLOOKUP('Données projet'!$B$11,Paramètres!$A$1:$I$89,3,0)*VLOOKUP('Données projet'!$B$11,Paramètres!$A$1:$I$89,5,0)</f>
        <v>-1.223725121235475E-13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361.24725625563468</v>
      </c>
      <c r="BJ199" s="59">
        <f t="shared" si="206"/>
        <v>186.0840067781198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26.754813177276763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26.754813177276763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-1.7053025658242404E-13</v>
      </c>
      <c r="BZ199" s="13">
        <f>BY199*VLOOKUP('Données projet'!$B$12,Paramètres!$A$1:$I$89,3,0)*VLOOKUP('Données projet'!$B$12,Paramètres!$A$1:$I$89,5,0)</f>
        <v>-1.1439169611549005E-13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323.91378047319455</v>
      </c>
      <c r="CE199" s="59">
        <f t="shared" si="207"/>
        <v>212.89889176380288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28.296865964501986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28.296865964501986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>
        <f>CT199*VLOOKUP('Données projet'!$B$13,Paramètres!$A$1:$I$89,3,0)*VLOOKUP('Données projet'!$B$13,Paramètres!$A$1:$I$89,5,0)</f>
        <v>0</v>
      </c>
      <c r="CV199" s="13" t="e">
        <f t="shared" si="173"/>
        <v>#NUM!</v>
      </c>
      <c r="CW199" s="20" t="e">
        <f t="shared" si="174"/>
        <v>#NUM!</v>
      </c>
      <c r="CX199" s="59" t="e">
        <f t="shared" si="196"/>
        <v>#NUM!</v>
      </c>
      <c r="CY199" s="59">
        <f ca="1">AVERAGE(OFFSET($CX$3,0,0,'Données projet'!$E$13+1,1))-AVERAGE(OFFSET($H$3,0,0,'Données projet'!$E$13+1,1))</f>
        <v>356.07880667298025</v>
      </c>
      <c r="CZ199" s="59">
        <f t="shared" si="208"/>
        <v>396.05161661639659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12.406871718863613</v>
      </c>
      <c r="DG199" s="21">
        <f>EXP(-LN(2)/25)*DG198+(1-EXP(-LN(2)/25))/(LN(2)/25)*Calculateur!DB199*Calculateur!DD199*VLOOKUP('Données projet'!$B$13,Paramètres!$A$1:$I$89,3,0)*0.475*44/12</f>
        <v>1.0131336899656118</v>
      </c>
      <c r="DH199" s="21">
        <f>EXP(-LN(2)/2)*DH198+(1-EXP(-LN(2)/2))/(LN(2)/2)*DB199*DE199*VLOOKUP('Données projet'!$B$13,Paramètres!$A$1:$I$89,3,0)*0.475*44/12</f>
        <v>1.1611652235855005E-19</v>
      </c>
      <c r="DI199" s="22">
        <f t="shared" si="175"/>
        <v>13.420005408829224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>
        <f>DO199*VLOOKUP('Données projet'!$B$14,Paramètres!$A$1:$I$89,3,0)*VLOOKUP('Données projet'!$B$14,Paramètres!$A$1:$I$89,5,0)</f>
        <v>0</v>
      </c>
      <c r="DQ199" s="13" t="e">
        <f t="shared" si="176"/>
        <v>#NUM!</v>
      </c>
      <c r="DR199" s="20" t="e">
        <f t="shared" si="177"/>
        <v>#NUM!</v>
      </c>
      <c r="DS199" s="59" t="e">
        <f t="shared" si="197"/>
        <v>#NUM!</v>
      </c>
      <c r="DT199" s="59">
        <f ca="1">AVERAGE(OFFSET($DS$3,0,0,'Données projet'!$E$14+1,1))-AVERAGE(OFFSET($H$3,0,0,'Données projet'!$E$14+1,1))</f>
        <v>246.11623544660486</v>
      </c>
      <c r="DU199" s="59">
        <f t="shared" si="209"/>
        <v>273.18950868898253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8.5122328958878271</v>
      </c>
      <c r="EB199" s="21">
        <f>EXP(-LN(2)/25)*EB198+(1-EXP(-LN(2)/25))/(LN(2)/25)*Calculateur!DW199*Calculateur!DY199*VLOOKUP('Données projet'!$B$14,Paramètres!$A$1:$I$89,3,0)*0.475*44/12</f>
        <v>0.92023524430288395</v>
      </c>
      <c r="EC199" s="21">
        <f>EXP(-LN(2)/2)*EC198+(1-EXP(-LN(2)/2))/(LN(2)/2)*DW199*DZ199*VLOOKUP('Données projet'!$B$14,Paramètres!$A$1:$I$89,3,0)*0.475*44/12</f>
        <v>1.10334928134902E-19</v>
      </c>
      <c r="ED199" s="22">
        <f t="shared" si="178"/>
        <v>9.4324681401907107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5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67">
        <f t="shared" si="192"/>
        <v>183.33333333333334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-1.7053025658242404E-13</v>
      </c>
      <c r="O200" s="13">
        <f>N200*VLOOKUP('Données projet'!$B$9,Paramètres!$A$1:$I$89,3,0)*VLOOKUP('Données projet'!$B$9,Paramètres!$A$1:$I$89,5,0)</f>
        <v>-1.72917680174578E-13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538.10210778862256</v>
      </c>
      <c r="T200" s="59">
        <f t="shared" si="204"/>
        <v>399.53300632021399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44.513445572183493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44.513445572183493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-1.7053025658242404E-13</v>
      </c>
      <c r="AJ200" s="13">
        <f>AI200*VLOOKUP('Données projet'!$B$10,Paramètres!$A$1:$I$89,3,0)*VLOOKUP('Données projet'!$B$10,Paramètres!$A$1:$I$89,5,0)</f>
        <v>-1.7823822417994965E-13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552.26894123675538</v>
      </c>
      <c r="AO200" s="59">
        <f t="shared" si="205"/>
        <v>409.85604950107006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45.883090051327571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45.883090051327571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-1.1368683772161603E-13</v>
      </c>
      <c r="BE200" s="13">
        <f>BD200*VLOOKUP('Données projet'!$B$11,Paramètres!$A$1:$I$89,3,0)*VLOOKUP('Données projet'!$B$11,Paramètres!$A$1:$I$89,5,0)</f>
        <v>-1.223725121235475E-13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361.24725625563468</v>
      </c>
      <c r="BJ200" s="59">
        <f t="shared" si="206"/>
        <v>186.0840067781198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26.230167609695052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26.230167609695052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-1.7053025658242404E-13</v>
      </c>
      <c r="BZ200" s="13">
        <f>BY200*VLOOKUP('Données projet'!$B$12,Paramètres!$A$1:$I$89,3,0)*VLOOKUP('Données projet'!$B$12,Paramètres!$A$1:$I$89,5,0)</f>
        <v>-1.1439169611549005E-13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323.91378047319455</v>
      </c>
      <c r="CE200" s="59">
        <f t="shared" si="207"/>
        <v>212.89889176380288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27.74198168232212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27.74198168232212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>
        <f>CT200*VLOOKUP('Données projet'!$B$13,Paramètres!$A$1:$I$89,3,0)*VLOOKUP('Données projet'!$B$13,Paramètres!$A$1:$I$89,5,0)</f>
        <v>0</v>
      </c>
      <c r="CV200" s="13" t="e">
        <f t="shared" si="173"/>
        <v>#NUM!</v>
      </c>
      <c r="CW200" s="20" t="e">
        <f t="shared" si="174"/>
        <v>#NUM!</v>
      </c>
      <c r="CX200" s="59" t="e">
        <f t="shared" si="196"/>
        <v>#NUM!</v>
      </c>
      <c r="CY200" s="59">
        <f ca="1">AVERAGE(OFFSET($CX$3,0,0,'Données projet'!$E$13+1,1))-AVERAGE(OFFSET($H$3,0,0,'Données projet'!$E$13+1,1))</f>
        <v>356.07880667298025</v>
      </c>
      <c r="CZ200" s="59">
        <f t="shared" si="208"/>
        <v>396.05161661639659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12.163580531901223</v>
      </c>
      <c r="DG200" s="21">
        <f>EXP(-LN(2)/25)*DG199+(1-EXP(-LN(2)/25))/(LN(2)/25)*Calculateur!DB200*Calculateur!DD200*VLOOKUP('Données projet'!$B$13,Paramètres!$A$1:$I$89,3,0)*0.475*44/12</f>
        <v>0.98542949593511697</v>
      </c>
      <c r="DH200" s="21">
        <f>EXP(-LN(2)/2)*DH199+(1-EXP(-LN(2)/2))/(LN(2)/2)*DB200*DE200*VLOOKUP('Données projet'!$B$13,Paramètres!$A$1:$I$89,3,0)*0.475*44/12</f>
        <v>8.2106780367530105E-20</v>
      </c>
      <c r="DI200" s="22">
        <f t="shared" si="175"/>
        <v>13.14901002783634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>
        <f>DO200*VLOOKUP('Données projet'!$B$14,Paramètres!$A$1:$I$89,3,0)*VLOOKUP('Données projet'!$B$14,Paramètres!$A$1:$I$89,5,0)</f>
        <v>0</v>
      </c>
      <c r="DQ200" s="13" t="e">
        <f t="shared" si="176"/>
        <v>#NUM!</v>
      </c>
      <c r="DR200" s="20" t="e">
        <f t="shared" si="177"/>
        <v>#NUM!</v>
      </c>
      <c r="DS200" s="59" t="e">
        <f t="shared" si="197"/>
        <v>#NUM!</v>
      </c>
      <c r="DT200" s="59">
        <f ca="1">AVERAGE(OFFSET($DS$3,0,0,'Données projet'!$E$14+1,1))-AVERAGE(OFFSET($H$3,0,0,'Données projet'!$E$14+1,1))</f>
        <v>246.11623544660486</v>
      </c>
      <c r="DU200" s="59">
        <f t="shared" si="209"/>
        <v>273.18950868898253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8.3453132007488708</v>
      </c>
      <c r="EB200" s="21">
        <f>EXP(-LN(2)/25)*EB199+(1-EXP(-LN(2)/25))/(LN(2)/25)*Calculateur!DW200*Calculateur!DY200*VLOOKUP('Données projet'!$B$14,Paramètres!$A$1:$I$89,3,0)*0.475*44/12</f>
        <v>0.89507136315435332</v>
      </c>
      <c r="EC200" s="21">
        <f>EXP(-LN(2)/2)*EC199+(1-EXP(-LN(2)/2))/(LN(2)/2)*DW200*DZ200*VLOOKUP('Données projet'!$B$14,Paramètres!$A$1:$I$89,3,0)*0.475*44/12</f>
        <v>7.8018575885919596E-20</v>
      </c>
      <c r="ED200" s="22">
        <f t="shared" si="178"/>
        <v>9.2403845639032234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5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67">
        <f t="shared" si="192"/>
        <v>183.33333333333334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-1.7053025658242404E-13</v>
      </c>
      <c r="O201" s="13">
        <f>N201*VLOOKUP('Données projet'!$B$9,Paramètres!$A$1:$I$89,3,0)*VLOOKUP('Données projet'!$B$9,Paramètres!$A$1:$I$89,5,0)</f>
        <v>-1.72917680174578E-13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538.10210778862256</v>
      </c>
      <c r="T201" s="59">
        <f t="shared" si="204"/>
        <v>399.53300632021399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43.640564055033884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43.640564055033884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-1.7053025658242404E-13</v>
      </c>
      <c r="AJ201" s="13">
        <f>AI201*VLOOKUP('Données projet'!$B$10,Paramètres!$A$1:$I$89,3,0)*VLOOKUP('Données projet'!$B$10,Paramètres!$A$1:$I$89,5,0)</f>
        <v>-1.7823822417994965E-13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552.26894123675538</v>
      </c>
      <c r="AO201" s="59">
        <f t="shared" si="205"/>
        <v>409.85604950107006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44.983350641342589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44.983350641342589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-1.1368683772161603E-13</v>
      </c>
      <c r="BE201" s="13">
        <f>BD201*VLOOKUP('Données projet'!$B$11,Paramètres!$A$1:$I$89,3,0)*VLOOKUP('Données projet'!$B$11,Paramètres!$A$1:$I$89,5,0)</f>
        <v>-1.223725121235475E-13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361.24725625563468</v>
      </c>
      <c r="BJ201" s="59">
        <f t="shared" si="206"/>
        <v>186.0840067781198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25.715810021691421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25.715810021691421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-1.7053025658242404E-13</v>
      </c>
      <c r="BZ201" s="13">
        <f>BY201*VLOOKUP('Données projet'!$B$12,Paramètres!$A$1:$I$89,3,0)*VLOOKUP('Données projet'!$B$12,Paramètres!$A$1:$I$89,5,0)</f>
        <v>-1.1439169611549005E-13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323.91378047319455</v>
      </c>
      <c r="CE201" s="59">
        <f t="shared" si="207"/>
        <v>212.89889176380288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27.197978342469806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27.197978342469806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>
        <f>CT201*VLOOKUP('Données projet'!$B$13,Paramètres!$A$1:$I$89,3,0)*VLOOKUP('Données projet'!$B$13,Paramètres!$A$1:$I$89,5,0)</f>
        <v>0</v>
      </c>
      <c r="CV201" s="13" t="e">
        <f t="shared" si="173"/>
        <v>#NUM!</v>
      </c>
      <c r="CW201" s="20" t="e">
        <f t="shared" si="174"/>
        <v>#NUM!</v>
      </c>
      <c r="CX201" s="59" t="e">
        <f t="shared" si="196"/>
        <v>#NUM!</v>
      </c>
      <c r="CY201" s="59">
        <f ca="1">AVERAGE(OFFSET($CX$3,0,0,'Données projet'!$E$13+1,1))-AVERAGE(OFFSET($H$3,0,0,'Données projet'!$E$13+1,1))</f>
        <v>356.07880667298025</v>
      </c>
      <c r="CZ201" s="59">
        <f t="shared" si="208"/>
        <v>396.05161661639659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11.925060136722195</v>
      </c>
      <c r="DG201" s="21">
        <f>EXP(-LN(2)/25)*DG200+(1-EXP(-LN(2)/25))/(LN(2)/25)*Calculateur!DB201*Calculateur!DD201*VLOOKUP('Données projet'!$B$13,Paramètres!$A$1:$I$89,3,0)*0.475*44/12</f>
        <v>0.9584828745472862</v>
      </c>
      <c r="DH201" s="21">
        <f>EXP(-LN(2)/2)*DH200+(1-EXP(-LN(2)/2))/(LN(2)/2)*DB201*DE201*VLOOKUP('Données projet'!$B$13,Paramètres!$A$1:$I$89,3,0)*0.475*44/12</f>
        <v>5.8058261179275025E-20</v>
      </c>
      <c r="DI201" s="22">
        <f t="shared" si="175"/>
        <v>12.883543011269481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>
        <f>DO201*VLOOKUP('Données projet'!$B$14,Paramètres!$A$1:$I$89,3,0)*VLOOKUP('Données projet'!$B$14,Paramètres!$A$1:$I$89,5,0)</f>
        <v>0</v>
      </c>
      <c r="DQ201" s="13" t="e">
        <f t="shared" si="176"/>
        <v>#NUM!</v>
      </c>
      <c r="DR201" s="20" t="e">
        <f t="shared" si="177"/>
        <v>#NUM!</v>
      </c>
      <c r="DS201" s="59" t="e">
        <f t="shared" si="197"/>
        <v>#NUM!</v>
      </c>
      <c r="DT201" s="59">
        <f ca="1">AVERAGE(OFFSET($DS$3,0,0,'Données projet'!$E$14+1,1))-AVERAGE(OFFSET($H$3,0,0,'Données projet'!$E$14+1,1))</f>
        <v>246.11623544660486</v>
      </c>
      <c r="DU201" s="59">
        <f t="shared" si="209"/>
        <v>273.18950868898253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8.1816666990206279</v>
      </c>
      <c r="EB201" s="21">
        <f>EXP(-LN(2)/25)*EB200+(1-EXP(-LN(2)/25))/(LN(2)/25)*Calculateur!DW201*Calculateur!DY201*VLOOKUP('Données projet'!$B$14,Paramètres!$A$1:$I$89,3,0)*0.475*44/12</f>
        <v>0.8705955896591403</v>
      </c>
      <c r="EC201" s="21">
        <f>EXP(-LN(2)/2)*EC200+(1-EXP(-LN(2)/2))/(LN(2)/2)*DW201*DZ201*VLOOKUP('Données projet'!$B$14,Paramètres!$A$1:$I$89,3,0)*0.475*44/12</f>
        <v>5.5167464067451E-20</v>
      </c>
      <c r="ED201" s="22">
        <f t="shared" si="178"/>
        <v>9.0522622886797688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5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67">
        <f t="shared" si="192"/>
        <v>183.33333333333334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-1.7053025658242404E-13</v>
      </c>
      <c r="O202" s="13">
        <f>N202*VLOOKUP('Données projet'!$B$9,Paramètres!$A$1:$I$89,3,0)*VLOOKUP('Données projet'!$B$9,Paramètres!$A$1:$I$89,5,0)</f>
        <v>-1.72917680174578E-13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538.10210778862256</v>
      </c>
      <c r="T202" s="59">
        <f t="shared" si="204"/>
        <v>399.53300632021399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42.784799212030421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42.784799212030421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-1.7053025658242404E-13</v>
      </c>
      <c r="AJ202" s="13">
        <f>AI202*VLOOKUP('Données projet'!$B$10,Paramètres!$A$1:$I$89,3,0)*VLOOKUP('Données projet'!$B$10,Paramètres!$A$1:$I$89,5,0)</f>
        <v>-1.7823822417994965E-13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552.26894123675538</v>
      </c>
      <c r="AO202" s="59">
        <f t="shared" si="205"/>
        <v>409.85604950107006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44.101254572400563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44.101254572400563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-1.1368683772161603E-13</v>
      </c>
      <c r="BE202" s="13">
        <f>BD202*VLOOKUP('Données projet'!$B$11,Paramètres!$A$1:$I$89,3,0)*VLOOKUP('Données projet'!$B$11,Paramètres!$A$1:$I$89,5,0)</f>
        <v>-1.223725121235475E-13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361.24725625563468</v>
      </c>
      <c r="BJ202" s="59">
        <f t="shared" si="206"/>
        <v>186.0840067781198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25.211538672261391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25.211538672261391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-1.7053025658242404E-13</v>
      </c>
      <c r="BZ202" s="13">
        <f>BY202*VLOOKUP('Données projet'!$B$12,Paramètres!$A$1:$I$89,3,0)*VLOOKUP('Données projet'!$B$12,Paramètres!$A$1:$I$89,5,0)</f>
        <v>-1.1439169611549005E-13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323.91378047319455</v>
      </c>
      <c r="CE202" s="59">
        <f t="shared" si="207"/>
        <v>212.89889176380288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26.664642576302722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26.664642576302722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>
        <f>CT202*VLOOKUP('Données projet'!$B$13,Paramètres!$A$1:$I$89,3,0)*VLOOKUP('Données projet'!$B$13,Paramètres!$A$1:$I$89,5,0)</f>
        <v>0</v>
      </c>
      <c r="CV202" s="13" t="e">
        <f t="shared" si="173"/>
        <v>#NUM!</v>
      </c>
      <c r="CW202" s="20" t="e">
        <f t="shared" si="174"/>
        <v>#NUM!</v>
      </c>
      <c r="CX202" s="59" t="e">
        <f t="shared" si="196"/>
        <v>#NUM!</v>
      </c>
      <c r="CY202" s="59">
        <f ca="1">AVERAGE(OFFSET($CX$3,0,0,'Données projet'!$E$13+1,1))-AVERAGE(OFFSET($H$3,0,0,'Données projet'!$E$13+1,1))</f>
        <v>356.07880667298025</v>
      </c>
      <c r="CZ202" s="59">
        <f t="shared" si="208"/>
        <v>396.05161661639659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11.69121698100955</v>
      </c>
      <c r="DG202" s="21">
        <f>EXP(-LN(2)/25)*DG201+(1-EXP(-LN(2)/25))/(LN(2)/25)*Calculateur!DB202*Calculateur!DD202*VLOOKUP('Données projet'!$B$13,Paramètres!$A$1:$I$89,3,0)*0.475*44/12</f>
        <v>0.93227310993836698</v>
      </c>
      <c r="DH202" s="21">
        <f>EXP(-LN(2)/2)*DH201+(1-EXP(-LN(2)/2))/(LN(2)/2)*DB202*DE202*VLOOKUP('Données projet'!$B$13,Paramètres!$A$1:$I$89,3,0)*0.475*44/12</f>
        <v>4.1053390183765053E-20</v>
      </c>
      <c r="DI202" s="22">
        <f t="shared" si="175"/>
        <v>12.623490090947916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>
        <f>DO202*VLOOKUP('Données projet'!$B$14,Paramètres!$A$1:$I$89,3,0)*VLOOKUP('Données projet'!$B$14,Paramètres!$A$1:$I$89,5,0)</f>
        <v>0</v>
      </c>
      <c r="DQ202" s="13" t="e">
        <f t="shared" si="176"/>
        <v>#NUM!</v>
      </c>
      <c r="DR202" s="20" t="e">
        <f t="shared" si="177"/>
        <v>#NUM!</v>
      </c>
      <c r="DS202" s="59" t="e">
        <f t="shared" si="197"/>
        <v>#NUM!</v>
      </c>
      <c r="DT202" s="59">
        <f ca="1">AVERAGE(OFFSET($DS$3,0,0,'Données projet'!$E$14+1,1))-AVERAGE(OFFSET($H$3,0,0,'Données projet'!$E$14+1,1))</f>
        <v>246.11623544660486</v>
      </c>
      <c r="DU202" s="59">
        <f t="shared" si="209"/>
        <v>273.18950868898253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8.0212292053767662</v>
      </c>
      <c r="EB202" s="21">
        <f>EXP(-LN(2)/25)*EB201+(1-EXP(-LN(2)/25))/(LN(2)/25)*Calculateur!DW202*Calculateur!DY202*VLOOKUP('Données projet'!$B$14,Paramètres!$A$1:$I$89,3,0)*0.475*44/12</f>
        <v>0.84678910747727887</v>
      </c>
      <c r="EC202" s="21">
        <f>EXP(-LN(2)/2)*EC201+(1-EXP(-LN(2)/2))/(LN(2)/2)*DW202*DZ202*VLOOKUP('Données projet'!$B$14,Paramètres!$A$1:$I$89,3,0)*0.475*44/12</f>
        <v>3.9009287942959798E-20</v>
      </c>
      <c r="ED202" s="22">
        <f t="shared" si="178"/>
        <v>8.8680183128540442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5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67">
        <f t="shared" si="192"/>
        <v>183.33333333333334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-1.7053025658242404E-13</v>
      </c>
      <c r="O203" s="13">
        <f>N203*VLOOKUP('Données projet'!$B$9,Paramètres!$A$1:$I$89,3,0)*VLOOKUP('Données projet'!$B$9,Paramètres!$A$1:$I$89,5,0)</f>
        <v>-1.72917680174578E-13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538.10210778862256</v>
      </c>
      <c r="T203" s="59">
        <f t="shared" si="204"/>
        <v>399.53300632021399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41.945815395633247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41.945815395633247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-1.7053025658242404E-13</v>
      </c>
      <c r="AJ203" s="13">
        <f>AI203*VLOOKUP('Données projet'!$B$10,Paramètres!$A$1:$I$89,3,0)*VLOOKUP('Données projet'!$B$10,Paramètres!$A$1:$I$89,5,0)</f>
        <v>-1.7823822417994965E-13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552.26894123675538</v>
      </c>
      <c r="AO203" s="59">
        <f t="shared" si="205"/>
        <v>409.85604950107006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43.236455869345008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43.236455869345008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-1.1368683772161603E-13</v>
      </c>
      <c r="BE203" s="13">
        <f>BD203*VLOOKUP('Données projet'!$B$11,Paramètres!$A$1:$I$89,3,0)*VLOOKUP('Données projet'!$B$11,Paramètres!$A$1:$I$89,5,0)</f>
        <v>-1.223725121235475E-13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361.24725625563468</v>
      </c>
      <c r="BJ203" s="59">
        <f t="shared" si="206"/>
        <v>186.0840067781198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24.717155776418529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24.717155776418529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-1.7053025658242404E-13</v>
      </c>
      <c r="BZ203" s="13">
        <f>BY203*VLOOKUP('Données projet'!$B$12,Paramètres!$A$1:$I$89,3,0)*VLOOKUP('Données projet'!$B$12,Paramètres!$A$1:$I$89,5,0)</f>
        <v>-1.1439169611549005E-13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323.91378047319455</v>
      </c>
      <c r="CE203" s="59">
        <f t="shared" si="207"/>
        <v>212.89889176380288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26.141765199207477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26.141765199207477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>
        <f>CT203*VLOOKUP('Données projet'!$B$13,Paramètres!$A$1:$I$89,3,0)*VLOOKUP('Données projet'!$B$13,Paramètres!$A$1:$I$89,5,0)</f>
        <v>0</v>
      </c>
      <c r="CV203" s="13" t="e">
        <f t="shared" si="173"/>
        <v>#NUM!</v>
      </c>
      <c r="CW203" s="20" t="e">
        <f t="shared" si="174"/>
        <v>#NUM!</v>
      </c>
      <c r="CX203" s="59" t="e">
        <f t="shared" si="196"/>
        <v>#NUM!</v>
      </c>
      <c r="CY203" s="59">
        <f ca="1">AVERAGE(OFFSET($CX$3,0,0,'Données projet'!$E$13+1,1))-AVERAGE(OFFSET($H$3,0,0,'Données projet'!$E$13+1,1))</f>
        <v>356.07880667298025</v>
      </c>
      <c r="CZ203" s="59">
        <f t="shared" si="208"/>
        <v>396.05161661639659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11.46195934695019</v>
      </c>
      <c r="DG203" s="21">
        <f>EXP(-LN(2)/25)*DG202+(1-EXP(-LN(2)/25))/(LN(2)/25)*Calculateur!DB203*Calculateur!DD203*VLOOKUP('Données projet'!$B$13,Paramètres!$A$1:$I$89,3,0)*0.475*44/12</f>
        <v>0.90678005272099027</v>
      </c>
      <c r="DH203" s="21">
        <f>EXP(-LN(2)/2)*DH202+(1-EXP(-LN(2)/2))/(LN(2)/2)*DB203*DE203*VLOOKUP('Données projet'!$B$13,Paramètres!$A$1:$I$89,3,0)*0.475*44/12</f>
        <v>2.9029130589637513E-20</v>
      </c>
      <c r="DI203" s="22">
        <f t="shared" si="175"/>
        <v>12.368739399671179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>
        <f>DO203*VLOOKUP('Données projet'!$B$14,Paramètres!$A$1:$I$89,3,0)*VLOOKUP('Données projet'!$B$14,Paramètres!$A$1:$I$89,5,0)</f>
        <v>0</v>
      </c>
      <c r="DQ203" s="13" t="e">
        <f t="shared" si="176"/>
        <v>#NUM!</v>
      </c>
      <c r="DR203" s="20" t="e">
        <f t="shared" si="177"/>
        <v>#NUM!</v>
      </c>
      <c r="DS203" s="59" t="e">
        <f t="shared" si="197"/>
        <v>#NUM!</v>
      </c>
      <c r="DT203" s="59">
        <f ca="1">AVERAGE(OFFSET($DS$3,0,0,'Données projet'!$E$14+1,1))-AVERAGE(OFFSET($H$3,0,0,'Données projet'!$E$14+1,1))</f>
        <v>246.11623544660486</v>
      </c>
      <c r="DU203" s="59">
        <f t="shared" si="209"/>
        <v>273.18950868898253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7.8639377931260519</v>
      </c>
      <c r="EB203" s="21">
        <f>EXP(-LN(2)/25)*EB202+(1-EXP(-LN(2)/25))/(LN(2)/25)*Calculateur!DW203*Calculateur!DY203*VLOOKUP('Données projet'!$B$14,Paramètres!$A$1:$I$89,3,0)*0.475*44/12</f>
        <v>0.82363361480260888</v>
      </c>
      <c r="EC203" s="21">
        <f>EXP(-LN(2)/2)*EC202+(1-EXP(-LN(2)/2))/(LN(2)/2)*DW203*DZ203*VLOOKUP('Données projet'!$B$14,Paramètres!$A$1:$I$89,3,0)*0.475*44/12</f>
        <v>2.75837320337255E-20</v>
      </c>
      <c r="ED203" s="22">
        <f t="shared" si="178"/>
        <v>8.6875714079286617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1.2392705892426346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1.2392705892426346</v>
      </c>
      <c r="BA205" s="82">
        <f>EXP(LN('Données projet'!B88)/'Données projet'!A88)</f>
        <v>1.1457367676485573</v>
      </c>
      <c r="BV205" s="82">
        <f>EXP(LN('Données projet'!B114)/'Données projet'!A114)</f>
        <v>1.2054868146447177</v>
      </c>
      <c r="CQ205" s="82">
        <f>EXP(LN('Données projet'!B140)/'Données projet'!A140)</f>
        <v>1.2954438051451196</v>
      </c>
      <c r="DL205" s="82">
        <f>EXP(LN('Données projet'!B166)/'Données projet'!A166)</f>
        <v>1.2802842468510145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0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1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0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2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2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1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0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1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0" t="s">
        <v>321</v>
      </c>
      <c r="B87" s="251" t="s">
        <v>322</v>
      </c>
      <c r="C87" s="252">
        <v>0.41</v>
      </c>
      <c r="D87" s="252" t="s">
        <v>323</v>
      </c>
      <c r="E87" s="252">
        <v>1.56</v>
      </c>
      <c r="F87" s="253" t="s">
        <v>274</v>
      </c>
      <c r="G87" s="254">
        <v>0.43</v>
      </c>
      <c r="H87" s="252" t="s">
        <v>278</v>
      </c>
      <c r="I87" s="255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F13" sqref="F13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42578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1" t="s">
        <v>191</v>
      </c>
      <c r="C2" s="272"/>
      <c r="D2" s="272"/>
      <c r="E2" s="272"/>
      <c r="F2" s="272"/>
      <c r="G2" s="27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0"/>
      <c r="C4" s="270"/>
      <c r="D4" s="270"/>
      <c r="E4" s="270"/>
      <c r="F4" s="270"/>
      <c r="G4" s="27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6"/>
      <c r="C6" s="216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4"/>
      <c r="E7" s="101"/>
      <c r="F7" s="26" t="s">
        <v>295</v>
      </c>
      <c r="G7" s="100" t="s">
        <v>215</v>
      </c>
      <c r="H7" s="215"/>
      <c r="I7" s="215"/>
      <c r="J7" s="215"/>
      <c r="K7" s="215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5"/>
      <c r="B13" s="107"/>
      <c r="C13" s="98" t="s">
        <v>273</v>
      </c>
      <c r="D13" s="215"/>
      <c r="E13" s="99"/>
      <c r="F13" s="107"/>
      <c r="G13" s="98" t="s">
        <v>301</v>
      </c>
      <c r="H13" s="215"/>
      <c r="I13" s="215"/>
      <c r="J13" s="215"/>
      <c r="K13" s="215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5"/>
      <c r="B14" s="107"/>
      <c r="C14" s="98" t="s">
        <v>309</v>
      </c>
      <c r="D14" s="215"/>
      <c r="E14" s="99"/>
      <c r="F14" s="107"/>
      <c r="G14" s="98" t="s">
        <v>294</v>
      </c>
      <c r="H14" s="215"/>
      <c r="I14" s="215"/>
      <c r="J14" s="215"/>
      <c r="K14" s="215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1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D1" zoomScale="90" zoomScaleNormal="90" workbookViewId="0">
      <selection activeCell="I25" sqref="I25"/>
    </sheetView>
  </sheetViews>
  <sheetFormatPr baseColWidth="10" defaultColWidth="11.42578125" defaultRowHeight="15" x14ac:dyDescent="0.25"/>
  <cols>
    <col min="1" max="1" width="22.85546875" style="1" bestFit="1" customWidth="1"/>
    <col min="2" max="2" width="10.42578125" style="1" bestFit="1" customWidth="1"/>
    <col min="3" max="3" width="15.42578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1" t="s">
        <v>271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Chêne pubescent</v>
      </c>
      <c r="B6" s="146">
        <f>'Données projet'!D9</f>
        <v>0.14819722200000002</v>
      </c>
      <c r="C6" s="147">
        <f ca="1">IF(OR('Données projet'!B9="",'Données projet'!C9="",'Données projet'!C9=0%),0,Calculateur!S3)</f>
        <v>538.10210778862256</v>
      </c>
      <c r="D6" s="147">
        <f>IF(OR('Données projet'!B9="",'Données projet'!C9="",'Données projet'!C9=0%),0,Calculateur!T3)</f>
        <v>399.53300632021399</v>
      </c>
      <c r="E6" s="147">
        <f ca="1">MIN(C6,D6)</f>
        <v>399.53300632021399</v>
      </c>
      <c r="F6" s="147">
        <f ca="1">E6*B6</f>
        <v>59.209681633964159</v>
      </c>
      <c r="G6" s="147">
        <f ca="1">F6*(100%-'Données projet'!$C$24)*(100%-'Données projet'!$C$25)*(100%-'Données projet'!$C$26)*(100%-'Données projet'!$C$27)</f>
        <v>45.295406449982579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2.2970569410000001</v>
      </c>
      <c r="K6" s="151">
        <f>J6*(100%-'Données projet'!$C$24)*(100%-'Données projet'!$C$25)*(100%-'Données projet'!$C$26)*(100%-'Données projet'!$C$27)</f>
        <v>1.7572485598650003</v>
      </c>
      <c r="L6" s="152">
        <f ca="1">G6+I6+K6</f>
        <v>47.052655009847577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Chêne chevelu</v>
      </c>
      <c r="B7" s="154">
        <f>'Données projet'!D10</f>
        <v>0.44458873499999996</v>
      </c>
      <c r="C7" s="147">
        <f ca="1">IF(OR('Données projet'!B10="",'Données projet'!C10="",'Données projet'!C10=0%),0,Calculateur!AN3)</f>
        <v>552.26894123675538</v>
      </c>
      <c r="D7" s="147">
        <f>IF(OR('Données projet'!B10="",'Données projet'!C10="",'Données projet'!C10=0%),0,Calculateur!AO3)</f>
        <v>409.85604950107006</v>
      </c>
      <c r="E7" s="147">
        <f t="shared" ref="E7:E15" ca="1" si="0">MIN(C7,D7)</f>
        <v>409.85604950107006</v>
      </c>
      <c r="F7" s="147">
        <f t="shared" ref="F7:F15" ca="1" si="1">E7*B7</f>
        <v>182.2173825797781</v>
      </c>
      <c r="G7" s="147">
        <f ca="1">F7*(100%-'Données projet'!$C$24)*(100%-'Données projet'!$C$25)*(100%-'Données projet'!$C$26)*(100%-'Données projet'!$C$27)</f>
        <v>139.39629767353023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6.8911253924999993</v>
      </c>
      <c r="K7" s="151">
        <f>J7*(100%-'Données projet'!$C$24)*(100%-'Données projet'!$C$25)*(100%-'Données projet'!$C$26)*(100%-'Données projet'!$C$27)</f>
        <v>5.2717109252624992</v>
      </c>
      <c r="L7" s="152">
        <f t="shared" ref="L7:L15" ca="1" si="2">G7+I7+K7</f>
        <v>144.66800859879274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>Cormier</v>
      </c>
      <c r="B8" s="154">
        <f>'Données projet'!D11</f>
        <v>4.1165895000000001E-2</v>
      </c>
      <c r="C8" s="147">
        <f ca="1">IF(OR('Données projet'!B11="",'Données projet'!C11="",'Données projet'!C11=0%),0,Calculateur!BI3)</f>
        <v>361.24725625563468</v>
      </c>
      <c r="D8" s="147">
        <f>IF(OR('Données projet'!B11="",'Données projet'!C11="",'Données projet'!C11=0%),0,Calculateur!BJ3)</f>
        <v>186.0840067781198</v>
      </c>
      <c r="E8" s="147">
        <f t="shared" ca="1" si="0"/>
        <v>186.0840067781198</v>
      </c>
      <c r="F8" s="147">
        <f t="shared" ca="1" si="1"/>
        <v>7.6603146842073686</v>
      </c>
      <c r="G8" s="147">
        <f ca="1">F8*(100%-'Données projet'!$C$24)*(100%-'Données projet'!$C$25)*(100%-'Données projet'!$C$26)*(100%-'Données projet'!$C$27)</f>
        <v>5.8601407334186373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ca="1" si="2"/>
        <v>5.8601407334186373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>Tilleul</v>
      </c>
      <c r="B9" s="154">
        <f>'Données projet'!D12</f>
        <v>3.2932716000000001E-2</v>
      </c>
      <c r="C9" s="147">
        <f ca="1">IF(OR('Données projet'!B12="",'Données projet'!C12="",'Données projet'!C12=0%),0,Calculateur!CD3)</f>
        <v>323.91378047319455</v>
      </c>
      <c r="D9" s="147">
        <f>IF(OR('Données projet'!B12="",'Données projet'!C12="",'Données projet'!C12=0%),0,Calculateur!CE3)</f>
        <v>212.89889176380288</v>
      </c>
      <c r="E9" s="147">
        <f t="shared" ca="1" si="0"/>
        <v>212.89889176380288</v>
      </c>
      <c r="F9" s="147">
        <f t="shared" ca="1" si="1"/>
        <v>7.0113387391720599</v>
      </c>
      <c r="G9" s="147">
        <f ca="1">F9*(100%-'Données projet'!$C$24)*(100%-'Données projet'!$C$25)*(100%-'Données projet'!$C$26)*(100%-'Données projet'!$C$27)</f>
        <v>5.363674135466626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0.23876219100000001</v>
      </c>
      <c r="K9" s="151">
        <f>J9*(100%-'Données projet'!$C$24)*(100%-'Données projet'!$C$25)*(100%-'Données projet'!$C$26)*(100%-'Données projet'!$C$27)</f>
        <v>0.18265307611500001</v>
      </c>
      <c r="L9" s="152">
        <f t="shared" ca="1" si="2"/>
        <v>5.5463272115816258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>Pin de Salzmann</v>
      </c>
      <c r="B10" s="154">
        <f>'Données projet'!D13</f>
        <v>0.90564675900000002</v>
      </c>
      <c r="C10" s="147">
        <f ca="1">IF(OR('Données projet'!B13="",'Données projet'!C13="",'Données projet'!C13=0%),0,Calculateur!CY3)</f>
        <v>356.07880667298025</v>
      </c>
      <c r="D10" s="147">
        <f>IF(OR('Données projet'!B13="",'Données projet'!C13="",'Données projet'!C13=0%),0,Calculateur!CZ3)</f>
        <v>396.05161661639659</v>
      </c>
      <c r="E10" s="147">
        <f t="shared" ca="1" si="0"/>
        <v>356.07880667298025</v>
      </c>
      <c r="F10" s="147">
        <f t="shared" ca="1" si="1"/>
        <v>322.48161721197215</v>
      </c>
      <c r="G10" s="147">
        <f ca="1">F10*(100%-'Données projet'!$C$24)*(100%-'Données projet'!$C$25)*(100%-'Données projet'!$C$26)*(100%-'Données projet'!$C$27)</f>
        <v>246.69843716715869</v>
      </c>
      <c r="H10" s="155">
        <f>IF(OR('Données projet'!B13="",'Données projet'!C13="",'Données projet'!C13=0%),0,AVERAGE(Calculateur!$DI$3:$DI$33)*B10)</f>
        <v>5.2757124668590025</v>
      </c>
      <c r="I10" s="149">
        <f>H10*(100%-'Données projet'!$C$24)*(100%-'Données projet'!$C$25)*(100%-'Données projet'!$C$26)*(100%-'Données projet'!$C$27)</f>
        <v>4.0359200371471369</v>
      </c>
      <c r="J10" s="150">
        <f>IF(OR('Données projet'!B13="",'Données projet'!C13="",'Données projet'!C13=0%),0,SUM(Calculateur!$DB$3:$DB$33)*VLOOKUP('Données projet'!$B$13,Paramètres!$A$1:$I$89,9,0)*B10)</f>
        <v>61.642574957307303</v>
      </c>
      <c r="K10" s="151">
        <f>J10*(100%-'Données projet'!$C$24)*(100%-'Données projet'!$C$25)*(100%-'Données projet'!$C$26)*(100%-'Données projet'!$C$27)</f>
        <v>47.156569842340083</v>
      </c>
      <c r="L10" s="152">
        <f t="shared" ca="1" si="2"/>
        <v>297.89092704664591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>Cèdre de l'Atlas</v>
      </c>
      <c r="B11" s="154">
        <f>'Données projet'!D14</f>
        <v>1.358468673</v>
      </c>
      <c r="C11" s="147">
        <f ca="1">IF(OR('Données projet'!B14="",'Données projet'!C14="",'Données projet'!C14=0%),0,Calculateur!DT3)</f>
        <v>246.11623544660486</v>
      </c>
      <c r="D11" s="147">
        <f>IF(OR('Données projet'!B14="",'Données projet'!C14="",'Données projet'!C14=0%),0,Calculateur!DU3)</f>
        <v>273.18950868898253</v>
      </c>
      <c r="E11" s="147">
        <f t="shared" ca="1" si="0"/>
        <v>246.11623544660486</v>
      </c>
      <c r="F11" s="147">
        <f t="shared" ca="1" si="1"/>
        <v>334.34119577090485</v>
      </c>
      <c r="G11" s="147">
        <f ca="1">F11*(100%-'Données projet'!$C$24)*(100%-'Données projet'!$C$25)*(100%-'Données projet'!$C$26)*(100%-'Données projet'!$C$27)</f>
        <v>255.7710147647422</v>
      </c>
      <c r="H11" s="155">
        <f>IF(OR('Données projet'!B14="",'Données projet'!C14="",'Données projet'!C14=0%),0,AVERAGE(Calculateur!$ED$3:$ED$33)*B11)</f>
        <v>5.465147612058713</v>
      </c>
      <c r="I11" s="149">
        <f>H11*(100%-'Données projet'!$C$24)*(100%-'Données projet'!$C$25)*(100%-'Données projet'!$C$26)*(100%-'Données projet'!$C$27)</f>
        <v>4.1808379232249155</v>
      </c>
      <c r="J11" s="150">
        <f>IF(OR('Données projet'!B14="",'Données projet'!C14="",'Données projet'!C14=0%),0,SUM(Calculateur!$DW$3:$DW$33)*VLOOKUP('Données projet'!$B$14,Paramètres!$A$1:$I$89,9,0)*B11)</f>
        <v>52.572737645100005</v>
      </c>
      <c r="K11" s="151">
        <f>J11*(100%-'Données projet'!$C$24)*(100%-'Données projet'!$C$25)*(100%-'Données projet'!$C$26)*(100%-'Données projet'!$C$27)</f>
        <v>40.218144298501507</v>
      </c>
      <c r="L11" s="152">
        <f t="shared" ca="1" si="2"/>
        <v>300.16999698646862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8"/>
      <c r="B16" s="212"/>
      <c r="C16" s="213"/>
      <c r="D16" s="23"/>
      <c r="E16" s="23"/>
      <c r="F16" s="165">
        <f t="shared" ref="F16:L16" ca="1" si="3">SUM(F6:F15)</f>
        <v>912.92153061999863</v>
      </c>
      <c r="G16" s="166">
        <f t="shared" ca="1" si="3"/>
        <v>698.38497092429895</v>
      </c>
      <c r="H16" s="167">
        <f t="shared" si="3"/>
        <v>10.740860078917716</v>
      </c>
      <c r="I16" s="167">
        <f t="shared" si="3"/>
        <v>8.2167579603720533</v>
      </c>
      <c r="J16" s="168">
        <f t="shared" si="3"/>
        <v>123.64225712690731</v>
      </c>
      <c r="K16" s="168">
        <f t="shared" si="3"/>
        <v>94.586326702084079</v>
      </c>
      <c r="L16" s="169">
        <f t="shared" ca="1" si="3"/>
        <v>801.18805558675513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8"/>
      <c r="B17" s="212"/>
      <c r="C17" s="213"/>
      <c r="D17" s="23"/>
      <c r="E17" s="23"/>
      <c r="F17" s="283" t="s">
        <v>246</v>
      </c>
      <c r="G17" s="284"/>
      <c r="H17" s="284"/>
      <c r="I17" s="284"/>
      <c r="J17" s="284"/>
      <c r="K17" s="284"/>
      <c r="L17" s="28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8"/>
      <c r="B18" s="212"/>
      <c r="C18" s="213"/>
      <c r="D18" s="23"/>
      <c r="E18" s="23"/>
      <c r="F18" s="270"/>
      <c r="G18" s="270"/>
      <c r="H18" s="270"/>
      <c r="I18" s="270"/>
      <c r="J18" s="270"/>
      <c r="K18" s="270"/>
      <c r="L18" s="27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Chêne pubescent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Chêne chevelu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>Cormier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>Tilleul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>Pin de Salzmann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>Cèdre de l'Atlas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P5" zoomScale="85" zoomScaleNormal="80" workbookViewId="0">
      <selection activeCell="Y35" sqref="Y35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42578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1" t="s">
        <v>272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57" t="s">
        <v>315</v>
      </c>
      <c r="I4" s="257"/>
      <c r="K4" s="299" t="s">
        <v>253</v>
      </c>
      <c r="L4" s="300"/>
      <c r="M4" s="236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1"/>
      <c r="B7" s="242"/>
      <c r="C7" s="242"/>
      <c r="D7" s="242"/>
      <c r="E7" s="243"/>
      <c r="F7" s="243" t="s">
        <v>192</v>
      </c>
      <c r="G7" s="244"/>
      <c r="H7" s="242"/>
      <c r="I7" s="242"/>
      <c r="J7" s="245"/>
      <c r="K7" s="239"/>
      <c r="L7" s="240"/>
      <c r="M7" s="240"/>
      <c r="N7" s="246" t="s">
        <v>191</v>
      </c>
      <c r="O7" s="246"/>
      <c r="P7" s="247"/>
      <c r="Q7" s="248"/>
      <c r="R7" s="291" t="s">
        <v>310</v>
      </c>
      <c r="S7" s="292"/>
      <c r="T7" s="292"/>
      <c r="U7" s="292"/>
      <c r="V7" s="293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199"/>
      <c r="K8" s="207"/>
      <c r="L8" s="23"/>
      <c r="M8" s="23"/>
      <c r="N8" s="23"/>
      <c r="O8" s="23"/>
      <c r="P8" s="23"/>
      <c r="Q8" s="233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29"/>
      <c r="G9" s="93" t="s">
        <v>314</v>
      </c>
      <c r="J9" s="199"/>
      <c r="K9" s="207"/>
      <c r="O9" s="23"/>
      <c r="P9" s="23"/>
      <c r="Q9" s="233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29"/>
      <c r="G10" s="93" t="s">
        <v>316</v>
      </c>
      <c r="J10" s="199"/>
      <c r="K10" s="207"/>
      <c r="O10" s="23"/>
      <c r="P10" s="23"/>
      <c r="Q10" s="233"/>
      <c r="R10" s="23"/>
      <c r="S10" s="36" t="str">
        <f>B14</f>
        <v>Chêne pubescent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-1290.9473732506915</v>
      </c>
      <c r="U10" s="178">
        <f>'Données projet'!D9</f>
        <v>0.14819722200000002</v>
      </c>
      <c r="V10" s="177">
        <f>U10*T10</f>
        <v>-191.3148144639496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29"/>
      <c r="G11" s="93" t="s">
        <v>313</v>
      </c>
      <c r="J11" s="199"/>
      <c r="K11" s="207"/>
      <c r="M11" s="4"/>
      <c r="N11" s="4"/>
      <c r="O11" s="23"/>
      <c r="P11" s="23"/>
      <c r="Q11" s="233"/>
      <c r="R11" s="23"/>
      <c r="S11" s="36" t="str">
        <f>B45</f>
        <v>Chêne chevelu</v>
      </c>
      <c r="T11" s="238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-911.43056496480131</v>
      </c>
      <c r="U11" s="178">
        <f>'Données projet'!D10</f>
        <v>0.44458873499999996</v>
      </c>
      <c r="V11" s="177">
        <f t="shared" ref="V11" si="0">U11*T11</f>
        <v>-405.2117619180363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29"/>
      <c r="J12" s="199"/>
      <c r="K12" s="207"/>
      <c r="L12" s="201"/>
      <c r="M12" s="23"/>
      <c r="N12" s="23"/>
      <c r="O12" s="23"/>
      <c r="P12" s="23"/>
      <c r="Q12" s="233"/>
      <c r="R12" s="23"/>
      <c r="S12" s="36" t="str">
        <f>B76</f>
        <v>Cormier</v>
      </c>
      <c r="T12" s="238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-3830.9017519919435</v>
      </c>
      <c r="U12" s="178">
        <f>'Données projet'!D11</f>
        <v>4.1165895000000001E-2</v>
      </c>
      <c r="V12" s="177">
        <f t="shared" ref="V12:V19" si="1">U12*T12</f>
        <v>-157.7024992778164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29"/>
      <c r="J13" s="23"/>
      <c r="K13" s="207"/>
      <c r="L13" s="93" t="s">
        <v>257</v>
      </c>
      <c r="M13" s="23"/>
      <c r="N13" s="23"/>
      <c r="O13" s="23"/>
      <c r="P13" s="23"/>
      <c r="Q13" s="233"/>
      <c r="R13" s="23"/>
      <c r="S13" s="36" t="str">
        <f>B107</f>
        <v>Tilleul</v>
      </c>
      <c r="T13" s="238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-2121.3879806056602</v>
      </c>
      <c r="U13" s="178">
        <f>'Données projet'!D12</f>
        <v>3.2932716000000001E-2</v>
      </c>
      <c r="V13" s="177">
        <f t="shared" si="1"/>
        <v>-69.863067891099718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Chêne pubescent</v>
      </c>
      <c r="C14" s="4"/>
      <c r="D14" s="4"/>
      <c r="E14" s="4"/>
      <c r="F14" s="229"/>
      <c r="G14" s="23"/>
      <c r="H14" s="36" t="s">
        <v>178</v>
      </c>
      <c r="I14" s="36" t="s">
        <v>290</v>
      </c>
      <c r="J14" s="200"/>
      <c r="K14" s="173"/>
      <c r="L14" s="201"/>
      <c r="M14" s="23"/>
      <c r="N14" s="23"/>
      <c r="O14" s="4"/>
      <c r="P14" s="4"/>
      <c r="Q14" s="234"/>
      <c r="R14" s="4"/>
      <c r="S14" s="36" t="str">
        <f>B138</f>
        <v>Pin de Salzmann</v>
      </c>
      <c r="T14" s="238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1931.5630155501844</v>
      </c>
      <c r="U14" s="178">
        <f>'Données projet'!D13</f>
        <v>0.90564675900000002</v>
      </c>
      <c r="V14" s="177">
        <f t="shared" si="1"/>
        <v>1749.3137848372912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29"/>
      <c r="G15" s="302" t="s">
        <v>318</v>
      </c>
      <c r="H15" s="190">
        <v>1</v>
      </c>
      <c r="I15" s="191"/>
      <c r="J15" s="201"/>
      <c r="K15" s="207"/>
      <c r="L15" s="201"/>
      <c r="M15" s="23"/>
      <c r="N15" s="23"/>
      <c r="O15" s="23"/>
      <c r="P15" s="23"/>
      <c r="Q15" s="233"/>
      <c r="R15" s="23"/>
      <c r="S15" s="36" t="str">
        <f>B169</f>
        <v>Cèdre de l'Atlas</v>
      </c>
      <c r="T15" s="238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-1134.7748082339076</v>
      </c>
      <c r="U15" s="178">
        <f>'Données projet'!D14</f>
        <v>1.358468673</v>
      </c>
      <c r="V15" s="177">
        <f t="shared" si="1"/>
        <v>-1541.556027895346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9"/>
      <c r="G16" s="302"/>
      <c r="H16" s="190"/>
      <c r="I16" s="191"/>
      <c r="J16" s="201"/>
      <c r="K16" s="207"/>
      <c r="L16" s="299" t="s">
        <v>254</v>
      </c>
      <c r="M16" s="300"/>
      <c r="N16" s="2">
        <v>30</v>
      </c>
      <c r="O16" s="23"/>
      <c r="P16" s="23"/>
      <c r="Q16" s="233"/>
      <c r="R16" s="23"/>
      <c r="S16" s="36" t="str">
        <f>B200</f>
        <v/>
      </c>
      <c r="T16" s="238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8" t="s">
        <v>132</v>
      </c>
      <c r="C17" s="197" t="s">
        <v>132</v>
      </c>
      <c r="D17" s="196" t="s">
        <v>132</v>
      </c>
      <c r="E17" s="193">
        <v>3248</v>
      </c>
      <c r="F17" s="229"/>
      <c r="G17" s="302"/>
      <c r="J17" s="201"/>
      <c r="K17" s="207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3"/>
      <c r="R17" s="23"/>
      <c r="S17" s="36" t="str">
        <f>B231</f>
        <v/>
      </c>
      <c r="T17" s="238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8" t="s">
        <v>132</v>
      </c>
      <c r="C18" s="197" t="s">
        <v>132</v>
      </c>
      <c r="D18" s="196" t="s">
        <v>132</v>
      </c>
      <c r="E18" s="193"/>
      <c r="F18" s="229"/>
      <c r="G18" s="302"/>
      <c r="J18" s="201"/>
      <c r="K18" s="207"/>
      <c r="L18" s="259" t="s">
        <v>255</v>
      </c>
      <c r="M18" s="261"/>
      <c r="N18" s="192">
        <v>10</v>
      </c>
      <c r="O18" s="23"/>
      <c r="P18" s="23"/>
      <c r="Q18" s="233"/>
      <c r="R18" s="23"/>
      <c r="S18" s="36" t="str">
        <f>B262</f>
        <v/>
      </c>
      <c r="T18" s="238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8" t="s">
        <v>132</v>
      </c>
      <c r="C19" s="197" t="s">
        <v>132</v>
      </c>
      <c r="D19" s="196" t="s">
        <v>132</v>
      </c>
      <c r="E19" s="193"/>
      <c r="F19" s="229"/>
      <c r="G19" s="302"/>
      <c r="H19" s="211" t="s">
        <v>178</v>
      </c>
      <c r="I19" s="211" t="s">
        <v>287</v>
      </c>
      <c r="J19" s="93"/>
      <c r="K19" s="173"/>
      <c r="L19" s="299" t="s">
        <v>288</v>
      </c>
      <c r="M19" s="300"/>
      <c r="N19" s="179">
        <f>N17*N18</f>
        <v>0</v>
      </c>
      <c r="O19" s="23"/>
      <c r="P19" s="4"/>
      <c r="Q19" s="234"/>
      <c r="R19" s="4"/>
      <c r="S19" s="36" t="str">
        <f>B293</f>
        <v/>
      </c>
      <c r="T19" s="238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8" t="s">
        <v>132</v>
      </c>
      <c r="C20" s="197" t="s">
        <v>132</v>
      </c>
      <c r="D20" s="196" t="s">
        <v>132</v>
      </c>
      <c r="E20" s="193"/>
      <c r="F20" s="229"/>
      <c r="G20" s="302"/>
      <c r="H20" s="190">
        <v>0</v>
      </c>
      <c r="I20" s="191">
        <f>250+50</f>
        <v>300</v>
      </c>
      <c r="J20" s="4"/>
      <c r="K20" s="173"/>
      <c r="O20" s="23"/>
      <c r="P20" s="4"/>
      <c r="Q20" s="234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8" t="s">
        <v>132</v>
      </c>
      <c r="C21" s="197" t="s">
        <v>132</v>
      </c>
      <c r="D21" s="196" t="s">
        <v>132</v>
      </c>
      <c r="E21" s="193"/>
      <c r="F21" s="229"/>
      <c r="H21" s="190">
        <v>1</v>
      </c>
      <c r="I21" s="191">
        <v>666</v>
      </c>
      <c r="K21" s="173"/>
      <c r="O21" s="23"/>
      <c r="P21" s="4"/>
      <c r="Q21" s="234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8" t="s">
        <v>132</v>
      </c>
      <c r="C22" s="197" t="s">
        <v>132</v>
      </c>
      <c r="D22" s="196" t="s">
        <v>132</v>
      </c>
      <c r="E22" s="193"/>
      <c r="F22" s="229"/>
      <c r="H22" s="190">
        <v>2</v>
      </c>
      <c r="I22" s="191">
        <v>666</v>
      </c>
      <c r="K22" s="173"/>
      <c r="O22" s="23"/>
      <c r="P22" s="4"/>
      <c r="Q22" s="234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20</v>
      </c>
      <c r="B23" s="181">
        <f>'Données projet'!D36</f>
        <v>0</v>
      </c>
      <c r="C23" s="193">
        <f>200*'Données projet'!E36+13.8*('Données projet'!F36+'Données projet'!G36)+10*'Données projet'!G36</f>
        <v>0</v>
      </c>
      <c r="D23" s="182">
        <f>B23*C23</f>
        <v>0</v>
      </c>
      <c r="E23" s="193"/>
      <c r="F23" s="229"/>
      <c r="H23" s="190">
        <v>3</v>
      </c>
      <c r="I23" s="191">
        <v>666</v>
      </c>
      <c r="K23" s="207"/>
      <c r="L23" s="301" t="s">
        <v>260</v>
      </c>
      <c r="M23" s="301"/>
      <c r="N23" s="301"/>
      <c r="O23" s="23"/>
      <c r="P23" s="23"/>
      <c r="Q23" s="233"/>
      <c r="R23" s="23"/>
      <c r="S23" s="36" t="s">
        <v>264</v>
      </c>
      <c r="T23" s="29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-10065.070930665099</v>
      </c>
      <c r="U23" s="296"/>
      <c r="V23" s="296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25</v>
      </c>
      <c r="B24" s="181">
        <f>'Données projet'!D37</f>
        <v>0</v>
      </c>
      <c r="C24" s="193">
        <f>200*'Données projet'!E37+13.8*('Données projet'!F37+'Données projet'!G37)+10*'Données projet'!G37</f>
        <v>0</v>
      </c>
      <c r="D24" s="182">
        <f t="shared" ref="D24:D42" si="2">B24*C24</f>
        <v>0</v>
      </c>
      <c r="E24" s="193"/>
      <c r="F24" s="232"/>
      <c r="H24" s="190">
        <v>4</v>
      </c>
      <c r="I24" s="191">
        <v>666</v>
      </c>
      <c r="K24" s="207"/>
      <c r="O24" s="23"/>
      <c r="P24" s="23"/>
      <c r="Q24" s="233"/>
      <c r="R24" s="23"/>
      <c r="S24" s="36" t="s">
        <v>261</v>
      </c>
      <c r="T24" s="297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297"/>
      <c r="V24" s="297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30</v>
      </c>
      <c r="B25" s="181">
        <f>'Données projet'!D38</f>
        <v>62</v>
      </c>
      <c r="C25" s="193">
        <f>200*'Données projet'!E38+13.8*('Données projet'!F38+'Données projet'!G38)+10*'Données projet'!G38</f>
        <v>0</v>
      </c>
      <c r="D25" s="182">
        <f t="shared" si="2"/>
        <v>0</v>
      </c>
      <c r="E25" s="193"/>
      <c r="F25" s="232"/>
      <c r="H25" s="190">
        <v>5</v>
      </c>
      <c r="I25" s="191">
        <v>666</v>
      </c>
      <c r="K25" s="207"/>
      <c r="L25" s="130" t="s">
        <v>285</v>
      </c>
      <c r="M25" s="130"/>
      <c r="N25" s="130"/>
      <c r="O25" s="130"/>
      <c r="P25" s="192">
        <v>0</v>
      </c>
      <c r="Q25" s="233"/>
      <c r="R25" s="23"/>
      <c r="S25" s="186" t="s">
        <v>266</v>
      </c>
      <c r="T25" s="298">
        <f ca="1">T23-T24</f>
        <v>-10065.070930665099</v>
      </c>
      <c r="U25" s="298"/>
      <c r="V25" s="298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35</v>
      </c>
      <c r="B26" s="181">
        <f>'Données projet'!D39</f>
        <v>28</v>
      </c>
      <c r="C26" s="193">
        <f>200*'Données projet'!E39+13.8*('Données projet'!F39+'Données projet'!G39)+10*'Données projet'!G39</f>
        <v>0</v>
      </c>
      <c r="D26" s="182">
        <f t="shared" si="2"/>
        <v>0</v>
      </c>
      <c r="E26" s="193"/>
      <c r="F26" s="232"/>
      <c r="G26" s="228"/>
      <c r="H26" s="190"/>
      <c r="I26" s="191"/>
      <c r="K26" s="207"/>
      <c r="L26" s="285" t="s">
        <v>258</v>
      </c>
      <c r="M26" s="286"/>
      <c r="N26" s="286"/>
      <c r="O26" s="286"/>
      <c r="P26" s="287"/>
      <c r="Q26" s="233"/>
      <c r="R26" s="23"/>
      <c r="S26" s="186" t="s">
        <v>265</v>
      </c>
      <c r="T26" s="295" t="str">
        <f ca="1">IF(T25&lt;0,"Votre projet est additionnel","Votre projet n'est pas additionnel")</f>
        <v>Votre projet est additionnel</v>
      </c>
      <c r="U26" s="295"/>
      <c r="V26" s="295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40</v>
      </c>
      <c r="B27" s="181">
        <f>'Données projet'!D40</f>
        <v>28</v>
      </c>
      <c r="C27" s="193">
        <f>200*'Données projet'!E40+13.8*('Données projet'!F40+'Données projet'!G40)+10*'Données projet'!G40</f>
        <v>40</v>
      </c>
      <c r="D27" s="182">
        <f t="shared" si="2"/>
        <v>1120</v>
      </c>
      <c r="E27" s="193"/>
      <c r="F27" s="232"/>
      <c r="G27" s="228"/>
      <c r="H27" s="190"/>
      <c r="I27" s="191"/>
      <c r="K27" s="207"/>
      <c r="L27" s="288"/>
      <c r="M27" s="289"/>
      <c r="N27" s="289"/>
      <c r="O27" s="289"/>
      <c r="P27" s="290"/>
      <c r="Q27" s="233"/>
      <c r="R27" s="23"/>
      <c r="S27" s="294" t="s">
        <v>267</v>
      </c>
      <c r="T27" s="294"/>
      <c r="U27" s="294"/>
      <c r="V27" s="29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45</v>
      </c>
      <c r="B28" s="181">
        <f>'Données projet'!D41</f>
        <v>28</v>
      </c>
      <c r="C28" s="193">
        <f>200*'Données projet'!E41+13.8*('Données projet'!F41+'Données projet'!G41)+10*'Données projet'!G41</f>
        <v>40</v>
      </c>
      <c r="D28" s="182">
        <f t="shared" si="2"/>
        <v>1120</v>
      </c>
      <c r="E28" s="193"/>
      <c r="F28" s="232"/>
      <c r="G28" s="204"/>
      <c r="H28" s="190"/>
      <c r="I28" s="191"/>
      <c r="K28" s="207"/>
      <c r="Q28" s="233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50</v>
      </c>
      <c r="B29" s="181">
        <f>'Données projet'!D42</f>
        <v>28</v>
      </c>
      <c r="C29" s="193">
        <f>200*'Données projet'!E42+13.8*('Données projet'!F42+'Données projet'!G42)+10*'Données projet'!G42</f>
        <v>60</v>
      </c>
      <c r="D29" s="182">
        <f t="shared" si="2"/>
        <v>1680</v>
      </c>
      <c r="E29" s="193"/>
      <c r="F29" s="232"/>
      <c r="G29" s="202"/>
      <c r="H29" s="190"/>
      <c r="I29" s="191"/>
      <c r="K29" s="207"/>
      <c r="O29" s="23"/>
      <c r="P29" s="23"/>
      <c r="Q29" s="233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55</v>
      </c>
      <c r="B30" s="181">
        <f>'Données projet'!D43</f>
        <v>28</v>
      </c>
      <c r="C30" s="193">
        <f>200*'Données projet'!E43+13.8*('Données projet'!F43+'Données projet'!G43)+10*'Données projet'!G43</f>
        <v>60</v>
      </c>
      <c r="D30" s="182">
        <f t="shared" si="2"/>
        <v>1680</v>
      </c>
      <c r="E30" s="193"/>
      <c r="F30" s="232"/>
      <c r="G30" s="202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4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60</v>
      </c>
      <c r="B31" s="181">
        <f>'Données projet'!D44</f>
        <v>28</v>
      </c>
      <c r="C31" s="193">
        <f>200*'Données projet'!E44+13.8*('Données projet'!F44+'Données projet'!G44)+10*'Données projet'!G44</f>
        <v>80</v>
      </c>
      <c r="D31" s="182">
        <f t="shared" si="2"/>
        <v>2240</v>
      </c>
      <c r="E31" s="193"/>
      <c r="F31" s="232"/>
      <c r="G31" s="202"/>
      <c r="H31" s="190"/>
      <c r="I31" s="191"/>
      <c r="K31" s="173"/>
      <c r="Q31" s="233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65</v>
      </c>
      <c r="B32" s="181">
        <f>'Données projet'!D45</f>
        <v>28</v>
      </c>
      <c r="C32" s="193">
        <f>200*'Données projet'!E45+13.8*('Données projet'!F45+'Données projet'!G45)+10*'Données projet'!G45</f>
        <v>80</v>
      </c>
      <c r="D32" s="182">
        <f t="shared" si="2"/>
        <v>2240</v>
      </c>
      <c r="E32" s="193"/>
      <c r="F32" s="232"/>
      <c r="G32" s="202"/>
      <c r="H32" s="190"/>
      <c r="I32" s="191"/>
      <c r="K32" s="173"/>
      <c r="N32" s="4"/>
      <c r="O32" s="85" t="s">
        <v>178</v>
      </c>
      <c r="P32" s="85" t="s">
        <v>252</v>
      </c>
      <c r="Q32" s="233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70</v>
      </c>
      <c r="B33" s="181">
        <f>'Données projet'!D46</f>
        <v>28</v>
      </c>
      <c r="C33" s="193">
        <f>200*'Données projet'!E46+13.8*('Données projet'!F46+'Données projet'!G46)+10*'Données projet'!G46</f>
        <v>100</v>
      </c>
      <c r="D33" s="182">
        <f t="shared" si="2"/>
        <v>2800</v>
      </c>
      <c r="E33" s="193"/>
      <c r="F33" s="232"/>
      <c r="G33" s="202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3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75</v>
      </c>
      <c r="B34" s="181">
        <f>'Données projet'!D47</f>
        <v>28</v>
      </c>
      <c r="C34" s="193">
        <f>200*'Données projet'!E47+13.8*('Données projet'!F47+'Données projet'!G47)+10*'Données projet'!G47</f>
        <v>100</v>
      </c>
      <c r="D34" s="182">
        <f t="shared" si="2"/>
        <v>2800</v>
      </c>
      <c r="E34" s="193"/>
      <c r="F34" s="232"/>
      <c r="G34" s="202"/>
      <c r="H34" s="190"/>
      <c r="I34" s="191"/>
      <c r="K34" s="173"/>
      <c r="L34" s="98"/>
      <c r="M34" s="98"/>
      <c r="N34" s="249"/>
      <c r="O34" s="194">
        <f>IF(O33+1&lt;=MIN('Données projet'!$E$9:$E$18),O33+1,"STOP")</f>
        <v>1</v>
      </c>
      <c r="P34" s="185">
        <f t="shared" si="3"/>
        <v>0</v>
      </c>
      <c r="Q34" s="233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80</v>
      </c>
      <c r="B35" s="181">
        <f>'Données projet'!D48</f>
        <v>28</v>
      </c>
      <c r="C35" s="193">
        <f>200*'Données projet'!E48+13.8*('Données projet'!F48+'Données projet'!G48)+10*'Données projet'!G48</f>
        <v>120</v>
      </c>
      <c r="D35" s="182">
        <f t="shared" si="2"/>
        <v>3360</v>
      </c>
      <c r="E35" s="193"/>
      <c r="F35" s="232"/>
      <c r="G35" s="202"/>
      <c r="H35" s="190"/>
      <c r="I35" s="191"/>
      <c r="K35" s="173"/>
      <c r="L35" s="98"/>
      <c r="M35" s="98"/>
      <c r="N35" s="249"/>
      <c r="O35" s="194">
        <f>IF(O34+1&lt;=MIN('Données projet'!$E$9:$E$18),O34+1,"STOP")</f>
        <v>2</v>
      </c>
      <c r="P35" s="185">
        <f t="shared" si="3"/>
        <v>0</v>
      </c>
      <c r="Q35" s="233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85</v>
      </c>
      <c r="B36" s="181">
        <f>'Données projet'!D49</f>
        <v>28</v>
      </c>
      <c r="C36" s="193">
        <f>200*'Données projet'!E49+13.8*('Données projet'!F49+'Données projet'!G49)+10*'Données projet'!G49</f>
        <v>120</v>
      </c>
      <c r="D36" s="182">
        <f t="shared" si="2"/>
        <v>3360</v>
      </c>
      <c r="E36" s="193"/>
      <c r="F36" s="232"/>
      <c r="G36" s="202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3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90</v>
      </c>
      <c r="B37" s="181">
        <f>'Données projet'!D50</f>
        <v>28</v>
      </c>
      <c r="C37" s="193">
        <f>200*'Données projet'!E50+13.8*('Données projet'!F50+'Données projet'!G50)+10*'Données projet'!G50</f>
        <v>140</v>
      </c>
      <c r="D37" s="182">
        <f t="shared" si="2"/>
        <v>3920</v>
      </c>
      <c r="E37" s="193"/>
      <c r="F37" s="232"/>
      <c r="G37" s="202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3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95</v>
      </c>
      <c r="B38" s="181">
        <f>'Données projet'!D51</f>
        <v>28</v>
      </c>
      <c r="C38" s="193">
        <f>200*'Données projet'!E51+13.8*('Données projet'!F51+'Données projet'!G51)+10*'Données projet'!G51</f>
        <v>140</v>
      </c>
      <c r="D38" s="182">
        <f t="shared" si="2"/>
        <v>3920</v>
      </c>
      <c r="E38" s="193"/>
      <c r="F38" s="232"/>
      <c r="G38" s="202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3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100</v>
      </c>
      <c r="B39" s="181">
        <f>'Données projet'!D52</f>
        <v>27</v>
      </c>
      <c r="C39" s="193">
        <f>200*'Données projet'!E52+13.8*('Données projet'!F52+'Données projet'!G52)+10*'Données projet'!G52</f>
        <v>160</v>
      </c>
      <c r="D39" s="182">
        <f t="shared" si="2"/>
        <v>4320</v>
      </c>
      <c r="E39" s="193"/>
      <c r="F39" s="232"/>
      <c r="G39" s="202"/>
      <c r="H39" s="190"/>
      <c r="I39" s="191"/>
      <c r="K39" s="207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3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110</v>
      </c>
      <c r="B40" s="181">
        <f>'Données projet'!D53</f>
        <v>51</v>
      </c>
      <c r="C40" s="193">
        <f>200*'Données projet'!E53+13.8*('Données projet'!F53+'Données projet'!G53)+10*'Données projet'!G53</f>
        <v>160</v>
      </c>
      <c r="D40" s="182">
        <f t="shared" si="2"/>
        <v>8160</v>
      </c>
      <c r="E40" s="193"/>
      <c r="F40" s="232"/>
      <c r="G40" s="202"/>
      <c r="H40" s="190"/>
      <c r="I40" s="191"/>
      <c r="K40" s="207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3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115</v>
      </c>
      <c r="B41" s="181">
        <f>'Données projet'!D54</f>
        <v>24</v>
      </c>
      <c r="C41" s="193">
        <f>200*'Données projet'!E54+13.8*('Données projet'!F54+'Données projet'!G54)+10*'Données projet'!G54</f>
        <v>160</v>
      </c>
      <c r="D41" s="182">
        <f t="shared" si="2"/>
        <v>3840</v>
      </c>
      <c r="E41" s="193"/>
      <c r="F41" s="232"/>
      <c r="G41" s="202"/>
      <c r="H41" s="190"/>
      <c r="I41" s="191"/>
      <c r="K41" s="207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3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120</v>
      </c>
      <c r="B42" s="181">
        <f>'Données projet'!D55</f>
        <v>328</v>
      </c>
      <c r="C42" s="193">
        <f>200*'Données projet'!E55+13.8*('Données projet'!F55+'Données projet'!G55)+10*'Données projet'!G55</f>
        <v>180</v>
      </c>
      <c r="D42" s="182">
        <f t="shared" si="2"/>
        <v>59040</v>
      </c>
      <c r="E42" s="193"/>
      <c r="F42" s="232"/>
      <c r="G42" s="202"/>
      <c r="H42" s="190"/>
      <c r="I42" s="191"/>
      <c r="K42" s="207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3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6"/>
      <c r="E43" s="226"/>
      <c r="F43" s="237"/>
      <c r="G43" s="202"/>
      <c r="H43" s="190"/>
      <c r="I43" s="191"/>
      <c r="K43" s="207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29"/>
      <c r="G44" s="202"/>
      <c r="H44" s="190"/>
      <c r="I44" s="191"/>
      <c r="K44" s="207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Chêne chevelu</v>
      </c>
      <c r="C45" s="4"/>
      <c r="D45" s="4"/>
      <c r="E45" s="4"/>
      <c r="F45" s="229"/>
      <c r="G45" s="202"/>
      <c r="H45" s="190"/>
      <c r="I45" s="191"/>
      <c r="J45" s="23"/>
      <c r="K45" s="207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29"/>
      <c r="G46" s="202"/>
      <c r="H46" s="190"/>
      <c r="I46" s="191"/>
      <c r="J46" s="23"/>
      <c r="K46" s="207"/>
      <c r="L46" s="203"/>
      <c r="M46" s="203"/>
      <c r="N46" s="203"/>
      <c r="O46" s="194">
        <f>IF(O45+1&lt;=MIN('Données projet'!$E$9:$E$18),O45+1,"STOP")</f>
        <v>13</v>
      </c>
      <c r="P46" s="188">
        <f t="shared" si="3"/>
        <v>0</v>
      </c>
      <c r="Q46" s="23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0"/>
      <c r="G47" s="202"/>
      <c r="H47" s="190"/>
      <c r="I47" s="191"/>
      <c r="J47" s="23"/>
      <c r="K47" s="207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8" t="s">
        <v>132</v>
      </c>
      <c r="C48" s="197" t="s">
        <v>132</v>
      </c>
      <c r="D48" s="196" t="s">
        <v>132</v>
      </c>
      <c r="E48" s="193">
        <v>3248</v>
      </c>
      <c r="F48" s="230"/>
      <c r="G48" s="202"/>
      <c r="H48" s="190"/>
      <c r="I48" s="191"/>
      <c r="J48" s="23"/>
      <c r="K48" s="207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8" t="s">
        <v>132</v>
      </c>
      <c r="C49" s="197" t="s">
        <v>132</v>
      </c>
      <c r="D49" s="196" t="s">
        <v>132</v>
      </c>
      <c r="E49" s="193"/>
      <c r="F49" s="230"/>
      <c r="G49" s="203"/>
      <c r="H49" s="190"/>
      <c r="I49" s="191"/>
      <c r="J49" s="203"/>
      <c r="K49" s="209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5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8" t="s">
        <v>132</v>
      </c>
      <c r="C50" s="197" t="s">
        <v>132</v>
      </c>
      <c r="D50" s="196" t="s">
        <v>132</v>
      </c>
      <c r="E50" s="193"/>
      <c r="F50" s="230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8" t="s">
        <v>132</v>
      </c>
      <c r="C51" s="197" t="s">
        <v>132</v>
      </c>
      <c r="D51" s="196" t="s">
        <v>132</v>
      </c>
      <c r="E51" s="193"/>
      <c r="F51" s="230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8" t="s">
        <v>132</v>
      </c>
      <c r="C52" s="197" t="s">
        <v>132</v>
      </c>
      <c r="D52" s="196" t="s">
        <v>132</v>
      </c>
      <c r="E52" s="193"/>
      <c r="F52" s="230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8" t="s">
        <v>132</v>
      </c>
      <c r="C53" s="197" t="s">
        <v>132</v>
      </c>
      <c r="D53" s="196" t="s">
        <v>132</v>
      </c>
      <c r="E53" s="193"/>
      <c r="F53" s="230"/>
      <c r="G53" s="204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20</v>
      </c>
      <c r="B54" s="181">
        <f>'Données projet'!D62</f>
        <v>0</v>
      </c>
      <c r="C54" s="191">
        <f>200*'Données projet'!E62+13.8*('Données projet'!F62+'Données projet'!G62)+10*'Données projet'!H62</f>
        <v>10</v>
      </c>
      <c r="D54" s="179">
        <f>B54*C54</f>
        <v>0</v>
      </c>
      <c r="E54" s="193"/>
      <c r="F54" s="231"/>
      <c r="G54" s="204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25</v>
      </c>
      <c r="B55" s="181">
        <f>'Données projet'!D63</f>
        <v>0</v>
      </c>
      <c r="C55" s="191">
        <f>200*'Données projet'!E63+13.8*('Données projet'!F63+'Données projet'!G63)+10*'Données projet'!H63</f>
        <v>10</v>
      </c>
      <c r="D55" s="179">
        <f t="shared" ref="D55:D73" si="4">B55*C55</f>
        <v>0</v>
      </c>
      <c r="E55" s="193"/>
      <c r="F55" s="231"/>
      <c r="G55" s="204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30</v>
      </c>
      <c r="B56" s="181">
        <f>'Données projet'!D64</f>
        <v>62</v>
      </c>
      <c r="C56" s="191">
        <f>200*'Données projet'!E64+13.8*('Données projet'!F64+'Données projet'!G64)+10*'Données projet'!H64</f>
        <v>10</v>
      </c>
      <c r="D56" s="179">
        <f t="shared" si="4"/>
        <v>620</v>
      </c>
      <c r="E56" s="193"/>
      <c r="F56" s="231"/>
      <c r="G56" s="204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35</v>
      </c>
      <c r="B57" s="181">
        <f>'Données projet'!D65</f>
        <v>28</v>
      </c>
      <c r="C57" s="191">
        <f>200*'Données projet'!E65+13.8*('Données projet'!F65+'Données projet'!G65)+10*'Données projet'!H65</f>
        <v>10</v>
      </c>
      <c r="D57" s="179">
        <f t="shared" si="4"/>
        <v>280</v>
      </c>
      <c r="E57" s="193"/>
      <c r="F57" s="231"/>
      <c r="G57" s="204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40</v>
      </c>
      <c r="B58" s="181">
        <f>'Données projet'!D66</f>
        <v>28</v>
      </c>
      <c r="C58" s="191">
        <f>200*'Données projet'!E66+13.8*('Données projet'!F66+'Données projet'!G66)+10*'Données projet'!H66</f>
        <v>48</v>
      </c>
      <c r="D58" s="179">
        <f t="shared" si="4"/>
        <v>1344</v>
      </c>
      <c r="E58" s="193"/>
      <c r="F58" s="231"/>
      <c r="G58" s="204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45</v>
      </c>
      <c r="B59" s="181">
        <f>'Données projet'!D67</f>
        <v>28</v>
      </c>
      <c r="C59" s="191">
        <f>200*'Données projet'!E67+13.8*('Données projet'!F67+'Données projet'!G67)+10*'Données projet'!H67</f>
        <v>48</v>
      </c>
      <c r="D59" s="179">
        <f t="shared" si="4"/>
        <v>1344</v>
      </c>
      <c r="E59" s="193"/>
      <c r="F59" s="231"/>
      <c r="G59" s="204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50</v>
      </c>
      <c r="B60" s="181">
        <f>'Données projet'!D68</f>
        <v>28</v>
      </c>
      <c r="C60" s="191">
        <f>200*'Données projet'!E68+13.8*('Données projet'!F68+'Données projet'!G68)+10*'Données projet'!H68</f>
        <v>67</v>
      </c>
      <c r="D60" s="179">
        <f t="shared" si="4"/>
        <v>1876</v>
      </c>
      <c r="E60" s="193"/>
      <c r="F60" s="231"/>
      <c r="G60" s="205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55</v>
      </c>
      <c r="B61" s="181">
        <f>'Données projet'!D69</f>
        <v>28</v>
      </c>
      <c r="C61" s="191">
        <f>200*'Données projet'!E69+13.8*('Données projet'!F69+'Données projet'!G69)+10*'Données projet'!H69</f>
        <v>67</v>
      </c>
      <c r="D61" s="179">
        <f t="shared" si="4"/>
        <v>1876</v>
      </c>
      <c r="E61" s="193"/>
      <c r="F61" s="231"/>
      <c r="G61" s="205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60</v>
      </c>
      <c r="B62" s="181">
        <f>'Données projet'!D70</f>
        <v>28</v>
      </c>
      <c r="C62" s="191">
        <f>200*'Données projet'!E70+13.8*('Données projet'!F70+'Données projet'!G70)+10*'Données projet'!H70</f>
        <v>86</v>
      </c>
      <c r="D62" s="179">
        <f t="shared" si="4"/>
        <v>2408</v>
      </c>
      <c r="E62" s="193"/>
      <c r="F62" s="231"/>
      <c r="G62" s="205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65</v>
      </c>
      <c r="B63" s="181">
        <f>'Données projet'!D71</f>
        <v>28</v>
      </c>
      <c r="C63" s="191">
        <f>200*'Données projet'!E71+13.8*('Données projet'!F71+'Données projet'!G71)+10*'Données projet'!H71</f>
        <v>86</v>
      </c>
      <c r="D63" s="179">
        <f t="shared" si="4"/>
        <v>2408</v>
      </c>
      <c r="E63" s="193"/>
      <c r="F63" s="231"/>
      <c r="G63" s="205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70</v>
      </c>
      <c r="B64" s="181">
        <f>'Données projet'!D72</f>
        <v>28</v>
      </c>
      <c r="C64" s="191">
        <f>200*'Données projet'!E72+13.8*('Données projet'!F72+'Données projet'!G72)+10*'Données projet'!H72</f>
        <v>105</v>
      </c>
      <c r="D64" s="179">
        <f t="shared" si="4"/>
        <v>2940</v>
      </c>
      <c r="E64" s="193"/>
      <c r="F64" s="231"/>
      <c r="G64" s="205"/>
      <c r="H64" s="190"/>
      <c r="I64" s="191"/>
      <c r="J64" s="206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75</v>
      </c>
      <c r="B65" s="181">
        <f>'Données projet'!D73</f>
        <v>28</v>
      </c>
      <c r="C65" s="191">
        <f>200*'Données projet'!E73+13.8*('Données projet'!F73+'Données projet'!G73)+10*'Données projet'!H73</f>
        <v>105</v>
      </c>
      <c r="D65" s="179">
        <f t="shared" si="4"/>
        <v>2940</v>
      </c>
      <c r="E65" s="193"/>
      <c r="F65" s="231"/>
      <c r="G65" s="205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80</v>
      </c>
      <c r="B66" s="181">
        <f>'Données projet'!D74</f>
        <v>28</v>
      </c>
      <c r="C66" s="191">
        <f>200*'Données projet'!E74+13.8*('Données projet'!F74+'Données projet'!G74)+10*'Données projet'!H74</f>
        <v>124</v>
      </c>
      <c r="D66" s="179">
        <f t="shared" si="4"/>
        <v>3472</v>
      </c>
      <c r="E66" s="193"/>
      <c r="F66" s="231"/>
      <c r="G66" s="205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85</v>
      </c>
      <c r="B67" s="181">
        <f>'Données projet'!D75</f>
        <v>28</v>
      </c>
      <c r="C67" s="191">
        <f>200*'Données projet'!E75+13.8*('Données projet'!F75+'Données projet'!G75)+10*'Données projet'!H75</f>
        <v>124</v>
      </c>
      <c r="D67" s="179">
        <f t="shared" si="4"/>
        <v>3472</v>
      </c>
      <c r="E67" s="193"/>
      <c r="F67" s="231"/>
      <c r="G67" s="205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90</v>
      </c>
      <c r="B68" s="181">
        <f>'Données projet'!D76</f>
        <v>28</v>
      </c>
      <c r="C68" s="191">
        <f>200*'Données projet'!E76+13.8*('Données projet'!F76+'Données projet'!G76)+10*'Données projet'!H76</f>
        <v>143</v>
      </c>
      <c r="D68" s="179">
        <f t="shared" si="4"/>
        <v>4004</v>
      </c>
      <c r="E68" s="193"/>
      <c r="F68" s="231"/>
      <c r="G68" s="205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95</v>
      </c>
      <c r="B69" s="181">
        <f>'Données projet'!D77</f>
        <v>28</v>
      </c>
      <c r="C69" s="191">
        <f>200*'Données projet'!E77+13.8*('Données projet'!F77+'Données projet'!G77)+10*'Données projet'!H77</f>
        <v>143</v>
      </c>
      <c r="D69" s="179">
        <f t="shared" si="4"/>
        <v>4004</v>
      </c>
      <c r="E69" s="193"/>
      <c r="F69" s="231"/>
      <c r="G69" s="205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100</v>
      </c>
      <c r="B70" s="181">
        <f>'Données projet'!D78</f>
        <v>27</v>
      </c>
      <c r="C70" s="191">
        <f>200*'Données projet'!E78+13.8*('Données projet'!F78+'Données projet'!G78)+10*'Données projet'!H78</f>
        <v>162</v>
      </c>
      <c r="D70" s="179">
        <f t="shared" si="4"/>
        <v>4374</v>
      </c>
      <c r="E70" s="193"/>
      <c r="F70" s="231"/>
      <c r="G70" s="205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110</v>
      </c>
      <c r="B71" s="181">
        <f>'Données projet'!D79</f>
        <v>51</v>
      </c>
      <c r="C71" s="191">
        <f>200*'Données projet'!E79+13.8*('Données projet'!F79+'Données projet'!G79)+10*'Données projet'!H79</f>
        <v>162</v>
      </c>
      <c r="D71" s="179">
        <f t="shared" si="4"/>
        <v>8262</v>
      </c>
      <c r="E71" s="193"/>
      <c r="F71" s="231"/>
      <c r="G71" s="205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115</v>
      </c>
      <c r="B72" s="181">
        <f>'Données projet'!D80</f>
        <v>24</v>
      </c>
      <c r="C72" s="191">
        <f>200*'Données projet'!E80+13.8*('Données projet'!F80+'Données projet'!G80)+10*'Données projet'!H80</f>
        <v>162</v>
      </c>
      <c r="D72" s="179">
        <f t="shared" si="4"/>
        <v>3888</v>
      </c>
      <c r="E72" s="193"/>
      <c r="F72" s="231"/>
      <c r="G72" s="205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120</v>
      </c>
      <c r="B73" s="181">
        <f>'Données projet'!D81</f>
        <v>328</v>
      </c>
      <c r="C73" s="191">
        <f>200*'Données projet'!E81+13.8*('Données projet'!F81+'Données projet'!G81)+10*'Données projet'!H81</f>
        <v>181</v>
      </c>
      <c r="D73" s="179">
        <f t="shared" si="4"/>
        <v>59368</v>
      </c>
      <c r="E73" s="193"/>
      <c r="F73" s="231"/>
      <c r="G73" s="205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29"/>
      <c r="G74" s="205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29"/>
      <c r="G75" s="205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>Cormier</v>
      </c>
      <c r="C76" s="4"/>
      <c r="D76" s="4"/>
      <c r="E76" s="4"/>
      <c r="F76" s="229"/>
      <c r="G76" s="205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29"/>
      <c r="G77" s="205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ht="30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0"/>
      <c r="G78" s="205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8" t="s">
        <v>132</v>
      </c>
      <c r="C79" s="197" t="s">
        <v>132</v>
      </c>
      <c r="D79" s="196" t="s">
        <v>132</v>
      </c>
      <c r="E79" s="193">
        <v>4081</v>
      </c>
      <c r="F79" s="230"/>
      <c r="G79" s="205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8" t="s">
        <v>132</v>
      </c>
      <c r="C80" s="197" t="s">
        <v>132</v>
      </c>
      <c r="D80" s="196" t="s">
        <v>132</v>
      </c>
      <c r="E80" s="193"/>
      <c r="F80" s="230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8" t="s">
        <v>132</v>
      </c>
      <c r="C81" s="197" t="s">
        <v>132</v>
      </c>
      <c r="D81" s="196" t="s">
        <v>132</v>
      </c>
      <c r="E81" s="193"/>
      <c r="F81" s="230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8" t="s">
        <v>132</v>
      </c>
      <c r="C82" s="197" t="s">
        <v>132</v>
      </c>
      <c r="D82" s="196" t="s">
        <v>132</v>
      </c>
      <c r="E82" s="193"/>
      <c r="F82" s="230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8" t="s">
        <v>132</v>
      </c>
      <c r="C83" s="197" t="s">
        <v>132</v>
      </c>
      <c r="D83" s="196" t="s">
        <v>132</v>
      </c>
      <c r="E83" s="193"/>
      <c r="F83" s="230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8" t="s">
        <v>132</v>
      </c>
      <c r="C84" s="197" t="s">
        <v>132</v>
      </c>
      <c r="D84" s="196" t="s">
        <v>132</v>
      </c>
      <c r="E84" s="193"/>
      <c r="F84" s="230"/>
      <c r="G84" s="204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25</v>
      </c>
      <c r="B85" s="181">
        <f>'Données projet'!D88</f>
        <v>0</v>
      </c>
      <c r="C85" s="191">
        <f>42*'Données projet'!E88+19.4*('Données projet'!F88+'Données projet'!G88)+10*'Données projet'!H88</f>
        <v>10</v>
      </c>
      <c r="D85" s="179">
        <f>B85*C85</f>
        <v>0</v>
      </c>
      <c r="E85" s="193"/>
      <c r="F85" s="231"/>
      <c r="G85" s="204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30</v>
      </c>
      <c r="B86" s="181">
        <f>'Données projet'!D89</f>
        <v>0</v>
      </c>
      <c r="C86" s="191">
        <f>30*'Données projet'!E89+13.8*('Données projet'!F89+'Données projet'!G89)+10*'Données projet'!H89</f>
        <v>10</v>
      </c>
      <c r="D86" s="179">
        <f t="shared" ref="D86:D104" si="6">B86*C86</f>
        <v>0</v>
      </c>
      <c r="E86" s="193"/>
      <c r="F86" s="231"/>
      <c r="G86" s="204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35</v>
      </c>
      <c r="B87" s="181">
        <f>'Données projet'!D90</f>
        <v>13</v>
      </c>
      <c r="C87" s="191">
        <f>30*'Données projet'!E90+13.8*('Données projet'!F90+'Données projet'!G90)+10*'Données projet'!H90</f>
        <v>10</v>
      </c>
      <c r="D87" s="179">
        <f t="shared" si="6"/>
        <v>130</v>
      </c>
      <c r="E87" s="193"/>
      <c r="F87" s="231"/>
      <c r="G87" s="204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40</v>
      </c>
      <c r="B88" s="181">
        <f>'Données projet'!D91</f>
        <v>14</v>
      </c>
      <c r="C88" s="191">
        <f>30*'Données projet'!E91+13.8*('Données projet'!F91+'Données projet'!G91)+10*'Données projet'!H91</f>
        <v>14</v>
      </c>
      <c r="D88" s="179">
        <f t="shared" si="6"/>
        <v>196</v>
      </c>
      <c r="E88" s="193"/>
      <c r="F88" s="231"/>
      <c r="G88" s="204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45</v>
      </c>
      <c r="B89" s="181">
        <f>'Données projet'!D92</f>
        <v>14</v>
      </c>
      <c r="C89" s="191">
        <f>30*'Données projet'!E92+13.8*('Données projet'!F92+'Données projet'!G92)+10*'Données projet'!H92</f>
        <v>14</v>
      </c>
      <c r="D89" s="179">
        <f t="shared" si="6"/>
        <v>196</v>
      </c>
      <c r="E89" s="193"/>
      <c r="F89" s="231"/>
      <c r="G89" s="204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50</v>
      </c>
      <c r="B90" s="181">
        <f>'Données projet'!D93</f>
        <v>14</v>
      </c>
      <c r="C90" s="191">
        <f>30*'Données projet'!E93+13.8*('Données projet'!F93+'Données projet'!G93)+10*'Données projet'!H93</f>
        <v>14</v>
      </c>
      <c r="D90" s="179">
        <f t="shared" si="6"/>
        <v>196</v>
      </c>
      <c r="E90" s="193"/>
      <c r="F90" s="231"/>
      <c r="G90" s="204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55</v>
      </c>
      <c r="B91" s="181">
        <f>'Données projet'!D94</f>
        <v>14</v>
      </c>
      <c r="C91" s="191">
        <f>30*'Données projet'!E94+13.8*('Données projet'!F94+'Données projet'!G94)+10*'Données projet'!H94</f>
        <v>16</v>
      </c>
      <c r="D91" s="179">
        <f t="shared" si="6"/>
        <v>224</v>
      </c>
      <c r="E91" s="193"/>
      <c r="F91" s="231"/>
      <c r="G91" s="205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60</v>
      </c>
      <c r="B92" s="181">
        <f>'Données projet'!D95</f>
        <v>14</v>
      </c>
      <c r="C92" s="191">
        <f>30*'Données projet'!E95+13.8*('Données projet'!F95+'Données projet'!G95)+10*'Données projet'!H95</f>
        <v>16</v>
      </c>
      <c r="D92" s="179">
        <f t="shared" si="6"/>
        <v>224</v>
      </c>
      <c r="E92" s="193"/>
      <c r="F92" s="231"/>
      <c r="G92" s="205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65</v>
      </c>
      <c r="B93" s="181">
        <f>'Données projet'!D96</f>
        <v>14</v>
      </c>
      <c r="C93" s="191">
        <f>30*'Données projet'!E96+13.8*('Données projet'!F96+'Données projet'!G96)+10*'Données projet'!H96</f>
        <v>18</v>
      </c>
      <c r="D93" s="179">
        <f t="shared" si="6"/>
        <v>252</v>
      </c>
      <c r="E93" s="193"/>
      <c r="F93" s="231"/>
      <c r="G93" s="205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70</v>
      </c>
      <c r="B94" s="181">
        <f>'Données projet'!D97</f>
        <v>14</v>
      </c>
      <c r="C94" s="191">
        <f>30*'Données projet'!E97+13.8*('Données projet'!F97+'Données projet'!G97)+10*'Données projet'!H97</f>
        <v>18</v>
      </c>
      <c r="D94" s="179">
        <f t="shared" si="6"/>
        <v>252</v>
      </c>
      <c r="E94" s="193"/>
      <c r="F94" s="231"/>
      <c r="G94" s="205"/>
      <c r="H94" s="190"/>
      <c r="I94" s="191"/>
      <c r="J94" s="4"/>
      <c r="K94" s="173"/>
      <c r="L94" s="4"/>
      <c r="M94" s="4"/>
      <c r="N94" s="4"/>
      <c r="O94" s="194" t="str">
        <f>IF(O93+1&lt;=MIN('Données projet'!$E$9:$E$18),O93+1,"STOP")</f>
        <v>STOP</v>
      </c>
      <c r="P94" s="185" t="e">
        <f t="shared" si="5"/>
        <v>#VALUE!</v>
      </c>
      <c r="Q94" s="23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75</v>
      </c>
      <c r="B95" s="181">
        <f>'Données projet'!D98</f>
        <v>14</v>
      </c>
      <c r="C95" s="191">
        <f>30*'Données projet'!E98+13.8*('Données projet'!F98+'Données projet'!G98)+10*'Données projet'!H98</f>
        <v>20</v>
      </c>
      <c r="D95" s="179">
        <f t="shared" si="6"/>
        <v>280</v>
      </c>
      <c r="E95" s="193"/>
      <c r="F95" s="231"/>
      <c r="G95" s="205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80</v>
      </c>
      <c r="B96" s="181">
        <f>'Données projet'!D99</f>
        <v>14</v>
      </c>
      <c r="C96" s="191">
        <f>30*'Données projet'!E99+13.8*('Données projet'!F99+'Données projet'!G99)+10*'Données projet'!H99</f>
        <v>20</v>
      </c>
      <c r="D96" s="179">
        <f t="shared" si="6"/>
        <v>280</v>
      </c>
      <c r="E96" s="193"/>
      <c r="F96" s="231"/>
      <c r="G96" s="205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85</v>
      </c>
      <c r="B97" s="181">
        <f>'Données projet'!D100</f>
        <v>14</v>
      </c>
      <c r="C97" s="191">
        <f>30*'Données projet'!E100+13.8*('Données projet'!F100+'Données projet'!G100)+10*'Données projet'!H100</f>
        <v>22</v>
      </c>
      <c r="D97" s="179">
        <f t="shared" si="6"/>
        <v>308</v>
      </c>
      <c r="E97" s="193"/>
      <c r="F97" s="231"/>
      <c r="G97" s="205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90</v>
      </c>
      <c r="B98" s="181">
        <f>'Données projet'!D101</f>
        <v>14</v>
      </c>
      <c r="C98" s="191">
        <f>30*'Données projet'!E101+13.8*('Données projet'!F101+'Données projet'!G101)+10*'Données projet'!H101</f>
        <v>22</v>
      </c>
      <c r="D98" s="179">
        <f t="shared" si="6"/>
        <v>308</v>
      </c>
      <c r="E98" s="193"/>
      <c r="F98" s="231"/>
      <c r="G98" s="205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95</v>
      </c>
      <c r="B99" s="181">
        <f>'Données projet'!D102</f>
        <v>14</v>
      </c>
      <c r="C99" s="191">
        <f>30*'Données projet'!E102+13.8*('Données projet'!F102+'Données projet'!G102)+10*'Données projet'!H102</f>
        <v>24</v>
      </c>
      <c r="D99" s="179">
        <f t="shared" si="6"/>
        <v>336</v>
      </c>
      <c r="E99" s="193"/>
      <c r="F99" s="231"/>
      <c r="G99" s="205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100</v>
      </c>
      <c r="B100" s="181">
        <f>'Données projet'!D103</f>
        <v>14</v>
      </c>
      <c r="C100" s="191">
        <f>30*'Données projet'!E103+13.8*('Données projet'!F103+'Données projet'!G103)+10*'Données projet'!H103</f>
        <v>24</v>
      </c>
      <c r="D100" s="179">
        <f t="shared" si="6"/>
        <v>336</v>
      </c>
      <c r="E100" s="193"/>
      <c r="F100" s="231"/>
      <c r="G100" s="205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105</v>
      </c>
      <c r="B101" s="181">
        <f>'Données projet'!D104</f>
        <v>14</v>
      </c>
      <c r="C101" s="191">
        <f>30*'Données projet'!E104+13.8*('Données projet'!F104+'Données projet'!G104)+10*'Données projet'!H104</f>
        <v>24</v>
      </c>
      <c r="D101" s="179">
        <f t="shared" si="6"/>
        <v>336</v>
      </c>
      <c r="E101" s="193"/>
      <c r="F101" s="231"/>
      <c r="G101" s="205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110</v>
      </c>
      <c r="B102" s="181">
        <f>'Données projet'!D105</f>
        <v>13</v>
      </c>
      <c r="C102" s="191">
        <f>30*'Données projet'!E105+13.8*('Données projet'!F105+'Données projet'!G105)+10*'Données projet'!H105</f>
        <v>24</v>
      </c>
      <c r="D102" s="179">
        <f t="shared" si="6"/>
        <v>312</v>
      </c>
      <c r="E102" s="193"/>
      <c r="F102" s="231"/>
      <c r="G102" s="205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115</v>
      </c>
      <c r="B103" s="181">
        <f>'Données projet'!D106</f>
        <v>13</v>
      </c>
      <c r="C103" s="191">
        <f>30*'Données projet'!E106+13.8*('Données projet'!F106+'Données projet'!G106)+10*'Données projet'!H106</f>
        <v>24</v>
      </c>
      <c r="D103" s="179">
        <f t="shared" si="6"/>
        <v>312</v>
      </c>
      <c r="E103" s="193"/>
      <c r="F103" s="231"/>
      <c r="G103" s="205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120</v>
      </c>
      <c r="B104" s="181">
        <f>'Données projet'!D107</f>
        <v>221</v>
      </c>
      <c r="C104" s="191">
        <f>30*'Données projet'!E107+13.8*('Données projet'!F107+'Données projet'!G107)+10*'Données projet'!H107</f>
        <v>26</v>
      </c>
      <c r="D104" s="179">
        <f t="shared" si="6"/>
        <v>5746</v>
      </c>
      <c r="E104" s="193"/>
      <c r="F104" s="231"/>
      <c r="G104" s="205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29"/>
      <c r="G105" s="205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29"/>
      <c r="G106" s="205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>Tilleul</v>
      </c>
      <c r="C107" s="4"/>
      <c r="D107" s="4"/>
      <c r="E107" s="4"/>
      <c r="F107" s="229"/>
      <c r="G107" s="205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29"/>
      <c r="G108" s="205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ht="30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0"/>
      <c r="G109" s="205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8" t="s">
        <v>132</v>
      </c>
      <c r="C110" s="197" t="s">
        <v>132</v>
      </c>
      <c r="D110" s="196" t="s">
        <v>132</v>
      </c>
      <c r="E110" s="193">
        <v>2582</v>
      </c>
      <c r="F110" s="230"/>
      <c r="G110" s="205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8" t="s">
        <v>132</v>
      </c>
      <c r="C111" s="197" t="s">
        <v>132</v>
      </c>
      <c r="D111" s="196" t="s">
        <v>132</v>
      </c>
      <c r="E111" s="193"/>
      <c r="F111" s="230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8" t="s">
        <v>132</v>
      </c>
      <c r="C112" s="197" t="s">
        <v>132</v>
      </c>
      <c r="D112" s="196" t="s">
        <v>132</v>
      </c>
      <c r="E112" s="193"/>
      <c r="F112" s="230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8" t="s">
        <v>132</v>
      </c>
      <c r="C113" s="197" t="s">
        <v>132</v>
      </c>
      <c r="D113" s="196" t="s">
        <v>132</v>
      </c>
      <c r="E113" s="193"/>
      <c r="F113" s="230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8" t="s">
        <v>132</v>
      </c>
      <c r="C114" s="197" t="s">
        <v>132</v>
      </c>
      <c r="D114" s="196" t="s">
        <v>132</v>
      </c>
      <c r="E114" s="193"/>
      <c r="F114" s="230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8" t="s">
        <v>132</v>
      </c>
      <c r="C115" s="197" t="s">
        <v>132</v>
      </c>
      <c r="D115" s="196" t="s">
        <v>132</v>
      </c>
      <c r="E115" s="193"/>
      <c r="F115" s="230"/>
      <c r="G115" s="204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20</v>
      </c>
      <c r="B116" s="181">
        <f>'Données projet'!D114</f>
        <v>0</v>
      </c>
      <c r="C116" s="191">
        <f>30*'Données projet'!E114+13.8*('Données projet'!F114+'Données projet'!G114)+10*'Données projet'!H114</f>
        <v>10</v>
      </c>
      <c r="D116" s="179">
        <f>B116*C116</f>
        <v>0</v>
      </c>
      <c r="E116" s="193"/>
      <c r="F116" s="231"/>
      <c r="G116" s="204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25</v>
      </c>
      <c r="B117" s="181">
        <f>'Données projet'!D115</f>
        <v>0</v>
      </c>
      <c r="C117" s="191">
        <f>30*'Données projet'!E115+13.8*('Données projet'!F115+'Données projet'!G115)+10*'Données projet'!H115</f>
        <v>10</v>
      </c>
      <c r="D117" s="179">
        <f t="shared" ref="D117:D135" si="8">B117*C117</f>
        <v>0</v>
      </c>
      <c r="E117" s="193"/>
      <c r="F117" s="231"/>
      <c r="G117" s="204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30</v>
      </c>
      <c r="B118" s="181">
        <f>'Données projet'!D116</f>
        <v>29</v>
      </c>
      <c r="C118" s="191">
        <f>30*'Données projet'!E116+13.8*('Données projet'!F116+'Données projet'!G116)+10*'Données projet'!H116</f>
        <v>10</v>
      </c>
      <c r="D118" s="179">
        <f t="shared" si="8"/>
        <v>290</v>
      </c>
      <c r="E118" s="193"/>
      <c r="F118" s="231"/>
      <c r="G118" s="204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35</v>
      </c>
      <c r="B119" s="181">
        <f>'Données projet'!D117</f>
        <v>21</v>
      </c>
      <c r="C119" s="191">
        <f>30*'Données projet'!E117+13.8*('Données projet'!F117+'Données projet'!G117)+10*'Données projet'!H117</f>
        <v>10</v>
      </c>
      <c r="D119" s="179">
        <f t="shared" si="8"/>
        <v>210</v>
      </c>
      <c r="E119" s="193"/>
      <c r="F119" s="231"/>
      <c r="G119" s="204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40</v>
      </c>
      <c r="B120" s="181">
        <f>'Données projet'!D118</f>
        <v>21</v>
      </c>
      <c r="C120" s="191">
        <f>30*'Données projet'!E118+13.8*('Données projet'!F118+'Données projet'!G118)+10*'Données projet'!H118</f>
        <v>14</v>
      </c>
      <c r="D120" s="179">
        <f t="shared" si="8"/>
        <v>294</v>
      </c>
      <c r="E120" s="193"/>
      <c r="F120" s="231"/>
      <c r="G120" s="204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45</v>
      </c>
      <c r="B121" s="181">
        <f>'Données projet'!D119</f>
        <v>21</v>
      </c>
      <c r="C121" s="191">
        <f>30*'Données projet'!E119+13.8*('Données projet'!F119+'Données projet'!G119)+10*'Données projet'!H119</f>
        <v>14</v>
      </c>
      <c r="D121" s="179">
        <f t="shared" si="8"/>
        <v>294</v>
      </c>
      <c r="E121" s="193"/>
      <c r="F121" s="231"/>
      <c r="G121" s="204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50</v>
      </c>
      <c r="B122" s="181">
        <f>'Données projet'!D120</f>
        <v>21</v>
      </c>
      <c r="C122" s="191">
        <f>30*'Données projet'!E120+13.8*('Données projet'!F120+'Données projet'!G120)+10*'Données projet'!H120</f>
        <v>16</v>
      </c>
      <c r="D122" s="179">
        <f t="shared" si="8"/>
        <v>336</v>
      </c>
      <c r="E122" s="193"/>
      <c r="F122" s="231"/>
      <c r="G122" s="205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55</v>
      </c>
      <c r="B123" s="181">
        <f>'Données projet'!D121</f>
        <v>21</v>
      </c>
      <c r="C123" s="191">
        <f>30*'Données projet'!E121+13.8*('Données projet'!F121+'Données projet'!G121)+10*'Données projet'!H121</f>
        <v>16</v>
      </c>
      <c r="D123" s="179">
        <f t="shared" si="8"/>
        <v>336</v>
      </c>
      <c r="E123" s="193"/>
      <c r="F123" s="231"/>
      <c r="G123" s="205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60</v>
      </c>
      <c r="B124" s="181">
        <f>'Données projet'!D122</f>
        <v>21</v>
      </c>
      <c r="C124" s="191">
        <f>30*'Données projet'!E122+13.8*('Données projet'!F122+'Données projet'!G122)+10*'Données projet'!H122</f>
        <v>18</v>
      </c>
      <c r="D124" s="179">
        <f t="shared" si="8"/>
        <v>378</v>
      </c>
      <c r="E124" s="193"/>
      <c r="F124" s="231"/>
      <c r="G124" s="205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65</v>
      </c>
      <c r="B125" s="181">
        <f>'Données projet'!D123</f>
        <v>21</v>
      </c>
      <c r="C125" s="191">
        <f>30*'Données projet'!E123+13.8*('Données projet'!F123+'Données projet'!G123)+10*'Données projet'!H123</f>
        <v>18</v>
      </c>
      <c r="D125" s="179">
        <f t="shared" si="8"/>
        <v>378</v>
      </c>
      <c r="E125" s="193"/>
      <c r="F125" s="231"/>
      <c r="G125" s="205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70</v>
      </c>
      <c r="B126" s="181">
        <f>'Données projet'!D124</f>
        <v>21</v>
      </c>
      <c r="C126" s="191">
        <f>30*'Données projet'!E124+13.8*('Données projet'!F124+'Données projet'!G124)+10*'Données projet'!H124</f>
        <v>20</v>
      </c>
      <c r="D126" s="179">
        <f t="shared" si="8"/>
        <v>420</v>
      </c>
      <c r="E126" s="193"/>
      <c r="F126" s="231"/>
      <c r="G126" s="205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75</v>
      </c>
      <c r="B127" s="181">
        <f>'Données projet'!D125</f>
        <v>21</v>
      </c>
      <c r="C127" s="191">
        <f>30*'Données projet'!E125+13.8*('Données projet'!F125+'Données projet'!G125)+10*'Données projet'!H125</f>
        <v>20</v>
      </c>
      <c r="D127" s="179">
        <f t="shared" si="8"/>
        <v>420</v>
      </c>
      <c r="E127" s="193"/>
      <c r="F127" s="231"/>
      <c r="G127" s="205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80</v>
      </c>
      <c r="B128" s="181">
        <f>'Données projet'!D126</f>
        <v>21</v>
      </c>
      <c r="C128" s="191">
        <f>30*'Données projet'!E126+13.8*('Données projet'!F126+'Données projet'!G126)+10*'Données projet'!H126</f>
        <v>22</v>
      </c>
      <c r="D128" s="179">
        <f t="shared" si="8"/>
        <v>462</v>
      </c>
      <c r="E128" s="193"/>
      <c r="F128" s="231"/>
      <c r="G128" s="205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85</v>
      </c>
      <c r="B129" s="181">
        <f>'Données projet'!D127</f>
        <v>21</v>
      </c>
      <c r="C129" s="191">
        <f>30*'Données projet'!E127+13.8*('Données projet'!F127+'Données projet'!G127)+10*'Données projet'!H127</f>
        <v>22</v>
      </c>
      <c r="D129" s="179">
        <f t="shared" si="8"/>
        <v>462</v>
      </c>
      <c r="E129" s="193"/>
      <c r="F129" s="231"/>
      <c r="G129" s="205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90</v>
      </c>
      <c r="B130" s="181">
        <f>'Données projet'!D128</f>
        <v>21</v>
      </c>
      <c r="C130" s="191">
        <f>30*'Données projet'!E128+13.8*('Données projet'!F128+'Données projet'!G128)+10*'Données projet'!H128</f>
        <v>24</v>
      </c>
      <c r="D130" s="179">
        <f t="shared" si="8"/>
        <v>504</v>
      </c>
      <c r="E130" s="193"/>
      <c r="F130" s="231"/>
      <c r="G130" s="205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95</v>
      </c>
      <c r="B131" s="181">
        <f>'Données projet'!D129</f>
        <v>21</v>
      </c>
      <c r="C131" s="191">
        <f>30*'Données projet'!E129+13.8*('Données projet'!F129+'Données projet'!G129)+10*'Données projet'!H129</f>
        <v>24</v>
      </c>
      <c r="D131" s="179">
        <f t="shared" si="8"/>
        <v>504</v>
      </c>
      <c r="E131" s="193"/>
      <c r="F131" s="231"/>
      <c r="G131" s="205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100</v>
      </c>
      <c r="B132" s="181">
        <f>'Données projet'!D130</f>
        <v>21</v>
      </c>
      <c r="C132" s="191">
        <f>30*'Données projet'!E130+13.8*('Données projet'!F130+'Données projet'!G130)+10*'Données projet'!H130</f>
        <v>24</v>
      </c>
      <c r="D132" s="179">
        <f t="shared" si="8"/>
        <v>504</v>
      </c>
      <c r="E132" s="193"/>
      <c r="F132" s="231"/>
      <c r="G132" s="205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110</v>
      </c>
      <c r="B133" s="181">
        <f>'Données projet'!D131</f>
        <v>39</v>
      </c>
      <c r="C133" s="191">
        <f>30*'Données projet'!E131+13.8*('Données projet'!F131+'Données projet'!G131)+10*'Données projet'!H131</f>
        <v>26</v>
      </c>
      <c r="D133" s="179">
        <f t="shared" si="8"/>
        <v>1014</v>
      </c>
      <c r="E133" s="193"/>
      <c r="F133" s="231"/>
      <c r="G133" s="205"/>
      <c r="H133" s="190"/>
      <c r="I133" s="191"/>
      <c r="J133" s="4"/>
      <c r="K133" s="173"/>
      <c r="Q133" s="23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115</v>
      </c>
      <c r="B134" s="181">
        <f>'Données projet'!D132</f>
        <v>18</v>
      </c>
      <c r="C134" s="191">
        <f>30*'Données projet'!E132+13.8*('Données projet'!F132+'Données projet'!G132)+10*'Données projet'!H132</f>
        <v>26</v>
      </c>
      <c r="D134" s="179">
        <f t="shared" si="8"/>
        <v>468</v>
      </c>
      <c r="E134" s="193"/>
      <c r="F134" s="231"/>
      <c r="G134" s="205"/>
      <c r="H134" s="190"/>
      <c r="I134" s="191"/>
      <c r="J134" s="4"/>
      <c r="K134" s="173"/>
      <c r="Q134" s="23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120</v>
      </c>
      <c r="B135" s="181">
        <f>'Données projet'!D133</f>
        <v>285</v>
      </c>
      <c r="C135" s="191">
        <f>30*'Données projet'!E133+13.8*('Données projet'!F133+'Données projet'!G133)+10*'Données projet'!H133</f>
        <v>26</v>
      </c>
      <c r="D135" s="179">
        <f t="shared" si="8"/>
        <v>7410</v>
      </c>
      <c r="E135" s="193"/>
      <c r="F135" s="231"/>
      <c r="G135" s="205"/>
      <c r="H135" s="190"/>
      <c r="I135" s="191"/>
      <c r="J135" s="4"/>
      <c r="K135" s="173"/>
      <c r="Q135" s="23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29"/>
      <c r="G136" s="205"/>
      <c r="H136" s="190"/>
      <c r="I136" s="191"/>
      <c r="J136" s="4"/>
      <c r="K136" s="173"/>
      <c r="L136" s="4"/>
      <c r="M136" s="4"/>
      <c r="N136" s="4"/>
      <c r="Q136" s="23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29"/>
      <c r="G137" s="205"/>
      <c r="H137" s="190"/>
      <c r="I137" s="191"/>
      <c r="J137" s="4"/>
      <c r="K137" s="173"/>
      <c r="L137" s="4"/>
      <c r="M137" s="4"/>
      <c r="N137" s="4"/>
      <c r="Q137" s="23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>Pin de Salzmann</v>
      </c>
      <c r="C138" s="4"/>
      <c r="D138" s="4"/>
      <c r="E138" s="4"/>
      <c r="F138" s="229"/>
      <c r="G138" s="205"/>
      <c r="H138" s="190"/>
      <c r="I138" s="191"/>
      <c r="J138" s="4"/>
      <c r="K138" s="173"/>
      <c r="L138" s="4"/>
      <c r="M138" s="4"/>
      <c r="N138" s="4"/>
      <c r="Q138" s="23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29"/>
      <c r="G139" s="205"/>
      <c r="H139" s="190"/>
      <c r="I139" s="191"/>
      <c r="J139" s="4"/>
      <c r="K139" s="173"/>
      <c r="L139" s="4"/>
      <c r="M139" s="4"/>
      <c r="N139" s="4"/>
      <c r="Q139" s="23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ht="30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0"/>
      <c r="G140" s="205"/>
      <c r="H140" s="190"/>
      <c r="I140" s="191"/>
      <c r="J140" s="4"/>
      <c r="K140" s="173"/>
      <c r="L140" s="4"/>
      <c r="M140" s="4"/>
      <c r="N140" s="4"/>
      <c r="Q140" s="23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8" t="s">
        <v>132</v>
      </c>
      <c r="C141" s="197" t="s">
        <v>132</v>
      </c>
      <c r="D141" s="196" t="s">
        <v>132</v>
      </c>
      <c r="E141" s="193">
        <v>1399</v>
      </c>
      <c r="F141" s="230"/>
      <c r="G141" s="205"/>
      <c r="H141" s="190"/>
      <c r="I141" s="191"/>
      <c r="J141" s="4"/>
      <c r="K141" s="173"/>
      <c r="L141" s="4"/>
      <c r="M141" s="4"/>
      <c r="N141" s="4"/>
      <c r="Q141" s="23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8" t="s">
        <v>132</v>
      </c>
      <c r="C142" s="197" t="s">
        <v>132</v>
      </c>
      <c r="D142" s="196" t="s">
        <v>132</v>
      </c>
      <c r="E142" s="193"/>
      <c r="F142" s="230"/>
      <c r="G142" s="23"/>
      <c r="H142" s="190"/>
      <c r="I142" s="191"/>
      <c r="J142" s="4"/>
      <c r="K142" s="173"/>
      <c r="L142" s="4"/>
      <c r="M142" s="4"/>
      <c r="N142" s="4"/>
      <c r="Q142" s="23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8" t="s">
        <v>132</v>
      </c>
      <c r="C143" s="197" t="s">
        <v>132</v>
      </c>
      <c r="D143" s="196" t="s">
        <v>132</v>
      </c>
      <c r="E143" s="193"/>
      <c r="F143" s="230"/>
      <c r="G143" s="23"/>
      <c r="H143" s="190"/>
      <c r="I143" s="191"/>
      <c r="J143" s="4"/>
      <c r="K143" s="173"/>
      <c r="L143" s="4"/>
      <c r="M143" s="4"/>
      <c r="N143" s="4"/>
      <c r="Q143" s="23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8" t="s">
        <v>132</v>
      </c>
      <c r="C144" s="197" t="s">
        <v>132</v>
      </c>
      <c r="D144" s="196" t="s">
        <v>132</v>
      </c>
      <c r="E144" s="193"/>
      <c r="F144" s="230"/>
      <c r="G144" s="23"/>
      <c r="H144" s="190"/>
      <c r="I144" s="191"/>
      <c r="J144" s="4"/>
      <c r="K144" s="173"/>
      <c r="L144" s="4"/>
      <c r="M144" s="4"/>
      <c r="N144" s="4"/>
      <c r="Q144" s="23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8" t="s">
        <v>132</v>
      </c>
      <c r="C145" s="197" t="s">
        <v>132</v>
      </c>
      <c r="D145" s="196" t="s">
        <v>132</v>
      </c>
      <c r="E145" s="193"/>
      <c r="F145" s="230"/>
      <c r="G145" s="23"/>
      <c r="H145" s="190"/>
      <c r="I145" s="191"/>
      <c r="J145" s="4"/>
      <c r="K145" s="173"/>
      <c r="L145" s="4"/>
      <c r="M145" s="4"/>
      <c r="N145" s="4"/>
      <c r="Q145" s="23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8" t="s">
        <v>132</v>
      </c>
      <c r="C146" s="197" t="s">
        <v>132</v>
      </c>
      <c r="D146" s="196" t="s">
        <v>132</v>
      </c>
      <c r="E146" s="193"/>
      <c r="F146" s="230"/>
      <c r="G146" s="204"/>
      <c r="H146" s="190"/>
      <c r="I146" s="191"/>
      <c r="J146" s="4"/>
      <c r="K146" s="173"/>
      <c r="L146" s="4"/>
      <c r="M146" s="4"/>
      <c r="N146" s="4"/>
      <c r="Q146" s="23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15</v>
      </c>
      <c r="B147" s="175">
        <f>'Données projet'!D140</f>
        <v>0</v>
      </c>
      <c r="C147" s="191">
        <f>45*'Données projet'!E140+19.5*('Données projet'!F140+'Données projet'!G140)+10*'Données projet'!H140</f>
        <v>0</v>
      </c>
      <c r="D147" s="182">
        <f>B147*C147</f>
        <v>0</v>
      </c>
      <c r="E147" s="193"/>
      <c r="F147" s="232"/>
      <c r="G147" s="204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19</v>
      </c>
      <c r="B148" s="175">
        <f>'Données projet'!D141</f>
        <v>46.3</v>
      </c>
      <c r="C148" s="191">
        <f>45*'Données projet'!E141+19.5*('Données projet'!F141+'Données projet'!G141)+10*'Données projet'!H141</f>
        <v>24.6</v>
      </c>
      <c r="D148" s="182">
        <f t="shared" ref="D148:D166" si="10">B148*C148</f>
        <v>1138.98</v>
      </c>
      <c r="E148" s="193"/>
      <c r="F148" s="232"/>
      <c r="G148" s="204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24</v>
      </c>
      <c r="B149" s="175">
        <f>'Données projet'!D142</f>
        <v>45</v>
      </c>
      <c r="C149" s="191">
        <f>45*'Données projet'!E142+19.5*('Données projet'!F142+'Données projet'!G142)+10*'Données projet'!H142</f>
        <v>0</v>
      </c>
      <c r="D149" s="182">
        <f t="shared" si="10"/>
        <v>0</v>
      </c>
      <c r="E149" s="193"/>
      <c r="F149" s="232"/>
      <c r="G149" s="204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30</v>
      </c>
      <c r="B150" s="175">
        <f>'Données projet'!D143</f>
        <v>66.989999999999995</v>
      </c>
      <c r="C150" s="191">
        <f>45*'Données projet'!E143+19.5*('Données projet'!F143+'Données projet'!G143)+10*'Données projet'!H143</f>
        <v>24.6</v>
      </c>
      <c r="D150" s="182">
        <f t="shared" si="10"/>
        <v>1647.954</v>
      </c>
      <c r="E150" s="193"/>
      <c r="F150" s="232"/>
      <c r="G150" s="204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32</v>
      </c>
      <c r="B151" s="175">
        <f>'Données projet'!D144</f>
        <v>0</v>
      </c>
      <c r="C151" s="191">
        <f>45*'Données projet'!E144+19.5*('Données projet'!F144+'Données projet'!G144)+10*'Données projet'!H144</f>
        <v>0</v>
      </c>
      <c r="D151" s="182">
        <f t="shared" si="10"/>
        <v>0</v>
      </c>
      <c r="E151" s="193"/>
      <c r="F151" s="232"/>
      <c r="G151" s="204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37</v>
      </c>
      <c r="B152" s="175">
        <f>'Données projet'!D145</f>
        <v>55</v>
      </c>
      <c r="C152" s="191">
        <f>45*'Données projet'!E145+19.5*('Données projet'!F145+'Données projet'!G145)+10*'Données projet'!H145</f>
        <v>29.700000000000003</v>
      </c>
      <c r="D152" s="182">
        <f t="shared" si="10"/>
        <v>1633.5000000000002</v>
      </c>
      <c r="E152" s="193"/>
      <c r="F152" s="232"/>
      <c r="G152" s="204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41</v>
      </c>
      <c r="B153" s="175">
        <f>'Données projet'!D146</f>
        <v>0</v>
      </c>
      <c r="C153" s="191">
        <f>45*'Données projet'!E146+19.5*('Données projet'!F146+'Données projet'!G146)+10*'Données projet'!H146</f>
        <v>0</v>
      </c>
      <c r="D153" s="182">
        <f t="shared" si="10"/>
        <v>0</v>
      </c>
      <c r="E153" s="193"/>
      <c r="F153" s="232"/>
      <c r="G153" s="202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46</v>
      </c>
      <c r="B154" s="175">
        <f>'Données projet'!D147</f>
        <v>93</v>
      </c>
      <c r="C154" s="191">
        <f>45*'Données projet'!E147+19.5*('Données projet'!F147+'Données projet'!G147)+10*'Données projet'!H147</f>
        <v>29.700000000000003</v>
      </c>
      <c r="D154" s="182">
        <f t="shared" si="10"/>
        <v>2762.1000000000004</v>
      </c>
      <c r="E154" s="193"/>
      <c r="F154" s="232"/>
      <c r="G154" s="202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50</v>
      </c>
      <c r="B155" s="175">
        <f>'Données projet'!D148</f>
        <v>0</v>
      </c>
      <c r="C155" s="191">
        <f>45*'Données projet'!E148+19.5*('Données projet'!F148+'Données projet'!G148)+10*'Données projet'!H148</f>
        <v>0</v>
      </c>
      <c r="D155" s="182">
        <f t="shared" si="10"/>
        <v>0</v>
      </c>
      <c r="E155" s="193"/>
      <c r="F155" s="232"/>
      <c r="G155" s="202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56</v>
      </c>
      <c r="B156" s="175">
        <f>'Données projet'!D149</f>
        <v>77</v>
      </c>
      <c r="C156" s="191">
        <f>45*'Données projet'!E149+19.5*('Données projet'!F149+'Données projet'!G149)+10*'Données projet'!H149</f>
        <v>34.799999999999997</v>
      </c>
      <c r="D156" s="182">
        <f t="shared" si="10"/>
        <v>2679.6</v>
      </c>
      <c r="E156" s="193"/>
      <c r="F156" s="232"/>
      <c r="G156" s="202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60</v>
      </c>
      <c r="B157" s="175">
        <f>'Données projet'!D150</f>
        <v>521.75</v>
      </c>
      <c r="C157" s="191">
        <f>45*'Données projet'!E150+19.5*('Données projet'!F150+'Données projet'!G150)+10*'Données projet'!H150</f>
        <v>39.9</v>
      </c>
      <c r="D157" s="182">
        <f t="shared" si="10"/>
        <v>20817.825000000001</v>
      </c>
      <c r="E157" s="193"/>
      <c r="F157" s="232"/>
      <c r="G157" s="202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>
        <f>150*'Données projet'!E151+13.8*('Données projet'!F151+'Données projet'!G151)+10*'Données projet'!H151</f>
        <v>0</v>
      </c>
      <c r="D158" s="182">
        <f t="shared" si="10"/>
        <v>0</v>
      </c>
      <c r="E158" s="193"/>
      <c r="F158" s="232"/>
      <c r="G158" s="202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>
        <f>150*'Données projet'!E152+13.8*('Données projet'!F152+'Données projet'!G152)+10*'Données projet'!H152</f>
        <v>0</v>
      </c>
      <c r="D159" s="182">
        <f t="shared" si="10"/>
        <v>0</v>
      </c>
      <c r="E159" s="193"/>
      <c r="F159" s="232"/>
      <c r="G159" s="202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>
        <f>150*'Données projet'!E153+13.8*('Données projet'!F153+'Données projet'!G153)+10*'Données projet'!H153</f>
        <v>0</v>
      </c>
      <c r="D160" s="182">
        <f t="shared" si="10"/>
        <v>0</v>
      </c>
      <c r="E160" s="193"/>
      <c r="F160" s="232"/>
      <c r="G160" s="202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>
        <f>150*'Données projet'!E154+13.8*('Données projet'!F154+'Données projet'!G154)+10*'Données projet'!H154</f>
        <v>0</v>
      </c>
      <c r="D161" s="182">
        <f t="shared" si="10"/>
        <v>0</v>
      </c>
      <c r="E161" s="193"/>
      <c r="F161" s="232"/>
      <c r="G161" s="202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>
        <f>150*'Données projet'!E155+13.8*('Données projet'!F155+'Données projet'!G155)+10*'Données projet'!H155</f>
        <v>0</v>
      </c>
      <c r="D162" s="182">
        <f t="shared" si="10"/>
        <v>0</v>
      </c>
      <c r="E162" s="193"/>
      <c r="F162" s="232"/>
      <c r="G162" s="202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>
        <f>150*'Données projet'!E156+13.8*('Données projet'!F156+'Données projet'!G156)+10*'Données projet'!H156</f>
        <v>0</v>
      </c>
      <c r="D163" s="182">
        <f t="shared" si="10"/>
        <v>0</v>
      </c>
      <c r="E163" s="193"/>
      <c r="F163" s="232"/>
      <c r="G163" s="202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>
        <f>150*'Données projet'!E157+13.8*('Données projet'!F157+'Données projet'!G157)+10*'Données projet'!H157</f>
        <v>0</v>
      </c>
      <c r="D164" s="182">
        <f t="shared" si="10"/>
        <v>0</v>
      </c>
      <c r="E164" s="193"/>
      <c r="F164" s="232"/>
      <c r="G164" s="202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>
        <f>150*'Données projet'!E158+13.8*('Données projet'!F158+'Données projet'!G158)+10*'Données projet'!H158</f>
        <v>0</v>
      </c>
      <c r="D165" s="182">
        <f t="shared" si="10"/>
        <v>0</v>
      </c>
      <c r="E165" s="193"/>
      <c r="F165" s="232"/>
      <c r="G165" s="202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>
        <f>150*'Données projet'!E159+13.8*('Données projet'!F159+'Données projet'!G159)+10*'Données projet'!H159</f>
        <v>0</v>
      </c>
      <c r="D166" s="182">
        <f t="shared" si="10"/>
        <v>0</v>
      </c>
      <c r="E166" s="193"/>
      <c r="F166" s="232"/>
      <c r="G166" s="202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29"/>
      <c r="G167" s="202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29"/>
      <c r="G168" s="202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>Cèdre de l'Atlas</v>
      </c>
      <c r="C169" s="4"/>
      <c r="D169" s="4"/>
      <c r="E169" s="4"/>
      <c r="F169" s="229"/>
      <c r="G169" s="202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29"/>
      <c r="G170" s="202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ht="30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0"/>
      <c r="G171" s="202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8" t="s">
        <v>132</v>
      </c>
      <c r="C172" s="197" t="s">
        <v>132</v>
      </c>
      <c r="D172" s="196" t="s">
        <v>132</v>
      </c>
      <c r="E172" s="193">
        <v>3411</v>
      </c>
      <c r="F172" s="230"/>
      <c r="G172" s="202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8" t="s">
        <v>132</v>
      </c>
      <c r="C173" s="197" t="s">
        <v>132</v>
      </c>
      <c r="D173" s="196" t="s">
        <v>132</v>
      </c>
      <c r="E173" s="193"/>
      <c r="F173" s="230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8" t="s">
        <v>132</v>
      </c>
      <c r="C174" s="197" t="s">
        <v>132</v>
      </c>
      <c r="D174" s="196" t="s">
        <v>132</v>
      </c>
      <c r="E174" s="193"/>
      <c r="F174" s="230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8" t="s">
        <v>132</v>
      </c>
      <c r="C175" s="197" t="s">
        <v>132</v>
      </c>
      <c r="D175" s="196" t="s">
        <v>132</v>
      </c>
      <c r="E175" s="193"/>
      <c r="F175" s="230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8" t="s">
        <v>132</v>
      </c>
      <c r="C176" s="197" t="s">
        <v>132</v>
      </c>
      <c r="D176" s="196" t="s">
        <v>132</v>
      </c>
      <c r="E176" s="193"/>
      <c r="F176" s="230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8" t="s">
        <v>132</v>
      </c>
      <c r="C177" s="197" t="s">
        <v>132</v>
      </c>
      <c r="D177" s="196" t="s">
        <v>132</v>
      </c>
      <c r="E177" s="193"/>
      <c r="F177" s="230"/>
      <c r="G177" s="204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20</v>
      </c>
      <c r="B178" s="181">
        <f>'Données projet'!D166</f>
        <v>40</v>
      </c>
      <c r="C178" s="193">
        <f>50*'Données projet'!E166+19.5*('Données projet'!F166+'Données projet'!G168)+10*'Données projet'!H166</f>
        <v>15.990000000000002</v>
      </c>
      <c r="D178" s="179">
        <f>B178*C178</f>
        <v>639.60000000000014</v>
      </c>
      <c r="E178" s="193"/>
      <c r="F178" s="231"/>
      <c r="G178" s="204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30</v>
      </c>
      <c r="B179" s="181">
        <f>'Données projet'!D167</f>
        <v>50</v>
      </c>
      <c r="C179" s="193">
        <f>50*'Données projet'!E167+19.5*('Données projet'!F167+'Données projet'!G169)+10*'Données projet'!H167</f>
        <v>23.065000000000001</v>
      </c>
      <c r="D179" s="179">
        <f t="shared" ref="D179:D197" si="11">B179*C179</f>
        <v>1153.25</v>
      </c>
      <c r="E179" s="193"/>
      <c r="F179" s="231"/>
      <c r="G179" s="204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40</v>
      </c>
      <c r="B180" s="181">
        <f>'Données projet'!D168</f>
        <v>50</v>
      </c>
      <c r="C180" s="193">
        <f>50*'Données projet'!E168+19.5*('Données projet'!F168+'Données projet'!G170)+10*'Données projet'!H168</f>
        <v>29.164999999999999</v>
      </c>
      <c r="D180" s="179">
        <f t="shared" si="11"/>
        <v>1458.25</v>
      </c>
      <c r="E180" s="193"/>
      <c r="F180" s="231"/>
      <c r="G180" s="204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50</v>
      </c>
      <c r="B181" s="181">
        <f>'Données projet'!D169</f>
        <v>50</v>
      </c>
      <c r="C181" s="193">
        <f>50*'Données projet'!E169+19.5*('Données projet'!F169+'Données projet'!G171)+10*'Données projet'!H169</f>
        <v>30.46</v>
      </c>
      <c r="D181" s="179">
        <f t="shared" si="11"/>
        <v>1523</v>
      </c>
      <c r="E181" s="193"/>
      <c r="F181" s="231"/>
      <c r="G181" s="204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60</v>
      </c>
      <c r="B182" s="181">
        <f>'Données projet'!D170</f>
        <v>470</v>
      </c>
      <c r="C182" s="193">
        <f>50*'Données projet'!E170+19.5*('Données projet'!F170+'Données projet'!G172)+10*'Données projet'!H170</f>
        <v>38.314999999999998</v>
      </c>
      <c r="D182" s="179">
        <f t="shared" si="11"/>
        <v>18008.05</v>
      </c>
      <c r="E182" s="193"/>
      <c r="F182" s="231"/>
      <c r="G182" s="204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0</v>
      </c>
      <c r="B183" s="181">
        <f>'Données projet'!D171</f>
        <v>0</v>
      </c>
      <c r="C183" s="193">
        <f>300*'Données projet'!E171+13.8*('Données projet'!F171+'Données projet'!G173)+10*'Données projet'!H171</f>
        <v>0</v>
      </c>
      <c r="D183" s="179">
        <f t="shared" si="11"/>
        <v>0</v>
      </c>
      <c r="E183" s="193"/>
      <c r="F183" s="231"/>
      <c r="G183" s="204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0</v>
      </c>
      <c r="B184" s="181">
        <f>'Données projet'!D172</f>
        <v>0</v>
      </c>
      <c r="C184" s="193">
        <f>300*'Données projet'!E172+13.8*('Données projet'!F172+'Données projet'!G174)+10*'Données projet'!H172</f>
        <v>0</v>
      </c>
      <c r="D184" s="179">
        <f t="shared" si="11"/>
        <v>0</v>
      </c>
      <c r="E184" s="193"/>
      <c r="F184" s="231"/>
      <c r="G184" s="205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0</v>
      </c>
      <c r="B185" s="181">
        <f>'Données projet'!D173</f>
        <v>0</v>
      </c>
      <c r="C185" s="193">
        <f>300*'Données projet'!E173+13.8*('Données projet'!F173+'Données projet'!G175)+10*'Données projet'!H173</f>
        <v>0</v>
      </c>
      <c r="D185" s="179">
        <f t="shared" si="11"/>
        <v>0</v>
      </c>
      <c r="E185" s="193"/>
      <c r="F185" s="231"/>
      <c r="G185" s="205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>
        <f>300*'Données projet'!E174+13.8*('Données projet'!F174+'Données projet'!G176)+10*'Données projet'!H174</f>
        <v>0</v>
      </c>
      <c r="D186" s="179">
        <f t="shared" si="11"/>
        <v>0</v>
      </c>
      <c r="E186" s="193"/>
      <c r="F186" s="231"/>
      <c r="G186" s="205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>
        <f>300*'Données projet'!E175+13.8*('Données projet'!F175+'Données projet'!G177)+10*'Données projet'!H175</f>
        <v>0</v>
      </c>
      <c r="D187" s="179">
        <f t="shared" si="11"/>
        <v>0</v>
      </c>
      <c r="E187" s="193"/>
      <c r="F187" s="231"/>
      <c r="G187" s="205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>
        <f>300*'Données projet'!E176+13.8*('Données projet'!F176+'Données projet'!G178)+10*'Données projet'!H176</f>
        <v>0</v>
      </c>
      <c r="D188" s="179">
        <f t="shared" si="11"/>
        <v>0</v>
      </c>
      <c r="E188" s="193"/>
      <c r="F188" s="231"/>
      <c r="G188" s="205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>
        <f>300*'Données projet'!E177+13.8*('Données projet'!F177+'Données projet'!G179)+10*'Données projet'!H177</f>
        <v>0</v>
      </c>
      <c r="D189" s="179">
        <f t="shared" si="11"/>
        <v>0</v>
      </c>
      <c r="E189" s="193"/>
      <c r="F189" s="231"/>
      <c r="G189" s="205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>
        <f>300*'Données projet'!E178+13.8*('Données projet'!F178+'Données projet'!G180)+10*'Données projet'!H178</f>
        <v>0</v>
      </c>
      <c r="D190" s="179">
        <f t="shared" si="11"/>
        <v>0</v>
      </c>
      <c r="E190" s="193"/>
      <c r="F190" s="231"/>
      <c r="G190" s="205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>
        <f>300*'Données projet'!E179+13.8*('Données projet'!F179+'Données projet'!G181)+10*'Données projet'!H179</f>
        <v>0</v>
      </c>
      <c r="D191" s="179">
        <f t="shared" si="11"/>
        <v>0</v>
      </c>
      <c r="E191" s="193"/>
      <c r="F191" s="231"/>
      <c r="G191" s="205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>
        <f>300*'Données projet'!E180+13.8*('Données projet'!F180+'Données projet'!G182)+10*'Données projet'!H180</f>
        <v>0</v>
      </c>
      <c r="D192" s="179">
        <f t="shared" si="11"/>
        <v>0</v>
      </c>
      <c r="E192" s="193"/>
      <c r="F192" s="231"/>
      <c r="G192" s="205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>
        <f>300*'Données projet'!E181+13.8*('Données projet'!F181+'Données projet'!G183)+10*'Données projet'!H181</f>
        <v>0</v>
      </c>
      <c r="D193" s="179">
        <f t="shared" si="11"/>
        <v>0</v>
      </c>
      <c r="E193" s="193"/>
      <c r="F193" s="231"/>
      <c r="G193" s="205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>
        <f>300*'Données projet'!E182+13.8*('Données projet'!F182+'Données projet'!G184)+10*'Données projet'!H182</f>
        <v>0</v>
      </c>
      <c r="D194" s="179">
        <f t="shared" si="11"/>
        <v>0</v>
      </c>
      <c r="E194" s="193"/>
      <c r="F194" s="231"/>
      <c r="G194" s="205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>
        <f>300*'Données projet'!E183+13.8*('Données projet'!F183+'Données projet'!G185)+10*'Données projet'!H183</f>
        <v>0</v>
      </c>
      <c r="D195" s="179">
        <f t="shared" si="11"/>
        <v>0</v>
      </c>
      <c r="E195" s="193"/>
      <c r="F195" s="231"/>
      <c r="G195" s="205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>
        <f>300*'Données projet'!E184+13.8*('Données projet'!F184+'Données projet'!G186)+10*'Données projet'!H184</f>
        <v>0</v>
      </c>
      <c r="D196" s="179">
        <f t="shared" si="11"/>
        <v>0</v>
      </c>
      <c r="E196" s="193"/>
      <c r="F196" s="231"/>
      <c r="G196" s="205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>
        <f>300*'Données projet'!E185+13.8*('Données projet'!F185+'Données projet'!G187)+10*'Données projet'!H185</f>
        <v>0</v>
      </c>
      <c r="D197" s="179">
        <f t="shared" si="11"/>
        <v>0</v>
      </c>
      <c r="E197" s="193"/>
      <c r="F197" s="231"/>
      <c r="G197" s="205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29"/>
      <c r="G198" s="205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29"/>
      <c r="G199" s="205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29"/>
      <c r="G200" s="205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29"/>
      <c r="G201" s="205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ht="30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0"/>
      <c r="G202" s="205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8" t="s">
        <v>132</v>
      </c>
      <c r="C203" s="197" t="s">
        <v>132</v>
      </c>
      <c r="D203" s="196" t="s">
        <v>132</v>
      </c>
      <c r="E203" s="193"/>
      <c r="F203" s="230"/>
      <c r="G203" s="205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8" t="s">
        <v>132</v>
      </c>
      <c r="C204" s="197" t="s">
        <v>132</v>
      </c>
      <c r="D204" s="196" t="s">
        <v>132</v>
      </c>
      <c r="E204" s="193"/>
      <c r="F204" s="230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8" t="s">
        <v>132</v>
      </c>
      <c r="C205" s="197" t="s">
        <v>132</v>
      </c>
      <c r="D205" s="196" t="s">
        <v>132</v>
      </c>
      <c r="E205" s="193"/>
      <c r="F205" s="230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8" t="s">
        <v>132</v>
      </c>
      <c r="C206" s="197" t="s">
        <v>132</v>
      </c>
      <c r="D206" s="196" t="s">
        <v>132</v>
      </c>
      <c r="E206" s="193"/>
      <c r="F206" s="230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8" t="s">
        <v>132</v>
      </c>
      <c r="C207" s="197" t="s">
        <v>132</v>
      </c>
      <c r="D207" s="196" t="s">
        <v>132</v>
      </c>
      <c r="E207" s="193"/>
      <c r="F207" s="230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8" t="s">
        <v>132</v>
      </c>
      <c r="C208" s="197" t="s">
        <v>132</v>
      </c>
      <c r="D208" s="196" t="s">
        <v>132</v>
      </c>
      <c r="E208" s="193"/>
      <c r="F208" s="230"/>
      <c r="G208" s="204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0</v>
      </c>
      <c r="B209" s="181">
        <f>'Données projet'!D192</f>
        <v>0</v>
      </c>
      <c r="C209" s="193">
        <f>150*'Données projet'!E192+13.8*('Données projet'!F192+'Données projet'!G192)+10*'Données projet'!H192</f>
        <v>0</v>
      </c>
      <c r="D209" s="179">
        <f>B209*C209</f>
        <v>0</v>
      </c>
      <c r="E209" s="193"/>
      <c r="F209" s="231"/>
      <c r="G209" s="204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0</v>
      </c>
      <c r="B210" s="181">
        <f>'Données projet'!D193</f>
        <v>0</v>
      </c>
      <c r="C210" s="193">
        <f>150*'Données projet'!E193+13.8*('Données projet'!F193+'Données projet'!G193)+10*'Données projet'!H193</f>
        <v>0</v>
      </c>
      <c r="D210" s="179">
        <f t="shared" ref="D210:D228" si="12">B210*C210</f>
        <v>0</v>
      </c>
      <c r="E210" s="193"/>
      <c r="F210" s="231"/>
      <c r="G210" s="204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0</v>
      </c>
      <c r="B211" s="181">
        <f>'Données projet'!D194</f>
        <v>0</v>
      </c>
      <c r="C211" s="193">
        <f>150*'Données projet'!E194+13.8*('Données projet'!F194+'Données projet'!G194)+10*'Données projet'!H194</f>
        <v>0</v>
      </c>
      <c r="D211" s="179">
        <f t="shared" si="12"/>
        <v>0</v>
      </c>
      <c r="E211" s="193"/>
      <c r="F211" s="231"/>
      <c r="G211" s="204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0</v>
      </c>
      <c r="B212" s="181">
        <f>'Données projet'!D195</f>
        <v>0</v>
      </c>
      <c r="C212" s="193">
        <f>150*'Données projet'!E195+13.8*('Données projet'!F195+'Données projet'!G195)+10*'Données projet'!H195</f>
        <v>0</v>
      </c>
      <c r="D212" s="179">
        <f t="shared" si="12"/>
        <v>0</v>
      </c>
      <c r="E212" s="193"/>
      <c r="F212" s="231"/>
      <c r="G212" s="204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0</v>
      </c>
      <c r="B213" s="181">
        <f>'Données projet'!D196</f>
        <v>0</v>
      </c>
      <c r="C213" s="193">
        <f>150*'Données projet'!E196+13.8*('Données projet'!F196+'Données projet'!G196)+10*'Données projet'!H196</f>
        <v>0</v>
      </c>
      <c r="D213" s="179">
        <f t="shared" si="12"/>
        <v>0</v>
      </c>
      <c r="E213" s="193"/>
      <c r="F213" s="231"/>
      <c r="G213" s="204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0</v>
      </c>
      <c r="B214" s="181">
        <f>'Données projet'!D197</f>
        <v>0</v>
      </c>
      <c r="C214" s="193">
        <f>150*'Données projet'!E197+13.8*('Données projet'!F197+'Données projet'!G197)+10*'Données projet'!H197</f>
        <v>0</v>
      </c>
      <c r="D214" s="179">
        <f t="shared" si="12"/>
        <v>0</v>
      </c>
      <c r="E214" s="193"/>
      <c r="F214" s="231"/>
      <c r="G214" s="204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0</v>
      </c>
      <c r="B215" s="181">
        <f>'Données projet'!D198</f>
        <v>0</v>
      </c>
      <c r="C215" s="193">
        <f>150*'Données projet'!E198+13.8*('Données projet'!F198+'Données projet'!G198)+10*'Données projet'!H198</f>
        <v>0</v>
      </c>
      <c r="D215" s="179">
        <f t="shared" si="12"/>
        <v>0</v>
      </c>
      <c r="E215" s="193"/>
      <c r="F215" s="231"/>
      <c r="G215" s="205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0</v>
      </c>
      <c r="B216" s="181">
        <f>'Données projet'!D199</f>
        <v>0</v>
      </c>
      <c r="C216" s="193">
        <f>150*'Données projet'!E199+13.8*('Données projet'!F199+'Données projet'!G199)+10*'Données projet'!H199</f>
        <v>0</v>
      </c>
      <c r="D216" s="179">
        <f t="shared" si="12"/>
        <v>0</v>
      </c>
      <c r="E216" s="193"/>
      <c r="F216" s="231"/>
      <c r="G216" s="205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0</v>
      </c>
      <c r="B217" s="181">
        <f>'Données projet'!D200</f>
        <v>0</v>
      </c>
      <c r="C217" s="193">
        <f>150*'Données projet'!E200+13.8*('Données projet'!F200+'Données projet'!G200)+10*'Données projet'!H200</f>
        <v>0</v>
      </c>
      <c r="D217" s="179">
        <f t="shared" si="12"/>
        <v>0</v>
      </c>
      <c r="E217" s="193"/>
      <c r="F217" s="231"/>
      <c r="G217" s="205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>
        <f>150*'Données projet'!E201+13.8*('Données projet'!F201+'Données projet'!G201)+10*'Données projet'!H201</f>
        <v>0</v>
      </c>
      <c r="D218" s="179">
        <f t="shared" si="12"/>
        <v>0</v>
      </c>
      <c r="E218" s="193"/>
      <c r="F218" s="231"/>
      <c r="G218" s="205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>
        <f>150*'Données projet'!E202+13.8*('Données projet'!F202+'Données projet'!G202)+10*'Données projet'!H202</f>
        <v>0</v>
      </c>
      <c r="D219" s="179">
        <f t="shared" si="12"/>
        <v>0</v>
      </c>
      <c r="E219" s="193"/>
      <c r="F219" s="231"/>
      <c r="G219" s="205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>
        <f>150*'Données projet'!E203+13.8*('Données projet'!F203+'Données projet'!G203)+10*'Données projet'!H203</f>
        <v>0</v>
      </c>
      <c r="D220" s="179">
        <f t="shared" si="12"/>
        <v>0</v>
      </c>
      <c r="E220" s="193"/>
      <c r="F220" s="231"/>
      <c r="G220" s="205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>
        <f>150*'Données projet'!E204+13.8*('Données projet'!F204+'Données projet'!G204)+10*'Données projet'!H204</f>
        <v>0</v>
      </c>
      <c r="D221" s="179">
        <f t="shared" si="12"/>
        <v>0</v>
      </c>
      <c r="E221" s="193"/>
      <c r="F221" s="231"/>
      <c r="G221" s="205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>
        <f>150*'Données projet'!E205+13.8*('Données projet'!F205+'Données projet'!G205)+10*'Données projet'!H205</f>
        <v>0</v>
      </c>
      <c r="D222" s="179">
        <f t="shared" si="12"/>
        <v>0</v>
      </c>
      <c r="E222" s="193"/>
      <c r="F222" s="231"/>
      <c r="G222" s="205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>
        <f>150*'Données projet'!E206+13.8*('Données projet'!F206+'Données projet'!G206)+10*'Données projet'!H206</f>
        <v>0</v>
      </c>
      <c r="D223" s="179">
        <f t="shared" si="12"/>
        <v>0</v>
      </c>
      <c r="E223" s="193"/>
      <c r="F223" s="231"/>
      <c r="G223" s="205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>
        <f>150*'Données projet'!E207+13.8*('Données projet'!F207+'Données projet'!G207)+10*'Données projet'!H207</f>
        <v>0</v>
      </c>
      <c r="D224" s="179">
        <f t="shared" si="12"/>
        <v>0</v>
      </c>
      <c r="E224" s="193"/>
      <c r="F224" s="231"/>
      <c r="G224" s="205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>
        <f>150*'Données projet'!E208+13.8*('Données projet'!F208+'Données projet'!G208)+10*'Données projet'!H208</f>
        <v>0</v>
      </c>
      <c r="D225" s="179">
        <f t="shared" si="12"/>
        <v>0</v>
      </c>
      <c r="E225" s="193"/>
      <c r="F225" s="231"/>
      <c r="G225" s="205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>
        <f>150*'Données projet'!E209+13.8*('Données projet'!F209+'Données projet'!G209)+10*'Données projet'!H209</f>
        <v>0</v>
      </c>
      <c r="D226" s="179">
        <f t="shared" si="12"/>
        <v>0</v>
      </c>
      <c r="E226" s="193"/>
      <c r="F226" s="231"/>
      <c r="G226" s="205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>
        <f>150*'Données projet'!E210+13.8*('Données projet'!F210+'Données projet'!G210)+10*'Données projet'!H210</f>
        <v>0</v>
      </c>
      <c r="D227" s="179">
        <f t="shared" si="12"/>
        <v>0</v>
      </c>
      <c r="E227" s="193"/>
      <c r="F227" s="231"/>
      <c r="G227" s="205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>
        <f>150*'Données projet'!E211+13.8*('Données projet'!F211+'Données projet'!G211)+10*'Données projet'!H211</f>
        <v>0</v>
      </c>
      <c r="D228" s="179">
        <f t="shared" si="12"/>
        <v>0</v>
      </c>
      <c r="E228" s="193"/>
      <c r="F228" s="231"/>
      <c r="G228" s="205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29"/>
      <c r="G229" s="205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29"/>
      <c r="G230" s="205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29"/>
      <c r="G231" s="205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29"/>
      <c r="G232" s="205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ht="30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0"/>
      <c r="G233" s="205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8" t="s">
        <v>132</v>
      </c>
      <c r="C234" s="197" t="s">
        <v>132</v>
      </c>
      <c r="D234" s="196" t="s">
        <v>132</v>
      </c>
      <c r="E234" s="193"/>
      <c r="F234" s="230"/>
      <c r="G234" s="205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8" t="s">
        <v>132</v>
      </c>
      <c r="C235" s="197" t="s">
        <v>132</v>
      </c>
      <c r="D235" s="196" t="s">
        <v>132</v>
      </c>
      <c r="E235" s="193"/>
      <c r="F235" s="230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8" t="s">
        <v>132</v>
      </c>
      <c r="C236" s="197" t="s">
        <v>132</v>
      </c>
      <c r="D236" s="196" t="s">
        <v>132</v>
      </c>
      <c r="E236" s="193"/>
      <c r="F236" s="230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8" t="s">
        <v>132</v>
      </c>
      <c r="C237" s="197" t="s">
        <v>132</v>
      </c>
      <c r="D237" s="196" t="s">
        <v>132</v>
      </c>
      <c r="E237" s="193"/>
      <c r="F237" s="230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8" t="s">
        <v>132</v>
      </c>
      <c r="C238" s="197" t="s">
        <v>132</v>
      </c>
      <c r="D238" s="196" t="s">
        <v>132</v>
      </c>
      <c r="E238" s="193"/>
      <c r="F238" s="230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8" t="s">
        <v>132</v>
      </c>
      <c r="C239" s="197" t="s">
        <v>132</v>
      </c>
      <c r="D239" s="196" t="s">
        <v>132</v>
      </c>
      <c r="E239" s="193"/>
      <c r="F239" s="230"/>
      <c r="G239" s="204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0</v>
      </c>
      <c r="B240" s="181">
        <f>'Données projet'!D218</f>
        <v>0</v>
      </c>
      <c r="C240" s="193">
        <f>60*'Données projet'!E218+13.8*('Données projet'!F218+'Données projet'!G218)+10*'Données projet'!H218</f>
        <v>0</v>
      </c>
      <c r="D240" s="179">
        <f>B240*C240</f>
        <v>0</v>
      </c>
      <c r="E240" s="193"/>
      <c r="F240" s="231"/>
      <c r="G240" s="204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0</v>
      </c>
      <c r="B241" s="181">
        <f>'Données projet'!D219</f>
        <v>0</v>
      </c>
      <c r="C241" s="193">
        <f>60*'Données projet'!E219+13.8*('Données projet'!F219+'Données projet'!G219)+10*'Données projet'!H219</f>
        <v>0</v>
      </c>
      <c r="D241" s="179">
        <f t="shared" ref="D241:D259" si="13">B241*C241</f>
        <v>0</v>
      </c>
      <c r="E241" s="193"/>
      <c r="F241" s="231"/>
      <c r="G241" s="204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0</v>
      </c>
      <c r="B242" s="181">
        <f>'Données projet'!D220</f>
        <v>0</v>
      </c>
      <c r="C242" s="193">
        <f>60*'Données projet'!E220+13.8*('Données projet'!F220+'Données projet'!G220)+10*'Données projet'!H220</f>
        <v>0</v>
      </c>
      <c r="D242" s="179">
        <f t="shared" si="13"/>
        <v>0</v>
      </c>
      <c r="E242" s="193"/>
      <c r="F242" s="231"/>
      <c r="G242" s="204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0</v>
      </c>
      <c r="B243" s="181">
        <f>'Données projet'!D221</f>
        <v>0</v>
      </c>
      <c r="C243" s="193">
        <f>60*'Données projet'!E221+13.8*('Données projet'!F221+'Données projet'!G221)+10*'Données projet'!H221</f>
        <v>0</v>
      </c>
      <c r="D243" s="179">
        <f t="shared" si="13"/>
        <v>0</v>
      </c>
      <c r="E243" s="193"/>
      <c r="F243" s="231"/>
      <c r="G243" s="204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0</v>
      </c>
      <c r="B244" s="181">
        <f>'Données projet'!D222</f>
        <v>0</v>
      </c>
      <c r="C244" s="193">
        <f>60*'Données projet'!E222+13.8*('Données projet'!F222+'Données projet'!G222)+10*'Données projet'!H222</f>
        <v>0</v>
      </c>
      <c r="D244" s="179">
        <f t="shared" si="13"/>
        <v>0</v>
      </c>
      <c r="E244" s="193"/>
      <c r="F244" s="231"/>
      <c r="G244" s="204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0</v>
      </c>
      <c r="B245" s="181">
        <f>'Données projet'!D223</f>
        <v>0</v>
      </c>
      <c r="C245" s="193">
        <f>60*'Données projet'!E223+13.8*('Données projet'!F223+'Données projet'!G223)+10*'Données projet'!H223</f>
        <v>0</v>
      </c>
      <c r="D245" s="179">
        <f t="shared" si="13"/>
        <v>0</v>
      </c>
      <c r="E245" s="193"/>
      <c r="F245" s="231"/>
      <c r="G245" s="204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0</v>
      </c>
      <c r="B246" s="181">
        <f>'Données projet'!D224</f>
        <v>0</v>
      </c>
      <c r="C246" s="193">
        <f>60*'Données projet'!E224+13.8*('Données projet'!F224+'Données projet'!G224)+10*'Données projet'!H224</f>
        <v>0</v>
      </c>
      <c r="D246" s="179">
        <f t="shared" si="13"/>
        <v>0</v>
      </c>
      <c r="E246" s="193"/>
      <c r="F246" s="231"/>
      <c r="G246" s="205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>
        <f>60*'Données projet'!E225+13.8*('Données projet'!F225+'Données projet'!G225)+10*'Données projet'!H225</f>
        <v>0</v>
      </c>
      <c r="D247" s="179">
        <f t="shared" si="13"/>
        <v>0</v>
      </c>
      <c r="E247" s="193"/>
      <c r="F247" s="231"/>
      <c r="G247" s="205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>
        <f>60*'Données projet'!E226+13.8*('Données projet'!F226+'Données projet'!G226)+10*'Données projet'!H226</f>
        <v>0</v>
      </c>
      <c r="D248" s="179">
        <f t="shared" si="13"/>
        <v>0</v>
      </c>
      <c r="E248" s="193"/>
      <c r="F248" s="231"/>
      <c r="G248" s="205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>
        <f>60*'Données projet'!E227+13.8*('Données projet'!F227+'Données projet'!G227)+10*'Données projet'!H227</f>
        <v>0</v>
      </c>
      <c r="D249" s="179">
        <f t="shared" si="13"/>
        <v>0</v>
      </c>
      <c r="E249" s="193"/>
      <c r="F249" s="231"/>
      <c r="G249" s="205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>
        <f>60*'Données projet'!E228+13.8*('Données projet'!F228+'Données projet'!G228)+10*'Données projet'!H228</f>
        <v>0</v>
      </c>
      <c r="D250" s="179">
        <f t="shared" si="13"/>
        <v>0</v>
      </c>
      <c r="E250" s="193"/>
      <c r="F250" s="231"/>
      <c r="G250" s="205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>
        <f>60*'Données projet'!E229+13.8*('Données projet'!F229+'Données projet'!G229)+10*'Données projet'!H229</f>
        <v>0</v>
      </c>
      <c r="D251" s="179">
        <f t="shared" si="13"/>
        <v>0</v>
      </c>
      <c r="E251" s="193"/>
      <c r="F251" s="231"/>
      <c r="G251" s="205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>
        <f>60*'Données projet'!E230+13.8*('Données projet'!F230+'Données projet'!G230)+10*'Données projet'!H230</f>
        <v>0</v>
      </c>
      <c r="D252" s="179">
        <f t="shared" si="13"/>
        <v>0</v>
      </c>
      <c r="E252" s="193"/>
      <c r="F252" s="231"/>
      <c r="G252" s="205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>
        <f>60*'Données projet'!E231+13.8*('Données projet'!F231+'Données projet'!G231)+10*'Données projet'!H231</f>
        <v>0</v>
      </c>
      <c r="D253" s="179">
        <f t="shared" si="13"/>
        <v>0</v>
      </c>
      <c r="E253" s="193"/>
      <c r="F253" s="231"/>
      <c r="G253" s="205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>
        <f>60*'Données projet'!E232+13.8*('Données projet'!F232+'Données projet'!G232)+10*'Données projet'!H232</f>
        <v>0</v>
      </c>
      <c r="D254" s="179">
        <f t="shared" si="13"/>
        <v>0</v>
      </c>
      <c r="E254" s="193"/>
      <c r="F254" s="231"/>
      <c r="G254" s="205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>
        <f>60*'Données projet'!E233+13.8*('Données projet'!F233+'Données projet'!G233)+10*'Données projet'!H233</f>
        <v>0</v>
      </c>
      <c r="D255" s="179">
        <f t="shared" si="13"/>
        <v>0</v>
      </c>
      <c r="E255" s="193"/>
      <c r="F255" s="231"/>
      <c r="G255" s="205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>
        <f>60*'Données projet'!E234+13.8*('Données projet'!F234+'Données projet'!G234)+10*'Données projet'!H234</f>
        <v>0</v>
      </c>
      <c r="D256" s="179">
        <f t="shared" si="13"/>
        <v>0</v>
      </c>
      <c r="E256" s="193"/>
      <c r="F256" s="231"/>
      <c r="G256" s="205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>
        <f>60*'Données projet'!E235+13.8*('Données projet'!F235+'Données projet'!G235)+10*'Données projet'!H235</f>
        <v>0</v>
      </c>
      <c r="D257" s="179">
        <f t="shared" si="13"/>
        <v>0</v>
      </c>
      <c r="E257" s="193"/>
      <c r="F257" s="231"/>
      <c r="G257" s="205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>
        <f>60*'Données projet'!E236+13.8*('Données projet'!F236+'Données projet'!G236)+10*'Données projet'!H236</f>
        <v>0</v>
      </c>
      <c r="D258" s="179">
        <f t="shared" si="13"/>
        <v>0</v>
      </c>
      <c r="E258" s="193"/>
      <c r="F258" s="231"/>
      <c r="G258" s="205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>
        <f>60*'Données projet'!E237+13.8*('Données projet'!F237+'Données projet'!G237)+10*'Données projet'!H237</f>
        <v>0</v>
      </c>
      <c r="D259" s="179">
        <f t="shared" si="13"/>
        <v>0</v>
      </c>
      <c r="E259" s="193"/>
      <c r="F259" s="231"/>
      <c r="G259" s="205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29"/>
      <c r="G260" s="205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29"/>
      <c r="G261" s="205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29"/>
      <c r="G262" s="205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29"/>
      <c r="G263" s="205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0"/>
      <c r="G264" s="205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8" t="s">
        <v>132</v>
      </c>
      <c r="C265" s="197" t="s">
        <v>132</v>
      </c>
      <c r="D265" s="196" t="s">
        <v>132</v>
      </c>
      <c r="E265" s="193"/>
      <c r="F265" s="230"/>
      <c r="G265" s="205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8" t="s">
        <v>132</v>
      </c>
      <c r="C266" s="197" t="s">
        <v>132</v>
      </c>
      <c r="D266" s="196" t="s">
        <v>132</v>
      </c>
      <c r="E266" s="193"/>
      <c r="F266" s="230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8" t="s">
        <v>132</v>
      </c>
      <c r="C267" s="197" t="s">
        <v>132</v>
      </c>
      <c r="D267" s="196" t="s">
        <v>132</v>
      </c>
      <c r="E267" s="193"/>
      <c r="F267" s="230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8" t="s">
        <v>132</v>
      </c>
      <c r="C268" s="197" t="s">
        <v>132</v>
      </c>
      <c r="D268" s="196" t="s">
        <v>132</v>
      </c>
      <c r="E268" s="193"/>
      <c r="F268" s="230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8" t="s">
        <v>132</v>
      </c>
      <c r="C269" s="197" t="s">
        <v>132</v>
      </c>
      <c r="D269" s="196" t="s">
        <v>132</v>
      </c>
      <c r="E269" s="193"/>
      <c r="F269" s="230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8" t="s">
        <v>132</v>
      </c>
      <c r="C270" s="197" t="s">
        <v>132</v>
      </c>
      <c r="D270" s="196" t="s">
        <v>132</v>
      </c>
      <c r="E270" s="193"/>
      <c r="F270" s="230"/>
      <c r="G270" s="204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>
        <f>60*'Données projet'!E244+13.8*('Données projet'!F244+'Données projet'!G244)+10*'Données projet'!H244</f>
        <v>0</v>
      </c>
      <c r="D271" s="179">
        <f>B271*C271</f>
        <v>0</v>
      </c>
      <c r="E271" s="193"/>
      <c r="F271" s="231"/>
      <c r="G271" s="204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>
        <f>60*'Données projet'!E245+13.8*('Données projet'!F245+'Données projet'!G245)+10*'Données projet'!H245</f>
        <v>0</v>
      </c>
      <c r="D272" s="179">
        <f t="shared" ref="D272:D290" si="14">B272*C272</f>
        <v>0</v>
      </c>
      <c r="E272" s="193"/>
      <c r="F272" s="231"/>
      <c r="G272" s="204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>
        <f>60*'Données projet'!E246+13.8*('Données projet'!F246+'Données projet'!G246)+10*'Données projet'!H246</f>
        <v>0</v>
      </c>
      <c r="D273" s="179">
        <f t="shared" si="14"/>
        <v>0</v>
      </c>
      <c r="E273" s="193"/>
      <c r="F273" s="231"/>
      <c r="G273" s="204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>
        <f>60*'Données projet'!E247+13.8*('Données projet'!F247+'Données projet'!G247)+10*'Données projet'!H247</f>
        <v>0</v>
      </c>
      <c r="D274" s="179">
        <f t="shared" si="14"/>
        <v>0</v>
      </c>
      <c r="E274" s="193"/>
      <c r="F274" s="231"/>
      <c r="G274" s="204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>
        <f>60*'Données projet'!E248+13.8*('Données projet'!F248+'Données projet'!G248)+10*'Données projet'!H248</f>
        <v>0</v>
      </c>
      <c r="D275" s="179">
        <f t="shared" si="14"/>
        <v>0</v>
      </c>
      <c r="E275" s="193"/>
      <c r="F275" s="231"/>
      <c r="G275" s="204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>
        <f>60*'Données projet'!E249+13.8*('Données projet'!F249+'Données projet'!G249)+10*'Données projet'!H249</f>
        <v>0</v>
      </c>
      <c r="D276" s="179">
        <f t="shared" si="14"/>
        <v>0</v>
      </c>
      <c r="E276" s="193"/>
      <c r="F276" s="231"/>
      <c r="G276" s="204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>
        <f>60*'Données projet'!E250+13.8*('Données projet'!F250+'Données projet'!G250)+10*'Données projet'!H250</f>
        <v>0</v>
      </c>
      <c r="D277" s="179">
        <f t="shared" si="14"/>
        <v>0</v>
      </c>
      <c r="E277" s="193"/>
      <c r="F277" s="231"/>
      <c r="G277" s="205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>
        <f>60*'Données projet'!E251+13.8*('Données projet'!F251+'Données projet'!G251)+10*'Données projet'!H251</f>
        <v>0</v>
      </c>
      <c r="D278" s="179">
        <f t="shared" si="14"/>
        <v>0</v>
      </c>
      <c r="E278" s="193"/>
      <c r="F278" s="231"/>
      <c r="G278" s="205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>
        <f>60*'Données projet'!E252+13.8*('Données projet'!F252+'Données projet'!G252)+10*'Données projet'!H252</f>
        <v>0</v>
      </c>
      <c r="D279" s="179">
        <f t="shared" si="14"/>
        <v>0</v>
      </c>
      <c r="E279" s="193"/>
      <c r="F279" s="231"/>
      <c r="G279" s="205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>
        <f>60*'Données projet'!E253+13.8*('Données projet'!F253+'Données projet'!G253)+10*'Données projet'!H253</f>
        <v>0</v>
      </c>
      <c r="D280" s="179">
        <f t="shared" si="14"/>
        <v>0</v>
      </c>
      <c r="E280" s="193"/>
      <c r="F280" s="231"/>
      <c r="G280" s="205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>
        <f>60*'Données projet'!E254+13.8*('Données projet'!F254+'Données projet'!G254)+10*'Données projet'!H254</f>
        <v>0</v>
      </c>
      <c r="D281" s="179">
        <f t="shared" si="14"/>
        <v>0</v>
      </c>
      <c r="E281" s="193"/>
      <c r="F281" s="231"/>
      <c r="G281" s="205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>
        <f>60*'Données projet'!E255+13.8*('Données projet'!F255+'Données projet'!G255)+10*'Données projet'!H255</f>
        <v>0</v>
      </c>
      <c r="D282" s="179">
        <f t="shared" si="14"/>
        <v>0</v>
      </c>
      <c r="E282" s="193"/>
      <c r="F282" s="231"/>
      <c r="G282" s="205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>
        <f>60*'Données projet'!E256+13.8*('Données projet'!F256+'Données projet'!G256)+10*'Données projet'!H256</f>
        <v>0</v>
      </c>
      <c r="D283" s="179">
        <f t="shared" si="14"/>
        <v>0</v>
      </c>
      <c r="E283" s="193"/>
      <c r="F283" s="231"/>
      <c r="G283" s="205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>
        <f>60*'Données projet'!E257+13.8*('Données projet'!F257+'Données projet'!G257)+10*'Données projet'!H257</f>
        <v>0</v>
      </c>
      <c r="D284" s="179">
        <f t="shared" si="14"/>
        <v>0</v>
      </c>
      <c r="E284" s="193"/>
      <c r="F284" s="231"/>
      <c r="G284" s="205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>
        <f>60*'Données projet'!E258+13.8*('Données projet'!F258+'Données projet'!G258)+10*'Données projet'!H258</f>
        <v>0</v>
      </c>
      <c r="D285" s="179">
        <f t="shared" si="14"/>
        <v>0</v>
      </c>
      <c r="E285" s="193"/>
      <c r="F285" s="231"/>
      <c r="G285" s="205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>
        <f>60*'Données projet'!E259+13.8*('Données projet'!F259+'Données projet'!G259)+10*'Données projet'!H259</f>
        <v>0</v>
      </c>
      <c r="D286" s="179">
        <f t="shared" si="14"/>
        <v>0</v>
      </c>
      <c r="E286" s="193"/>
      <c r="F286" s="231"/>
      <c r="G286" s="205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>
        <f>60*'Données projet'!E260+13.8*('Données projet'!F260+'Données projet'!G260)+10*'Données projet'!H260</f>
        <v>0</v>
      </c>
      <c r="D287" s="179">
        <f t="shared" si="14"/>
        <v>0</v>
      </c>
      <c r="E287" s="193"/>
      <c r="F287" s="231"/>
      <c r="G287" s="205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>
        <f>60*'Données projet'!E261+13.8*('Données projet'!F261+'Données projet'!G261)+10*'Données projet'!H261</f>
        <v>0</v>
      </c>
      <c r="D288" s="179">
        <f t="shared" si="14"/>
        <v>0</v>
      </c>
      <c r="E288" s="193"/>
      <c r="F288" s="231"/>
      <c r="G288" s="205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>
        <f>60*'Données projet'!E262+13.8*('Données projet'!F262+'Données projet'!G262)+10*'Données projet'!H262</f>
        <v>0</v>
      </c>
      <c r="D289" s="179">
        <f t="shared" si="14"/>
        <v>0</v>
      </c>
      <c r="E289" s="193"/>
      <c r="F289" s="231"/>
      <c r="G289" s="205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>
        <f>60*'Données projet'!E263+13.8*('Données projet'!F263+'Données projet'!G263)+10*'Données projet'!H263</f>
        <v>0</v>
      </c>
      <c r="D290" s="179">
        <f t="shared" si="14"/>
        <v>0</v>
      </c>
      <c r="E290" s="193"/>
      <c r="F290" s="231"/>
      <c r="G290" s="205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29"/>
      <c r="G291" s="205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29"/>
      <c r="G292" s="205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29"/>
      <c r="G293" s="205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29"/>
      <c r="G294" s="205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0"/>
      <c r="G295" s="205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8" t="s">
        <v>132</v>
      </c>
      <c r="C296" s="197" t="s">
        <v>132</v>
      </c>
      <c r="D296" s="196" t="s">
        <v>132</v>
      </c>
      <c r="E296" s="193"/>
      <c r="F296" s="230"/>
      <c r="G296" s="205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8" t="s">
        <v>132</v>
      </c>
      <c r="C297" s="197" t="s">
        <v>132</v>
      </c>
      <c r="D297" s="196" t="s">
        <v>132</v>
      </c>
      <c r="E297" s="193"/>
      <c r="F297" s="230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8" t="s">
        <v>132</v>
      </c>
      <c r="C298" s="197" t="s">
        <v>132</v>
      </c>
      <c r="D298" s="196" t="s">
        <v>132</v>
      </c>
      <c r="E298" s="193"/>
      <c r="F298" s="230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8" t="s">
        <v>132</v>
      </c>
      <c r="C299" s="197" t="s">
        <v>132</v>
      </c>
      <c r="D299" s="196" t="s">
        <v>132</v>
      </c>
      <c r="E299" s="193"/>
      <c r="F299" s="230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8" t="s">
        <v>132</v>
      </c>
      <c r="C300" s="197" t="s">
        <v>132</v>
      </c>
      <c r="D300" s="196" t="s">
        <v>132</v>
      </c>
      <c r="E300" s="193"/>
      <c r="F300" s="230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8" t="s">
        <v>132</v>
      </c>
      <c r="C301" s="197" t="s">
        <v>132</v>
      </c>
      <c r="D301" s="196" t="s">
        <v>132</v>
      </c>
      <c r="E301" s="193"/>
      <c r="F301" s="230"/>
      <c r="G301" s="204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>
        <f>80*'Données projet'!E270+13.8*('Données projet'!F270+'Données projet'!G270)+10*'Données projet'!H270</f>
        <v>0</v>
      </c>
      <c r="D302" s="182">
        <f>B302*C302</f>
        <v>0</v>
      </c>
      <c r="E302" s="193"/>
      <c r="F302" s="232"/>
      <c r="G302" s="204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>
        <f>80*'Données projet'!E271+13.8*('Données projet'!F271+'Données projet'!G271)+10*'Données projet'!H271</f>
        <v>0</v>
      </c>
      <c r="D303" s="182">
        <f t="shared" ref="D303:D321" si="15">B303*C303</f>
        <v>0</v>
      </c>
      <c r="E303" s="193"/>
      <c r="F303" s="232"/>
      <c r="G303" s="204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>
        <f>80*'Données projet'!E272+13.8*('Données projet'!F272+'Données projet'!G272)+10*'Données projet'!H272</f>
        <v>0</v>
      </c>
      <c r="D304" s="182">
        <f t="shared" si="15"/>
        <v>0</v>
      </c>
      <c r="E304" s="193"/>
      <c r="F304" s="232"/>
      <c r="G304" s="204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>
        <f>80*'Données projet'!E273+13.8*('Données projet'!F273+'Données projet'!G273)+10*'Données projet'!H273</f>
        <v>0</v>
      </c>
      <c r="D305" s="182">
        <f t="shared" si="15"/>
        <v>0</v>
      </c>
      <c r="E305" s="193"/>
      <c r="F305" s="232"/>
      <c r="G305" s="204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>
        <f>80*'Données projet'!E274+13.8*('Données projet'!F274+'Données projet'!G274)+10*'Données projet'!H274</f>
        <v>0</v>
      </c>
      <c r="D306" s="182">
        <f t="shared" si="15"/>
        <v>0</v>
      </c>
      <c r="E306" s="193"/>
      <c r="F306" s="232"/>
      <c r="G306" s="204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>
        <f>80*'Données projet'!E275+13.8*('Données projet'!F275+'Données projet'!G275)+10*'Données projet'!H275</f>
        <v>0</v>
      </c>
      <c r="D307" s="182">
        <f t="shared" si="15"/>
        <v>0</v>
      </c>
      <c r="E307" s="193"/>
      <c r="F307" s="232"/>
      <c r="G307" s="204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>
        <f>80*'Données projet'!E276+13.8*('Données projet'!F276+'Données projet'!G276)+10*'Données projet'!H276</f>
        <v>0</v>
      </c>
      <c r="D308" s="182">
        <f t="shared" si="15"/>
        <v>0</v>
      </c>
      <c r="E308" s="193"/>
      <c r="F308" s="232"/>
      <c r="G308" s="202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>
        <f>80*'Données projet'!E277+13.8*('Données projet'!F277+'Données projet'!G277)+10*'Données projet'!H277</f>
        <v>0</v>
      </c>
      <c r="D309" s="182">
        <f t="shared" si="15"/>
        <v>0</v>
      </c>
      <c r="E309" s="193"/>
      <c r="F309" s="232"/>
      <c r="G309" s="202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>
        <f>80*'Données projet'!E278+13.8*('Données projet'!F278+'Données projet'!G278)+10*'Données projet'!H278</f>
        <v>0</v>
      </c>
      <c r="D310" s="182">
        <f t="shared" si="15"/>
        <v>0</v>
      </c>
      <c r="E310" s="193"/>
      <c r="F310" s="232"/>
      <c r="G310" s="202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>
        <f>80*'Données projet'!E279+13.8*('Données projet'!F279+'Données projet'!G279)+10*'Données projet'!H279</f>
        <v>0</v>
      </c>
      <c r="D311" s="182">
        <f t="shared" si="15"/>
        <v>0</v>
      </c>
      <c r="E311" s="193"/>
      <c r="F311" s="232"/>
      <c r="G311" s="202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>
        <f>80*'Données projet'!E280+13.8*('Données projet'!F280+'Données projet'!G280)+10*'Données projet'!H280</f>
        <v>0</v>
      </c>
      <c r="D312" s="182">
        <f t="shared" si="15"/>
        <v>0</v>
      </c>
      <c r="E312" s="193"/>
      <c r="F312" s="232"/>
      <c r="G312" s="202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>
        <f>80*'Données projet'!E281+13.8*('Données projet'!F281+'Données projet'!G281)+10*'Données projet'!H281</f>
        <v>0</v>
      </c>
      <c r="D313" s="182">
        <f t="shared" si="15"/>
        <v>0</v>
      </c>
      <c r="E313" s="193"/>
      <c r="F313" s="232"/>
      <c r="G313" s="202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>
        <f>80*'Données projet'!E282+13.8*('Données projet'!F282+'Données projet'!G282)+10*'Données projet'!H282</f>
        <v>0</v>
      </c>
      <c r="D314" s="182">
        <f t="shared" si="15"/>
        <v>0</v>
      </c>
      <c r="E314" s="193"/>
      <c r="F314" s="232"/>
      <c r="G314" s="202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>
        <f>80*'Données projet'!E283+13.8*('Données projet'!F283+'Données projet'!G283)+10*'Données projet'!H283</f>
        <v>0</v>
      </c>
      <c r="D315" s="182">
        <f t="shared" si="15"/>
        <v>0</v>
      </c>
      <c r="E315" s="193"/>
      <c r="F315" s="232"/>
      <c r="G315" s="202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>
        <f>80*'Données projet'!E284+13.8*('Données projet'!F284+'Données projet'!G284)+10*'Données projet'!H284</f>
        <v>0</v>
      </c>
      <c r="D316" s="182">
        <f t="shared" si="15"/>
        <v>0</v>
      </c>
      <c r="E316" s="193"/>
      <c r="F316" s="232"/>
      <c r="G316" s="202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>
        <f>80*'Données projet'!E285+13.8*('Données projet'!F285+'Données projet'!G285)+10*'Données projet'!H285</f>
        <v>0</v>
      </c>
      <c r="D317" s="182">
        <f>B317*C317</f>
        <v>0</v>
      </c>
      <c r="E317" s="193"/>
      <c r="F317" s="232"/>
      <c r="G317" s="202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>
        <f>80*'Données projet'!E286+13.8*('Données projet'!F286+'Données projet'!G286)+10*'Données projet'!H286</f>
        <v>0</v>
      </c>
      <c r="D318" s="182">
        <f t="shared" si="15"/>
        <v>0</v>
      </c>
      <c r="E318" s="193"/>
      <c r="F318" s="232"/>
      <c r="G318" s="202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>
        <f>80*'Données projet'!E287+13.8*('Données projet'!F287+'Données projet'!G287)+10*'Données projet'!H287</f>
        <v>0</v>
      </c>
      <c r="D319" s="182">
        <f t="shared" si="15"/>
        <v>0</v>
      </c>
      <c r="E319" s="193"/>
      <c r="F319" s="232"/>
      <c r="G319" s="202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>
        <f>80*'Données projet'!E288+13.8*('Données projet'!F288+'Données projet'!G288)+10*'Données projet'!H288</f>
        <v>0</v>
      </c>
      <c r="D320" s="182">
        <f t="shared" si="15"/>
        <v>0</v>
      </c>
      <c r="E320" s="193"/>
      <c r="F320" s="232"/>
      <c r="G320" s="202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1">
        <f>80*'Données projet'!E289+13.8*('Données projet'!F289+'Données projet'!G289)+10*'Données projet'!H289</f>
        <v>0</v>
      </c>
      <c r="D321" s="182">
        <f t="shared" si="15"/>
        <v>0</v>
      </c>
      <c r="E321" s="193"/>
      <c r="F321" s="232"/>
      <c r="G321" s="202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2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2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2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2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2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2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Calculateur</vt:lpstr>
      <vt:lpstr>Paramètres</vt:lpstr>
      <vt:lpstr>Scénario référence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Lou StockCo2</cp:lastModifiedBy>
  <dcterms:created xsi:type="dcterms:W3CDTF">2021-02-01T08:22:39Z</dcterms:created>
  <dcterms:modified xsi:type="dcterms:W3CDTF">2024-04-09T08:42:22Z</dcterms:modified>
</cp:coreProperties>
</file>