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xiaLINK\Desktop\Adrian Valette\Vernon\"/>
    </mc:Choice>
  </mc:AlternateContent>
  <xr:revisionPtr revIDLastSave="0" documentId="8_{676A1D36-A15A-4418-B44A-79FB4F4B9511}" xr6:coauthVersionLast="47" xr6:coauthVersionMax="47" xr10:uidLastSave="{00000000-0000-0000-0000-000000000000}"/>
  <bookViews>
    <workbookView xWindow="-110" yWindow="-110" windowWidth="19420" windowHeight="1150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EA4" i="2"/>
  <c r="FQ4" i="2"/>
  <c r="FR4" i="2"/>
  <c r="BQ4" i="2"/>
  <c r="EC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FR5" i="2"/>
  <c r="EX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A7" i="2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X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C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HI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W22" i="2"/>
  <c r="EA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W24" i="2" l="1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V33" i="2"/>
  <c r="EA33" i="2"/>
  <c r="HG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EW38" i="2"/>
  <c r="HH38" i="2"/>
  <c r="HG38" i="2"/>
  <c r="HI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DG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EC44" i="2"/>
  <c r="HH44" i="2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EC46" i="2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G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EW60" i="2"/>
  <c r="HG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A61" i="2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H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HG75" i="2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A77" i="2"/>
  <c r="EB77" i="2"/>
  <c r="HI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C78" i="2"/>
  <c r="EW78" i="2"/>
  <c r="HI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I85" i="2"/>
  <c r="EV85" i="2"/>
  <c r="HH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EX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EW113" i="2"/>
  <c r="EX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H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FS128" i="2"/>
  <c r="EB128" i="2"/>
  <c r="EX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HH130" i="2"/>
  <c r="HG130" i="2"/>
  <c r="EB130" i="2"/>
  <c r="HI130" i="2"/>
  <c r="FS130" i="2"/>
  <c r="EW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C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FR140" i="2"/>
  <c r="HH140" i="2"/>
  <c r="HG140" i="2"/>
  <c r="EB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EB141" i="2"/>
  <c r="FS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A144" i="2"/>
  <c r="EB144" i="2"/>
  <c r="HH144" i="2"/>
  <c r="FR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HG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H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EV150" i="2"/>
  <c r="HH150" i="2"/>
  <c r="EC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D154" i="2"/>
  <c r="DI154" i="2"/>
  <c r="AC154" i="2"/>
  <c r="EW155" i="2"/>
  <c r="EX155" i="2"/>
  <c r="EA155" i="2"/>
  <c r="HG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D155" i="2"/>
  <c r="AB156" i="2"/>
  <c r="DH156" i="2"/>
  <c r="EB156" i="2"/>
  <c r="EX156" i="2"/>
  <c r="HH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X157" i="2"/>
  <c r="EA157" i="2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EW158" i="2"/>
  <c r="EV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EC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DG160" i="2"/>
  <c r="HH160" i="2"/>
  <c r="FS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EA161" i="2"/>
  <c r="HG161" i="2"/>
  <c r="EX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D161" i="2"/>
  <c r="DI161" i="2"/>
  <c r="EW162" i="2"/>
  <c r="HH162" i="2"/>
  <c r="HG162" i="2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V163" i="2"/>
  <c r="EA163" i="2"/>
  <c r="HG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X164" i="2"/>
  <c r="DH164" i="2"/>
  <c r="DI163" i="2"/>
  <c r="EA164" i="2"/>
  <c r="HH164" i="2"/>
  <c r="HG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EC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A167" i="2"/>
  <c r="EC167" i="2"/>
  <c r="EX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C168" i="2"/>
  <c r="EW168" i="2"/>
  <c r="DI167" i="2"/>
  <c r="EB168" i="2"/>
  <c r="DG168" i="2"/>
  <c r="HI168" i="2"/>
  <c r="HH168" i="2"/>
  <c r="FS168" i="2"/>
  <c r="EX168" i="2"/>
  <c r="EY168" i="2" s="1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A169" i="2"/>
  <c r="EX169" i="2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EW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X173" i="2"/>
  <c r="EW173" i="2"/>
  <c r="EB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A175" i="2" l="1"/>
  <c r="ED174" i="2"/>
  <c r="EW175" i="2"/>
  <c r="EB175" i="2"/>
  <c r="A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HH176" i="2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ED177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DF179" i="2"/>
  <c r="HI179" i="2"/>
  <c r="EV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B183" i="2"/>
  <c r="ED182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D184" i="2"/>
  <c r="HI185" i="2"/>
  <c r="EV185" i="2"/>
  <c r="EB185" i="2"/>
  <c r="EW185" i="2"/>
  <c r="HG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EB186" i="2"/>
  <c r="ED185" i="2"/>
  <c r="FR186" i="2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HH187" i="2"/>
  <c r="EC187" i="2"/>
  <c r="HG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V189" i="2"/>
  <c r="EB189" i="2"/>
  <c r="HH189" i="2"/>
  <c r="AA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D189" i="2"/>
  <c r="EW190" i="2"/>
  <c r="HH190" i="2"/>
  <c r="EB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I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W192" i="2"/>
  <c r="EV192" i="2"/>
  <c r="EC192" i="2"/>
  <c r="EA192" i="2"/>
  <c r="ED192" i="2" s="1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B193" i="2"/>
  <c r="DI192" i="2"/>
  <c r="EX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D193" i="2"/>
  <c r="EB194" i="2"/>
  <c r="CN193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X195" i="2" l="1"/>
  <c r="EY194" i="2"/>
  <c r="DH195" i="2"/>
  <c r="HI195" i="2"/>
  <c r="EB195" i="2"/>
  <c r="FQ195" i="2"/>
  <c r="AA195" i="2"/>
  <c r="HG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EC197" i="2"/>
  <c r="AA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EV198" i="2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EA199" i="2"/>
  <c r="EB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ED200" i="2"/>
  <c r="DI200" i="2"/>
  <c r="EA201" i="2"/>
  <c r="HH201" i="2"/>
  <c r="EB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X202" i="2" l="1"/>
  <c r="EW202" i="2"/>
  <c r="EY201" i="2"/>
  <c r="FZ6" i="2"/>
  <c r="HI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EI195" i="2" a="1"/>
  <c r="EI195" i="2" s="1"/>
  <c r="AH151" i="2" a="1"/>
  <c r="AH151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114" i="2" a="1"/>
  <c r="CS114" i="2" s="1"/>
  <c r="DN31" i="2" a="1"/>
  <c r="DN31" i="2" s="1"/>
  <c r="DN55" i="2" a="1"/>
  <c r="DN55" i="2" s="1"/>
  <c r="DN190" i="2" a="1"/>
  <c r="DN190" i="2" s="1"/>
  <c r="DN6" i="2" a="1"/>
  <c r="DN6" i="2" s="1"/>
  <c r="DO6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HJ202" i="2"/>
  <c r="EY202" i="2"/>
  <c r="AX200" i="2"/>
  <c r="DN132" i="2" l="1" a="1"/>
  <c r="DN132" i="2" s="1"/>
  <c r="DN167" i="2" a="1"/>
  <c r="DN167" i="2" s="1"/>
  <c r="DN123" i="2" a="1"/>
  <c r="DN123" i="2" s="1"/>
  <c r="DN30" i="2" a="1"/>
  <c r="DN30" i="2" s="1"/>
  <c r="DN16" i="2" a="1"/>
  <c r="DN16" i="2" s="1"/>
  <c r="DN46" i="2" a="1"/>
  <c r="DN46" i="2" s="1"/>
  <c r="DN162" i="2" a="1"/>
  <c r="DN162" i="2" s="1"/>
  <c r="DN150" i="2" a="1"/>
  <c r="DN150" i="2" s="1"/>
  <c r="DN49" i="2" a="1"/>
  <c r="DN49" i="2" s="1"/>
  <c r="DN192" i="2" a="1"/>
  <c r="DN192" i="2" s="1"/>
  <c r="DN176" i="2" a="1"/>
  <c r="DN176" i="2" s="1"/>
  <c r="DN164" i="2" a="1"/>
  <c r="DN164" i="2" s="1"/>
  <c r="DN66" i="2" a="1"/>
  <c r="DN66" i="2" s="1"/>
  <c r="DN135" i="2" a="1"/>
  <c r="DN135" i="2" s="1"/>
  <c r="DN63" i="2" a="1"/>
  <c r="DN63" i="2" s="1"/>
  <c r="DN188" i="2" a="1"/>
  <c r="DN188" i="2" s="1"/>
  <c r="DN187" i="2" a="1"/>
  <c r="DN187" i="2" s="1"/>
  <c r="DN38" i="2" a="1"/>
  <c r="DN38" i="2" s="1"/>
  <c r="DN86" i="2" a="1"/>
  <c r="DN86" i="2" s="1"/>
  <c r="DN133" i="2" a="1"/>
  <c r="DN133" i="2" s="1"/>
  <c r="DN65" i="2" a="1"/>
  <c r="DN65" i="2" s="1"/>
  <c r="DN115" i="2" a="1"/>
  <c r="DN115" i="2" s="1"/>
  <c r="DN70" i="2" a="1"/>
  <c r="DN70" i="2" s="1"/>
  <c r="DN80" i="2" a="1"/>
  <c r="DN80" i="2" s="1"/>
  <c r="DN153" i="2" a="1"/>
  <c r="DN153" i="2" s="1"/>
  <c r="DN168" i="2" a="1"/>
  <c r="DN168" i="2" s="1"/>
  <c r="DN114" i="2" a="1"/>
  <c r="DN114" i="2" s="1"/>
  <c r="DN113" i="2" a="1"/>
  <c r="DN113" i="2" s="1"/>
  <c r="DN110" i="2" a="1"/>
  <c r="DN110" i="2" s="1"/>
  <c r="DN103" i="2" a="1"/>
  <c r="DN103" i="2" s="1"/>
  <c r="DN43" i="2" a="1"/>
  <c r="DN43" i="2" s="1"/>
  <c r="DN177" i="2" a="1"/>
  <c r="DN177" i="2" s="1"/>
  <c r="DN170" i="2" a="1"/>
  <c r="DN170" i="2" s="1"/>
  <c r="DN129" i="2" a="1"/>
  <c r="DN129" i="2" s="1"/>
  <c r="DN50" i="2" a="1"/>
  <c r="DN50" i="2" s="1"/>
  <c r="DN25" i="2" a="1"/>
  <c r="DN25" i="2" s="1"/>
  <c r="DN29" i="2" a="1"/>
  <c r="DN29" i="2" s="1"/>
  <c r="DN41" i="2" a="1"/>
  <c r="DN41" i="2" s="1"/>
  <c r="DN184" i="2" a="1"/>
  <c r="DN184" i="2" s="1"/>
  <c r="DN152" i="2" a="1"/>
  <c r="DN152" i="2" s="1"/>
  <c r="DN186" i="2" a="1"/>
  <c r="DN186" i="2" s="1"/>
  <c r="DN137" i="2" a="1"/>
  <c r="DN137" i="2" s="1"/>
  <c r="DN124" i="2" a="1"/>
  <c r="DN124" i="2" s="1"/>
  <c r="DN155" i="2" a="1"/>
  <c r="DN155" i="2" s="1"/>
  <c r="CS77" i="2" a="1"/>
  <c r="CS77" i="2" s="1"/>
  <c r="CS137" i="2" a="1"/>
  <c r="CS137" i="2" s="1"/>
  <c r="CS185" i="2" a="1"/>
  <c r="CS185" i="2" s="1"/>
  <c r="CS24" i="2" a="1"/>
  <c r="CS24" i="2" s="1"/>
  <c r="CS38" i="2" a="1"/>
  <c r="CS38" i="2" s="1"/>
  <c r="CS129" i="2" a="1"/>
  <c r="CS129" i="2" s="1"/>
  <c r="CS52" i="2" a="1"/>
  <c r="CS52" i="2" s="1"/>
  <c r="CS120" i="2" a="1"/>
  <c r="CS120" i="2" s="1"/>
  <c r="CS56" i="2" a="1"/>
  <c r="CS56" i="2" s="1"/>
  <c r="CS66" i="2" a="1"/>
  <c r="CS66" i="2" s="1"/>
  <c r="CS116" i="2" a="1"/>
  <c r="CS116" i="2" s="1"/>
  <c r="BP203" i="2"/>
  <c r="FS203" i="2"/>
  <c r="DN56" i="2" a="1"/>
  <c r="DN56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ED203" i="2" s="1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DI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AN110" i="2" l="1"/>
  <c r="AN163" i="2"/>
  <c r="AN60" i="2"/>
  <c r="AN90" i="2"/>
  <c r="AN154" i="2"/>
  <c r="AN63" i="2"/>
  <c r="AN134" i="2"/>
  <c r="AN62" i="2"/>
  <c r="AN119" i="2"/>
  <c r="AN194" i="2"/>
  <c r="AN38" i="2"/>
  <c r="AN164" i="2"/>
  <c r="AN185" i="2"/>
  <c r="AN143" i="2"/>
  <c r="AN98" i="2"/>
  <c r="AN15" i="2"/>
  <c r="AN59" i="2"/>
  <c r="AN141" i="2"/>
  <c r="AN151" i="2"/>
  <c r="AN115" i="2"/>
  <c r="AN19" i="2"/>
  <c r="AN5" i="2"/>
  <c r="AN26" i="2"/>
  <c r="AN168" i="2"/>
  <c r="AN39" i="2"/>
  <c r="AN25" i="2"/>
  <c r="AN146" i="2"/>
  <c r="AN132" i="2"/>
  <c r="AN175" i="2"/>
  <c r="AN116" i="2"/>
  <c r="AN32" i="2"/>
  <c r="AN48" i="2"/>
  <c r="AN67" i="2"/>
  <c r="AN196" i="2"/>
  <c r="AN108" i="2"/>
  <c r="AN104" i="2"/>
  <c r="AN31" i="2"/>
  <c r="AN145" i="2"/>
  <c r="AN129" i="2"/>
  <c r="AN28" i="2"/>
  <c r="AN17" i="2"/>
  <c r="AN198" i="2"/>
  <c r="AN127" i="2"/>
  <c r="AN155" i="2"/>
  <c r="AN54" i="2"/>
  <c r="AN102" i="2"/>
  <c r="AN157" i="2"/>
  <c r="AN109" i="2"/>
  <c r="AN99" i="2"/>
  <c r="AN144" i="2"/>
  <c r="AN7" i="2"/>
  <c r="AN82" i="2"/>
  <c r="AN49" i="2"/>
  <c r="AN6" i="2"/>
  <c r="AN87" i="2"/>
  <c r="AN46" i="2"/>
  <c r="AN202" i="2"/>
  <c r="AN193" i="2"/>
  <c r="AN169" i="2"/>
  <c r="AN182" i="2"/>
  <c r="AN10" i="2"/>
  <c r="AN92" i="2"/>
  <c r="AN71" i="2"/>
  <c r="AN85" i="2"/>
  <c r="AN187" i="2"/>
  <c r="AN95" i="2"/>
  <c r="AN72" i="2"/>
  <c r="AN111" i="2"/>
  <c r="AN58" i="2"/>
  <c r="AN150" i="2"/>
  <c r="AN64" i="2"/>
  <c r="AN73" i="2"/>
  <c r="AN183" i="2"/>
  <c r="AN8" i="2"/>
  <c r="AN112" i="2"/>
  <c r="AN172" i="2"/>
  <c r="AN84" i="2"/>
  <c r="AN78" i="2"/>
  <c r="AN186" i="2"/>
  <c r="AN30" i="2"/>
  <c r="AN122" i="2"/>
  <c r="AN105" i="2"/>
  <c r="AN52" i="2"/>
  <c r="AN135" i="2"/>
  <c r="AN65" i="2"/>
  <c r="AN89" i="2"/>
  <c r="AN197" i="2"/>
  <c r="AN21" i="2"/>
  <c r="AN35" i="2"/>
  <c r="AN118" i="2"/>
  <c r="AN124" i="2"/>
  <c r="AN179" i="2"/>
  <c r="AN192" i="2"/>
  <c r="AN123" i="2"/>
  <c r="AN125" i="2"/>
  <c r="AN12" i="2"/>
  <c r="AN114" i="2"/>
  <c r="AN45" i="2"/>
  <c r="AN191" i="2"/>
  <c r="AN190" i="2"/>
  <c r="AN40" i="2"/>
  <c r="AN200" i="2"/>
  <c r="AN174" i="2"/>
  <c r="AN131" i="2"/>
  <c r="AN133" i="2"/>
  <c r="AN50" i="2"/>
  <c r="AN138" i="2"/>
  <c r="AN176" i="2"/>
  <c r="AN51" i="2"/>
  <c r="AN184" i="2"/>
  <c r="AN117" i="2"/>
  <c r="AN126" i="2"/>
  <c r="AN167" i="2"/>
  <c r="AN43" i="2"/>
  <c r="AN166" i="2"/>
  <c r="AN178" i="2"/>
  <c r="AN93" i="2"/>
  <c r="AN170" i="2"/>
  <c r="AN81" i="2"/>
  <c r="AN180" i="2"/>
  <c r="AN22" i="2"/>
  <c r="AN34" i="2"/>
  <c r="AN55" i="2"/>
  <c r="AN158" i="2"/>
  <c r="AN121" i="2"/>
  <c r="AN76" i="2"/>
  <c r="AN44" i="2"/>
  <c r="AN18" i="2"/>
  <c r="AN96" i="2"/>
  <c r="AN173" i="2"/>
  <c r="AN36" i="2"/>
  <c r="AN100" i="2"/>
  <c r="AN137" i="2"/>
  <c r="AN77" i="2"/>
  <c r="AN107" i="2"/>
  <c r="AN74" i="2"/>
  <c r="AN148" i="2"/>
  <c r="AN69" i="2"/>
  <c r="AN162" i="2"/>
  <c r="AN16" i="2"/>
  <c r="AN149" i="2"/>
  <c r="AN101" i="2"/>
  <c r="AN80" i="2"/>
  <c r="AN120" i="2"/>
  <c r="AN53" i="2"/>
  <c r="AN142" i="2"/>
  <c r="AN13" i="2"/>
  <c r="AN156" i="2"/>
  <c r="AN24" i="2"/>
  <c r="AN4" i="2"/>
  <c r="AN147" i="2"/>
  <c r="AN42" i="2"/>
  <c r="AN70" i="2"/>
  <c r="AN11" i="2"/>
  <c r="AN79" i="2"/>
  <c r="AN189" i="2"/>
  <c r="AN14" i="2"/>
  <c r="AN9" i="2"/>
  <c r="AN165" i="2"/>
  <c r="AN159" i="2"/>
  <c r="AN75" i="2"/>
  <c r="AN20" i="2"/>
  <c r="AN160" i="2"/>
  <c r="AN113" i="2"/>
  <c r="AN3" i="2"/>
  <c r="C7" i="4" s="1"/>
  <c r="E7" i="4" s="1"/>
  <c r="F7" i="4" s="1"/>
  <c r="G7" i="4" s="1"/>
  <c r="L7" i="4" s="1"/>
  <c r="AN56" i="2"/>
  <c r="AN68" i="2"/>
  <c r="AN140" i="2"/>
  <c r="AN88" i="2"/>
  <c r="AN201" i="2"/>
  <c r="AN94" i="2"/>
  <c r="AN23" i="2"/>
  <c r="AN29" i="2"/>
  <c r="AN181" i="2"/>
  <c r="AN128" i="2"/>
  <c r="AN106" i="2"/>
  <c r="AN97" i="2"/>
  <c r="AN27" i="2"/>
  <c r="AN66" i="2"/>
  <c r="AN139" i="2"/>
  <c r="AN188" i="2"/>
  <c r="AN91" i="2"/>
  <c r="AN177" i="2"/>
  <c r="AN37" i="2"/>
  <c r="AN136" i="2"/>
  <c r="AN152" i="2"/>
  <c r="AN33" i="2"/>
  <c r="AN86" i="2"/>
  <c r="AN153" i="2"/>
  <c r="AN47" i="2"/>
  <c r="AN41" i="2"/>
  <c r="AN61" i="2"/>
  <c r="AN203" i="2"/>
  <c r="AN199" i="2"/>
  <c r="AN195" i="2"/>
  <c r="AN130" i="2"/>
  <c r="AN171" i="2"/>
  <c r="AN57" i="2"/>
  <c r="AN161" i="2"/>
  <c r="AN103" i="2"/>
  <c r="AN83" i="2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200" i="2" l="1"/>
  <c r="BI79" i="2"/>
  <c r="BI81" i="2"/>
  <c r="BI115" i="2"/>
  <c r="BI31" i="2"/>
  <c r="BI45" i="2"/>
  <c r="BI194" i="2"/>
  <c r="BI23" i="2"/>
  <c r="BI47" i="2"/>
  <c r="BI201" i="2"/>
  <c r="BI120" i="2"/>
  <c r="BI179" i="2"/>
  <c r="BI76" i="2"/>
  <c r="BI124" i="2"/>
  <c r="BI187" i="2"/>
  <c r="BI88" i="2"/>
  <c r="BI186" i="2"/>
  <c r="BI65" i="2"/>
  <c r="BI9" i="2"/>
  <c r="BI163" i="2"/>
  <c r="BI141" i="2"/>
  <c r="BI42" i="2"/>
  <c r="BI155" i="2"/>
  <c r="BI84" i="2"/>
  <c r="BI91" i="2"/>
  <c r="BI7" i="2"/>
  <c r="BI41" i="2"/>
  <c r="BI116" i="2"/>
  <c r="BI199" i="2"/>
  <c r="BI170" i="2"/>
  <c r="BI151" i="2"/>
  <c r="BI28" i="2"/>
  <c r="BI180" i="2"/>
  <c r="BI22" i="2"/>
  <c r="BI8" i="2"/>
  <c r="BI174" i="2"/>
  <c r="BI114" i="2"/>
  <c r="BI61" i="2"/>
  <c r="BI75" i="2"/>
  <c r="BI103" i="2"/>
  <c r="BI36" i="2"/>
  <c r="BI202" i="2"/>
  <c r="BI52" i="2"/>
  <c r="BI100" i="2"/>
  <c r="BI96" i="2"/>
  <c r="BI181" i="2"/>
  <c r="BI37" i="2"/>
  <c r="BI135" i="2"/>
  <c r="BI166" i="2"/>
  <c r="BI80" i="2"/>
  <c r="BI150" i="2"/>
  <c r="BI92" i="2"/>
  <c r="BI183" i="2"/>
  <c r="BI137" i="2"/>
  <c r="BI94" i="2"/>
  <c r="BI168" i="2"/>
  <c r="BI129" i="2"/>
  <c r="BI144" i="2"/>
  <c r="BI39" i="2"/>
  <c r="BI125" i="2"/>
  <c r="BI60" i="2"/>
  <c r="BI147" i="2"/>
  <c r="BI13" i="2"/>
  <c r="BI86" i="2"/>
  <c r="BI189" i="2"/>
  <c r="BI175" i="2"/>
  <c r="BI108" i="2"/>
  <c r="BI78" i="2"/>
  <c r="BI112" i="2"/>
  <c r="BI118" i="2"/>
  <c r="BI26" i="2"/>
  <c r="BI134" i="2"/>
  <c r="BI133" i="2"/>
  <c r="BI162" i="2"/>
  <c r="BI24" i="2"/>
  <c r="BI177" i="2"/>
  <c r="BI48" i="2"/>
  <c r="BI32" i="2"/>
  <c r="BI198" i="2"/>
  <c r="BI142" i="2"/>
  <c r="BI203" i="2"/>
  <c r="BI110" i="2"/>
  <c r="BI178" i="2"/>
  <c r="BI184" i="2"/>
  <c r="BI171" i="2"/>
  <c r="BI29" i="2"/>
  <c r="BI87" i="2"/>
  <c r="BI27" i="2"/>
  <c r="BI130" i="2"/>
  <c r="BI35" i="2"/>
  <c r="BI107" i="2"/>
  <c r="BI152" i="2"/>
  <c r="BI11" i="2"/>
  <c r="BI20" i="2"/>
  <c r="BI192" i="2"/>
  <c r="BI63" i="2"/>
  <c r="BI157" i="2"/>
  <c r="BI136" i="2"/>
  <c r="BI56" i="2"/>
  <c r="BI99" i="2"/>
  <c r="BI14" i="2"/>
  <c r="BI51" i="2"/>
  <c r="BI101" i="2"/>
  <c r="BI121" i="2"/>
  <c r="BI43" i="2"/>
  <c r="BI148" i="2"/>
  <c r="BI93" i="2"/>
  <c r="BI97" i="2"/>
  <c r="BI167" i="2"/>
  <c r="BI117" i="2"/>
  <c r="BI197" i="2"/>
  <c r="BI15" i="2"/>
  <c r="BI85" i="2"/>
  <c r="BI25" i="2"/>
  <c r="BI140" i="2"/>
  <c r="BI72" i="2"/>
  <c r="BI191" i="2"/>
  <c r="BI159" i="2"/>
  <c r="BI123" i="2"/>
  <c r="BI127" i="2"/>
  <c r="BI21" i="2"/>
  <c r="BI16" i="2"/>
  <c r="BI131" i="2"/>
  <c r="BI62" i="2"/>
  <c r="BI4" i="2"/>
  <c r="BI193" i="2"/>
  <c r="BI17" i="2"/>
  <c r="BI57" i="2"/>
  <c r="BI138" i="2"/>
  <c r="BI160" i="2"/>
  <c r="BI195" i="2"/>
  <c r="BI83" i="2"/>
  <c r="BI169" i="2"/>
  <c r="BI95" i="2"/>
  <c r="BI44" i="2"/>
  <c r="BI40" i="2"/>
  <c r="BI182" i="2"/>
  <c r="BI145" i="2"/>
  <c r="BI74" i="2"/>
  <c r="BI132" i="2"/>
  <c r="BI90" i="2"/>
  <c r="BI156" i="2"/>
  <c r="BI139" i="2"/>
  <c r="BI109" i="2"/>
  <c r="BI66" i="2"/>
  <c r="BI146" i="2"/>
  <c r="BI128" i="2"/>
  <c r="BI5" i="2"/>
  <c r="BI64" i="2"/>
  <c r="BI34" i="2"/>
  <c r="BI58" i="2"/>
  <c r="BI126" i="2"/>
  <c r="BI77" i="2"/>
  <c r="BI119" i="2"/>
  <c r="BI3" i="2"/>
  <c r="C8" i="4" s="1"/>
  <c r="E8" i="4" s="1"/>
  <c r="F8" i="4" s="1"/>
  <c r="G8" i="4" s="1"/>
  <c r="L8" i="4" s="1"/>
  <c r="BI113" i="2"/>
  <c r="BI173" i="2"/>
  <c r="BI149" i="2"/>
  <c r="BI70" i="2"/>
  <c r="BI111" i="2"/>
  <c r="BI104" i="2"/>
  <c r="BI190" i="2"/>
  <c r="BI106" i="2"/>
  <c r="BI59" i="2"/>
  <c r="BI172" i="2"/>
  <c r="BI161" i="2"/>
  <c r="BI55" i="2"/>
  <c r="BI67" i="2"/>
  <c r="BI71" i="2"/>
  <c r="BI143" i="2"/>
  <c r="BI82" i="2"/>
  <c r="BI102" i="2"/>
  <c r="BI89" i="2"/>
  <c r="BI49" i="2"/>
  <c r="BI196" i="2"/>
  <c r="BI176" i="2"/>
  <c r="BI153" i="2"/>
  <c r="BI10" i="2"/>
  <c r="BI12" i="2"/>
  <c r="BI53" i="2"/>
  <c r="BI73" i="2"/>
  <c r="BI122" i="2"/>
  <c r="BI38" i="2"/>
  <c r="BI98" i="2"/>
  <c r="BI165" i="2"/>
  <c r="BI50" i="2"/>
  <c r="BI188" i="2"/>
  <c r="BI30" i="2"/>
  <c r="BI164" i="2"/>
  <c r="BI6" i="2"/>
  <c r="BI33" i="2"/>
  <c r="BI105" i="2"/>
  <c r="BI154" i="2"/>
  <c r="BI18" i="2"/>
  <c r="BI46" i="2"/>
  <c r="BI19" i="2"/>
  <c r="BI158" i="2"/>
  <c r="BI68" i="2"/>
  <c r="BI185" i="2"/>
  <c r="BI69" i="2"/>
  <c r="BI54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<sst xmlns="http://schemas.openxmlformats.org/spreadsheetml/2006/main" count="1179" uniqueCount="326">
  <si>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</si>
  <si>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</si>
  <si>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</si>
  <si>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</si>
  <si>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</si>
  <si>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</si>
  <si>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</si>
  <si>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</si>
  <si>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</si>
  <si>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</si>
  <si>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</si>
  <si>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</si>
  <si>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</si>
  <si>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</si>
  <si>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</si>
  <si>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</si>
  <si>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</si>
  <si>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</si>
  <si>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</si>
  <si>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</si>
  <si>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</si>
  <si>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</si>
  <si>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</si>
  <si>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</si>
  <si>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</si>
  <si>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</si>
  <si>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</si>
  <si>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</si>
  <si>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</si>
  <si>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</si>
  <si>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</si>
  <si>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</si>
  <si>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</si>
  <si>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</si>
  <si>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</si>
  <si>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</si>
  <si>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</si>
  <si>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</si>
  <si>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</si>
  <si>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</si>
  <si>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</si>
  <si>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</si>
  <si>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</si>
  <si>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</si>
  <si>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</si>
  <si>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</si>
  <si>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</si>
  <si>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</si>
  <si>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</si>
  <si>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</si>
  <si>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</si>
  <si>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</si>
  <si>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</si>
  <si>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</si>
  <si>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</si>
  <si>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</si>
  <si>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</si>
  <si>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</si>
  <si>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</si>
  <si>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</si>
  <si>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</si>
  <si>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</si>
  <si>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</si>
  <si>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</si>
  <si>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</si>
  <si>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</si>
  <si>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</si>
  <si>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</si>
  <si>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</si>
  <si>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</si>
  <si>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</si>
  <si>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</si>
  <si>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</si>
  <si>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</si>
  <si>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</si>
  <si>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</si>
  <si>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</si>
  <si>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</si>
  <si>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</si>
  <si>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</si>
  <si>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</si>
  <si>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</si>
  <si>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</si>
  <si>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</si>
  <si>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</si>
  <si>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</si>
  <si>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</si>
  <si>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</si>
  <si>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</si>
  <si>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</si>
  <si>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</si>
  <si>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</si>
  <si>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</si>
  <si>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</si>
  <si>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</si>
  <si>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</si>
  <si>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</si>
  <si>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</si>
  <si>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</si>
  <si>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</si>
  <si>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</si>
  <si>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</si>
  <si>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</si>
  <si>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</si>
  <si>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</si>
  <si>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</si>
  <si>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</si>
  <si>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</si>
  <si>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</si>
  <si>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</si>
  <si>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</si>
  <si>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</si>
  <si>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</si>
  <si>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</si>
  <si>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</si>
  <si>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</si>
  <si>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</si>
  <si>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</si>
  <si>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</si>
  <si>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</si>
  <si>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</si>
  <si>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</si>
  <si>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</si>
  <si>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</si>
  <si>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</si>
  <si>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</si>
  <si>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</si>
  <si>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</si>
  <si>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</si>
  <si>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</si>
  <si>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</si>
  <si>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</si>
  <si>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</si>
  <si>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</si>
  <si>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</si>
  <si>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</si>
  <si>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</si>
  <si>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</si>
  <si>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</si>
  <si>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</si>
  <si>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</si>
  <si>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</si>
  <si>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</si>
  <si>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</si>
  <si>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</si>
  <si>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</si>
  <si>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</si>
  <si>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</si>
  <si>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</si>
  <si>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</si>
  <si>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</si>
  <si>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</si>
  <si>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</si>
  <si>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</si>
  <si>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</si>
  <si>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</si>
  <si>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</si>
  <si>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</si>
  <si>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</si>
  <si>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</si>
  <si>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</si>
  <si>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</si>
  <si>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</si>
  <si>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</si>
  <si>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</si>
  <si>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</si>
  <si>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</si>
  <si>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</si>
  <si>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</si>
  <si>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</si>
  <si>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</si>
  <si>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</si>
  <si>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</si>
  <si>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</si>
  <si>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</si>
  <si>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</si>
  <si>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</si>
  <si>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</si>
  <si>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</si>
  <si>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</si>
  <si>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</si>
  <si>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</si>
  <si>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</si>
  <si>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</si>
  <si>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</si>
  <si>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</si>
  <si>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</si>
  <si>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</si>
  <si>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</si>
  <si>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</si>
  <si>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</si>
  <si>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</si>
  <si>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</si>
  <si>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</si>
  <si>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</si>
  <si>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</si>
  <si>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</si>
  <si>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</si>
  <si>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</si>
  <si>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</si>
  <si>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</si>
  <si>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</si>
  <si>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</si>
  <si>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</si>
  <si>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</si>
  <si>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</si>
  <si>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</si>
  <si>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</si>
  <si>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</si>
  <si>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</si>
  <si>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</si>
  <si>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</si>
  <si>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</si>
  <si>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</si>
  <si>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</si>
  <si>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</si>
  <si>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</si>
  <si>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</si>
  <si>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</si>
  <si>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</si>
  <si>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</si>
  <si>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</si>
  <si>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</si>
  <si>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</si>
  <si>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</si>
  <si>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</si>
  <si>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</si>
  <si>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</si>
  <si>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</si>
  <si>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</si>
  <si>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</si>
  <si>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</si>
  <si>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</si>
  <si>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</si>
  <si>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</si>
  <si>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</si>
  <si>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</si>
  <si>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</si>
  <si>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</si>
  <si>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</si>
  <si>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</si>
  <si>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</si>
  <si>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</si>
  <si>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</si>
  <si>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</si>
  <si>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</si>
  <si>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</si>
  <si>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</si>
  <si>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</si>
  <si>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</si>
  <si>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</si>
  <si>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</si>
  <si>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</si>
  <si>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</si>
  <si>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</si>
  <si>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</si>
  <si>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</si>
  <si>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</si>
  <si>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</si>
  <si>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</si>
  <si>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</si>
  <si>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</si>
  <si>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</si>
  <si>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</si>
  <si>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</si>
  <si>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</si>
  <si>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</si>
  <si>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</si>
  <si>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</si>
  <si>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</si>
  <si>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</si>
  <si>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</si>
  <si>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</si>
  <si>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</si>
  <si>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</si>
  <si>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</si>
  <si>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</si>
  <si>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</si>
  <si>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</si>
  <si>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</si>
  <si>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</si>
  <si>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</si>
  <si>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</si>
  <si>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</si>
  <si>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</si>
  <si>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</si>
  <si>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</si>
  <si>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</si>
  <si>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</si>
  <si>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</si>
  <si>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</si>
  <si>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</si>
  <si>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</si>
  <si>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</si>
  <si>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</si>
  <si>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</si>
  <si>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</si>
  <si>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</si>
  <si>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</si>
  <si>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</si>
  <si>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</si>
  <si>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</si>
  <si>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</si>
  <si>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</si>
  <si>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</si>
  <si>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</si>
  <si>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</si>
  <si>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</si>
  <si>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</si>
  <si>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</si>
  <si>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</si>
  <si>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</si>
  <si>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</si>
  <si>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</si>
  <si>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</si>
  <si>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</si>
  <si>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</si>
  <si>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</si>
  <si>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</si>
  <si>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</si>
  <si>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</si>
  <si>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</si>
  <si>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</si>
  <si>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</si>
  <si>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na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</si>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</sst>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2.6675160418488701</c:v>
                </c:pt>
                <c:pt idx="2">
                  <c:v>3.0797796475340888</c:v>
                </c:pt>
                <c:pt idx="3">
                  <c:v>3.5559878385050854</c:v>
                </c:pt>
                <c:pt idx="4">
                  <c:v>4.1060924309989639</c:v>
                </c:pt>
                <c:pt idx="5">
                  <c:v>4.7415989716746161</c:v>
                </c:pt>
                <c:pt idx="6">
                  <c:v>5.4758100289950429</c:v>
                </c:pt>
                <c:pt idx="7">
                  <c:v>6.3241066841717739</c:v>
                </c:pt>
                <c:pt idx="8">
                  <c:v>7.3042742344467291</c:v>
                </c:pt>
                <c:pt idx="9">
                  <c:v>8.4368790700879845</c:v>
                </c:pt>
                <c:pt idx="10">
                  <c:v>9.7457047850437757</c:v>
                </c:pt>
                <c:pt idx="11">
                  <c:v>11.258256853487337</c:v>
                </c:pt>
                <c:pt idx="12">
                  <c:v>13.006346678015461</c:v>
                </c:pt>
                <c:pt idx="13">
                  <c:v>15.026767521926386</c:v>
                </c:pt>
                <c:pt idx="14">
                  <c:v>17.362076814748239</c:v>
                </c:pt>
                <c:pt idx="15">
                  <c:v>20.06150160983681</c:v>
                </c:pt>
                <c:pt idx="16">
                  <c:v>23.181986625026479</c:v>
                </c:pt>
                <c:pt idx="17">
                  <c:v>26.789407369499227</c:v>
                </c:pt>
                <c:pt idx="18">
                  <c:v>30.959974418863357</c:v>
                </c:pt>
                <c:pt idx="19">
                  <c:v>35.781859023124703</c:v>
                </c:pt>
                <c:pt idx="20">
                  <c:v>41.357075008275459</c:v>
                </c:pt>
                <c:pt idx="21">
                  <c:v>47.803657465333458</c:v>
                </c:pt>
                <c:pt idx="22">
                  <c:v>55.258185131035383</c:v>
                </c:pt>
                <c:pt idx="23">
                  <c:v>63.878700791334211</c:v>
                </c:pt>
                <c:pt idx="24">
                  <c:v>73.848092643840616</c:v>
                </c:pt>
                <c:pt idx="25">
                  <c:v>85.37800952552827</c:v>
                </c:pt>
                <c:pt idx="26">
                  <c:v>98.71339446431891</c:v>
                </c:pt>
                <c:pt idx="27">
                  <c:v>114.13773439901051</c:v>
                </c:pt>
                <c:pt idx="28">
                  <c:v>131.9791394228651</c:v>
                </c:pt>
                <c:pt idx="29">
                  <c:v>152.61738287987308</c:v>
                </c:pt>
                <c:pt idx="30">
                  <c:v>176.49205447088363</c:v>
                </c:pt>
                <c:pt idx="31">
                  <c:v>186.95359711706033</c:v>
                </c:pt>
                <c:pt idx="32">
                  <c:v>197.40148207463395</c:v>
                </c:pt>
                <c:pt idx="33">
                  <c:v>207.83653473133492</c:v>
                </c:pt>
                <c:pt idx="34">
                  <c:v>218.25949073176866</c:v>
                </c:pt>
                <c:pt idx="35">
                  <c:v>228.67100964856897</c:v>
                </c:pt>
                <c:pt idx="36">
                  <c:v>239.07168602996975</c:v>
                </c:pt>
                <c:pt idx="37">
                  <c:v>249.46205842189795</c:v>
                </c:pt>
                <c:pt idx="38">
                  <c:v>259.8426168066029</c:v>
                </c:pt>
                <c:pt idx="39">
                  <c:v>270.21380878920627</c:v>
                </c:pt>
                <c:pt idx="40">
                  <c:v>280.57604478389567</c:v>
                </c:pt>
                <c:pt idx="41">
                  <c:v>290.92970239325638</c:v>
                </c:pt>
                <c:pt idx="42">
                  <c:v>301.27513013111576</c:v>
                </c:pt>
                <c:pt idx="43">
                  <c:v>311.61265060694552</c:v>
                </c:pt>
                <c:pt idx="44">
                  <c:v>321.94256326534446</c:v>
                </c:pt>
                <c:pt idx="45">
                  <c:v>210.01760539829328</c:v>
                </c:pt>
                <c:pt idx="46">
                  <c:v>223.3433746739031</c:v>
                </c:pt>
                <c:pt idx="47">
                  <c:v>236.65091661924077</c:v>
                </c:pt>
                <c:pt idx="48">
                  <c:v>249.94140096875267</c:v>
                </c:pt>
                <c:pt idx="49">
                  <c:v>263.21586282211655</c:v>
                </c:pt>
                <c:pt idx="50">
                  <c:v>276.47522429459542</c:v>
                </c:pt>
                <c:pt idx="51">
                  <c:v>289.72031179267179</c:v>
                </c:pt>
                <c:pt idx="52">
                  <c:v>228.87902042277122</c:v>
                </c:pt>
                <c:pt idx="53">
                  <c:v>241.33853237147972</c:v>
                </c:pt>
                <c:pt idx="54">
                  <c:v>253.78341018742489</c:v>
                </c:pt>
                <c:pt idx="55">
                  <c:v>266.21447290517364</c:v>
                </c:pt>
                <c:pt idx="56">
                  <c:v>278.63245677901716</c:v>
                </c:pt>
                <c:pt idx="57">
                  <c:v>291.03802704516664</c:v>
                </c:pt>
                <c:pt idx="58">
                  <c:v>303.43178757201281</c:v>
                </c:pt>
                <c:pt idx="59">
                  <c:v>315.81428885019949</c:v>
                </c:pt>
                <c:pt idx="60">
                  <c:v>251.78351312244976</c:v>
                </c:pt>
                <c:pt idx="61">
                  <c:v>263.34000449594265</c:v>
                </c:pt>
                <c:pt idx="62">
                  <c:v>274.88505676542917</c:v>
                </c:pt>
                <c:pt idx="63">
                  <c:v>286.41921831121891</c:v>
                </c:pt>
                <c:pt idx="64">
                  <c:v>297.94298971608151</c:v>
                </c:pt>
                <c:pt idx="65">
                  <c:v>309.45682965861977</c:v>
                </c:pt>
                <c:pt idx="66">
                  <c:v>320.96115988314858</c:v>
                </c:pt>
                <c:pt idx="67">
                  <c:v>332.45636941938818</c:v>
                </c:pt>
                <c:pt idx="68">
                  <c:v>281.50796218784762</c:v>
                </c:pt>
                <c:pt idx="69">
                  <c:v>292.545155837614</c:v>
                </c:pt>
                <c:pt idx="70">
                  <c:v>303.57305400018032</c:v>
                </c:pt>
                <c:pt idx="71">
                  <c:v>314.59204211276312</c:v>
                </c:pt>
                <c:pt idx="72">
                  <c:v>325.60247639377735</c:v>
                </c:pt>
                <c:pt idx="73">
                  <c:v>336.60468699221047</c:v>
                </c:pt>
                <c:pt idx="74">
                  <c:v>347.59898070352688</c:v>
                </c:pt>
                <c:pt idx="75">
                  <c:v>358.58564332386726</c:v>
                </c:pt>
                <c:pt idx="76">
                  <c:v>309.45579518663413</c:v>
                </c:pt>
                <c:pt idx="77">
                  <c:v>320.11097004984299</c:v>
                </c:pt>
                <c:pt idx="78">
                  <c:v>330.75829794599554</c:v>
                </c:pt>
                <c:pt idx="79">
                  <c:v>341.39806719991861</c:v>
                </c:pt>
                <c:pt idx="80">
                  <c:v>352.03054668974067</c:v>
                </c:pt>
                <c:pt idx="81">
                  <c:v>362.65598771889108</c:v>
                </c:pt>
                <c:pt idx="82">
                  <c:v>373.27462565717025</c:v>
                </c:pt>
                <c:pt idx="83">
                  <c:v>383.88668138527265</c:v>
                </c:pt>
                <c:pt idx="84">
                  <c:v>394.49236257119691</c:v>
                </c:pt>
                <c:pt idx="85">
                  <c:v>336.95058721961857</c:v>
                </c:pt>
                <c:pt idx="86">
                  <c:v>347.11556558587159</c:v>
                </c:pt>
                <c:pt idx="87">
                  <c:v>357.27401054854323</c:v>
                </c:pt>
                <c:pt idx="88">
                  <c:v>367.42613414859778</c:v>
                </c:pt>
                <c:pt idx="89">
                  <c:v>377.57213574794014</c:v>
                </c:pt>
                <c:pt idx="90">
                  <c:v>387.71220311524468</c:v>
                </c:pt>
                <c:pt idx="91">
                  <c:v>397.84651339222506</c:v>
                </c:pt>
                <c:pt idx="92">
                  <c:v>407.97523395628696</c:v>
                </c:pt>
                <c:pt idx="93">
                  <c:v>418.09852319302132</c:v>
                </c:pt>
                <c:pt idx="94">
                  <c:v>370.27809221654746</c:v>
                </c:pt>
                <c:pt idx="95">
                  <c:v>380.41787655047784</c:v>
                </c:pt>
                <c:pt idx="96">
                  <c:v>390.55178264624448</c:v>
                </c:pt>
                <c:pt idx="97">
                  <c:v>400.67998459146901</c:v>
                </c:pt>
                <c:pt idx="98">
                  <c:v>410.80264695148441</c:v>
                </c:pt>
                <c:pt idx="99">
                  <c:v>420.91992551704237</c:v>
                </c:pt>
                <c:pt idx="100">
                  <c:v>431.03196797636821</c:v>
                </c:pt>
                <c:pt idx="101">
                  <c:v>441.13891452085255</c:v>
                </c:pt>
                <c:pt idx="102">
                  <c:v>451.2408983923292</c:v>
                </c:pt>
                <c:pt idx="103">
                  <c:v>461.33804637878757</c:v>
                </c:pt>
                <c:pt idx="104">
                  <c:v>395.15912626693824</c:v>
                </c:pt>
                <c:pt idx="105">
                  <c:v>404.97257180631692</c:v>
                </c:pt>
                <c:pt idx="106">
                  <c:v>414.78087724967219</c:v>
                </c:pt>
                <c:pt idx="107">
                  <c:v>424.58418132465653</c:v>
                </c:pt>
                <c:pt idx="108">
                  <c:v>434.38261582791301</c:v>
                </c:pt>
                <c:pt idx="109">
                  <c:v>444.17630612325894</c:v>
                </c:pt>
                <c:pt idx="110">
                  <c:v>453.96537159363237</c:v>
                </c:pt>
                <c:pt idx="111">
                  <c:v>463.74992605201828</c:v>
                </c:pt>
                <c:pt idx="112">
                  <c:v>473.53007811588674</c:v>
                </c:pt>
                <c:pt idx="113">
                  <c:v>483.30593154907984</c:v>
                </c:pt>
                <c:pt idx="114">
                  <c:v>432.8155990693013</c:v>
                </c:pt>
                <c:pt idx="115">
                  <c:v>443.01444777265607</c:v>
                </c:pt>
                <c:pt idx="116">
                  <c:v>453.20826667532333</c:v>
                </c:pt>
                <c:pt idx="117">
                  <c:v>463.39718488359148</c:v>
                </c:pt>
                <c:pt idx="118">
                  <c:v>473.58132536211127</c:v>
                </c:pt>
                <c:pt idx="119">
                  <c:v>483.76080535467781</c:v>
                </c:pt>
                <c:pt idx="120">
                  <c:v>493.93573676774707</c:v>
                </c:pt>
                <c:pt idx="121">
                  <c:v>504.10622652070589</c:v>
                </c:pt>
                <c:pt idx="122">
                  <c:v>514.27237686640376</c:v>
                </c:pt>
                <c:pt idx="123">
                  <c:v>524.43428568501929</c:v>
                </c:pt>
                <c:pt idx="124">
                  <c:v>534.59204675396666</c:v>
                </c:pt>
                <c:pt idx="125">
                  <c:v>544.74574999622132</c:v>
                </c:pt>
                <c:pt idx="126">
                  <c:v>462.50915412595759</c:v>
                </c:pt>
                <c:pt idx="127">
                  <c:v>472.57480781864791</c:v>
                </c:pt>
                <c:pt idx="128">
                  <c:v>482.6358981589994</c:v>
                </c:pt>
                <c:pt idx="129">
                  <c:v>492.69253370091127</c:v>
                </c:pt>
                <c:pt idx="130">
                  <c:v>502.74481820472732</c:v>
                </c:pt>
                <c:pt idx="131">
                  <c:v>512.7928509425783</c:v>
                </c:pt>
                <c:pt idx="132">
                  <c:v>522.83672697854365</c:v>
                </c:pt>
                <c:pt idx="133">
                  <c:v>532.87653742616862</c:v>
                </c:pt>
                <c:pt idx="134">
                  <c:v>542.91236968556427</c:v>
                </c:pt>
                <c:pt idx="135">
                  <c:v>552.94430766206358</c:v>
                </c:pt>
                <c:pt idx="136">
                  <c:v>562.97243196818863</c:v>
                </c:pt>
                <c:pt idx="137">
                  <c:v>572.9968201104773</c:v>
                </c:pt>
                <c:pt idx="138">
                  <c:v>484.83750873596932</c:v>
                </c:pt>
                <c:pt idx="139">
                  <c:v>494.62796935081639</c:v>
                </c:pt>
                <c:pt idx="140">
                  <c:v>504.41432391708167</c:v>
                </c:pt>
                <c:pt idx="141">
                  <c:v>514.19666333944122</c:v>
                </c:pt>
                <c:pt idx="142">
                  <c:v>523.97507478125954</c:v>
                </c:pt>
                <c:pt idx="143">
                  <c:v>533.74964188701165</c:v>
                </c:pt>
                <c:pt idx="144">
                  <c:v>543.52044498756334</c:v>
                </c:pt>
                <c:pt idx="145">
                  <c:v>553.28756128992666</c:v>
                </c:pt>
                <c:pt idx="146">
                  <c:v>563.05106505291644</c:v>
                </c:pt>
                <c:pt idx="147">
                  <c:v>572.8110277499942</c:v>
                </c:pt>
                <c:pt idx="148">
                  <c:v>582.56751822043464</c:v>
                </c:pt>
                <c:pt idx="149">
                  <c:v>592.3206028098424</c:v>
                </c:pt>
                <c:pt idx="150">
                  <c:v>367.05615628788252</c:v>
                </c:pt>
                <c:pt idx="151">
                  <c:v>373.02531238000211</c:v>
                </c:pt>
                <c:pt idx="152">
                  <c:v>378.99238662296966</c:v>
                </c:pt>
                <c:pt idx="153">
                  <c:v>384.95741645192157</c:v>
                </c:pt>
                <c:pt idx="154">
                  <c:v>252.86690014923991</c:v>
                </c:pt>
                <c:pt idx="155">
                  <c:v>256.50755974111013</c:v>
                </c:pt>
                <c:pt idx="156">
                  <c:v>260.14705039921722</c:v>
                </c:pt>
                <c:pt idx="157">
                  <c:v>263.78539081889153</c:v>
                </c:pt>
                <c:pt idx="158">
                  <c:v>176.83468552294804</c:v>
                </c:pt>
                <c:pt idx="159">
                  <c:v>179.11325863950762</c:v>
                </c:pt>
                <c:pt idx="160">
                  <c:v>181.39115234734456</c:v>
                </c:pt>
                <c:pt idx="161">
                  <c:v>183.66837640937331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2.9770808019599735</c:v>
                </c:pt>
                <c:pt idx="2">
                  <c:v>3.4373570828714688</c:v>
                </c:pt>
                <c:pt idx="3">
                  <c:v>3.969049858352836</c:v>
                </c:pt>
                <c:pt idx="4">
                  <c:v>4.5832774414983648</c:v>
                </c:pt>
                <c:pt idx="5">
                  <c:v>5.2928945237969822</c:v>
                </c:pt>
                <c:pt idx="6">
                  <c:v>6.1127641431566362</c:v>
                </c:pt>
                <c:pt idx="7">
                  <c:v>7.0600723651439914</c:v>
                </c:pt>
                <c:pt idx="8">
                  <c:v>8.1546924022830094</c:v>
                </c:pt>
                <c:pt idx="9">
                  <c:v>9.4196059574262012</c:v>
                </c:pt>
                <c:pt idx="10">
                  <c:v>10.881390806178834</c:v>
                </c:pt>
                <c:pt idx="11">
                  <c:v>12.570785056701292</c:v>
                </c:pt>
                <c:pt idx="12">
                  <c:v>14.523340173738314</c:v>
                </c:pt>
                <c:pt idx="13">
                  <c:v>16.780176763115087</c:v>
                </c:pt>
                <c:pt idx="14">
                  <c:v>19.388859324553817</c:v>
                </c:pt>
                <c:pt idx="15">
                  <c:v>22.40440874242114</c:v>
                </c:pt>
                <c:pt idx="16">
                  <c:v>25.890474251448747</c:v>
                </c:pt>
                <c:pt idx="17">
                  <c:v>29.92069005192911</c:v>
                </c:pt>
                <c:pt idx="18">
                  <c:v>34.580245730952278</c:v>
                </c:pt>
                <c:pt idx="19">
                  <c:v>39.967704259345972</c:v>
                </c:pt>
                <c:pt idx="20">
                  <c:v>46.197106678273713</c:v>
                </c:pt>
                <c:pt idx="21">
                  <c:v>53.400408781022065</c:v>
                </c:pt>
                <c:pt idx="22">
                  <c:v>61.730302268911977</c:v>
                </c:pt>
                <c:pt idx="23">
                  <c:v>71.363481171441208</c:v>
                </c:pt>
                <c:pt idx="24">
                  <c:v>82.504423950448952</c:v>
                </c:pt>
                <c:pt idx="25">
                  <c:v>95.389772865783996</c:v>
                </c:pt>
                <c:pt idx="26">
                  <c:v>110.29340510848425</c:v>
                </c:pt>
                <c:pt idx="27">
                  <c:v>127.53230518830827</c:v>
                </c:pt>
                <c:pt idx="28">
                  <c:v>147.47336542186929</c:v>
                </c:pt>
                <c:pt idx="29">
                  <c:v>170.54126148381732</c:v>
                </c:pt>
                <c:pt idx="30">
                  <c:v>197.22757329492163</c:v>
                </c:pt>
                <c:pt idx="31">
                  <c:v>208.92142876180176</c:v>
                </c:pt>
                <c:pt idx="32">
                  <c:v>220.60017986363141</c:v>
                </c:pt>
                <c:pt idx="33">
                  <c:v>232.264739416477</c:v>
                </c:pt>
                <c:pt idx="34">
                  <c:v>243.91592098733301</c:v>
                </c:pt>
                <c:pt idx="35">
                  <c:v>255.55445401337798</c:v>
                </c:pt>
                <c:pt idx="36">
                  <c:v>267.18099601974819</c:v>
                </c:pt>
                <c:pt idx="37">
                  <c:v>278.79614259728777</c:v>
                </c:pt>
                <c:pt idx="38">
                  <c:v>290.4004356291054</c:v>
                </c:pt>
                <c:pt idx="39">
                  <c:v>301.99437013242931</c:v>
                </c:pt>
                <c:pt idx="40">
                  <c:v>313.57839999414279</c:v>
                </c:pt>
                <c:pt idx="41">
                  <c:v>325.15294281399184</c:v>
                </c:pt>
                <c:pt idx="42">
                  <c:v>336.71838402176826</c:v>
                </c:pt>
                <c:pt idx="43">
                  <c:v>348.27508039901596</c:v>
                </c:pt>
                <c:pt idx="44">
                  <c:v>359.82336310869147</c:v>
                </c:pt>
                <c:pt idx="45">
                  <c:v>234.70281254814427</c:v>
                </c:pt>
                <c:pt idx="46">
                  <c:v>249.59893217379951</c:v>
                </c:pt>
                <c:pt idx="47">
                  <c:v>264.47489375819822</c:v>
                </c:pt>
                <c:pt idx="48">
                  <c:v>279.33199093869058</c:v>
                </c:pt>
                <c:pt idx="49">
                  <c:v>294.17136845681017</c:v>
                </c:pt>
                <c:pt idx="50">
                  <c:v>308.99404610191897</c:v>
                </c:pt>
                <c:pt idx="51">
                  <c:v>323.80093781674623</c:v>
                </c:pt>
                <c:pt idx="52">
                  <c:v>255.78698052992738</c:v>
                </c:pt>
                <c:pt idx="53">
                  <c:v>269.71503855690486</c:v>
                </c:pt>
                <c:pt idx="54">
                  <c:v>283.62691234584025</c:v>
                </c:pt>
                <c:pt idx="55">
                  <c:v>297.52350768668458</c:v>
                </c:pt>
                <c:pt idx="56">
                  <c:v>311.40563882069802</c:v>
                </c:pt>
                <c:pt idx="57">
                  <c:v>325.27404144854546</c:v>
                </c:pt>
                <c:pt idx="58">
                  <c:v>339.12938340274769</c:v>
                </c:pt>
                <c:pt idx="59">
                  <c:v>352.97227348409729</c:v>
                </c:pt>
                <c:pt idx="60">
                  <c:v>281.39125702931875</c:v>
                </c:pt>
                <c:pt idx="61">
                  <c:v>294.31014596253618</c:v>
                </c:pt>
                <c:pt idx="62">
                  <c:v>307.2163841165638</c:v>
                </c:pt>
                <c:pt idx="63">
                  <c:v>320.11057795832443</c:v>
                </c:pt>
                <c:pt idx="64">
                  <c:v>332.99328109429655</c:v>
                </c:pt>
                <c:pt idx="65">
                  <c:v>345.86500078813629</c:v>
                </c:pt>
                <c:pt idx="66">
                  <c:v>358.72620345698607</c:v>
                </c:pt>
                <c:pt idx="67">
                  <c:v>371.57731933813437</c:v>
                </c:pt>
                <c:pt idx="68">
                  <c:v>314.62020332185165</c:v>
                </c:pt>
                <c:pt idx="69">
                  <c:v>326.95889671398453</c:v>
                </c:pt>
                <c:pt idx="70">
                  <c:v>339.28731000411216</c:v>
                </c:pt>
                <c:pt idx="71">
                  <c:v>351.60586945648743</c:v>
                </c:pt>
                <c:pt idx="72">
                  <c:v>363.9149690215898</c:v>
                </c:pt>
                <c:pt idx="73">
                  <c:v>376.21497381909467</c:v>
                </c:pt>
                <c:pt idx="74">
                  <c:v>388.50622314145625</c:v>
                </c:pt>
                <c:pt idx="75">
                  <c:v>400.78903305747446</c:v>
                </c:pt>
                <c:pt idx="76">
                  <c:v>345.86384431093734</c:v>
                </c:pt>
                <c:pt idx="77">
                  <c:v>357.77573460306729</c:v>
                </c:pt>
                <c:pt idx="78">
                  <c:v>369.67894674632447</c:v>
                </c:pt>
                <c:pt idx="79">
                  <c:v>381.57379960604271</c:v>
                </c:pt>
                <c:pt idx="80">
                  <c:v>393.46059054098606</c:v>
                </c:pt>
                <c:pt idx="81">
                  <c:v>405.33959747363838</c:v>
                </c:pt>
                <c:pt idx="82">
                  <c:v>417.21108070510104</c:v>
                </c:pt>
                <c:pt idx="83">
                  <c:v>429.07528451262601</c:v>
                </c:pt>
                <c:pt idx="84">
                  <c:v>440.93243856122854</c:v>
                </c:pt>
                <c:pt idx="85">
                  <c:v>376.60167716610619</c:v>
                </c:pt>
                <c:pt idx="86">
                  <c:v>387.96577939828467</c:v>
                </c:pt>
                <c:pt idx="87">
                  <c:v>399.32265618290847</c:v>
                </c:pt>
                <c:pt idx="88">
                  <c:v>410.67254202116061</c:v>
                </c:pt>
                <c:pt idx="89">
                  <c:v>422.01565739214857</c:v>
                </c:pt>
                <c:pt idx="90">
                  <c:v>433.35220995374738</c:v>
                </c:pt>
                <c:pt idx="91">
                  <c:v>444.6823956112226</c:v>
                </c:pt>
                <c:pt idx="92">
                  <c:v>456.00639947125768</c:v>
                </c:pt>
                <c:pt idx="93">
                  <c:v>467.32439669627183</c:v>
                </c:pt>
                <c:pt idx="94">
                  <c:v>413.86099161777793</c:v>
                </c:pt>
                <c:pt idx="95">
                  <c:v>425.19717647466877</c:v>
                </c:pt>
                <c:pt idx="96">
                  <c:v>436.52686044713772</c:v>
                </c:pt>
                <c:pt idx="97">
                  <c:v>447.85023606285631</c:v>
                </c:pt>
                <c:pt idx="98">
                  <c:v>459.16748531856956</c:v>
                </c:pt>
                <c:pt idx="99">
                  <c:v>470.47878050700183</c:v>
                </c:pt>
                <c:pt idx="100">
                  <c:v>481.78428496010048</c:v>
                </c:pt>
                <c:pt idx="101">
                  <c:v>493.08415371888253</c:v>
                </c:pt>
                <c:pt idx="102">
                  <c:v>504.37853413868493</c:v>
                </c:pt>
                <c:pt idx="103">
                  <c:v>515.6675664373829</c:v>
                </c:pt>
                <c:pt idx="104">
                  <c:v>441.67788304694392</c:v>
                </c:pt>
                <c:pt idx="105">
                  <c:v>452.64938831122686</c:v>
                </c:pt>
                <c:pt idx="106">
                  <c:v>463.61520902016565</c:v>
                </c:pt>
                <c:pt idx="107">
                  <c:v>474.57549859599521</c:v>
                </c:pt>
                <c:pt idx="108">
                  <c:v>485.53040279578119</c:v>
                </c:pt>
                <c:pt idx="109">
                  <c:v>496.48006026237272</c:v>
                </c:pt>
                <c:pt idx="110">
                  <c:v>507.42460302422029</c:v>
                </c:pt>
                <c:pt idx="111">
                  <c:v>518.36415694983214</c:v>
                </c:pt>
                <c:pt idx="112">
                  <c:v>529.29884216187008</c:v>
                </c:pt>
                <c:pt idx="113">
                  <c:v>540.22877341525339</c:v>
                </c:pt>
                <c:pt idx="114">
                  <c:v>483.77843347470525</c:v>
                </c:pt>
                <c:pt idx="115">
                  <c:v>495.18106269086019</c:v>
                </c:pt>
                <c:pt idx="116">
                  <c:v>506.57812932992596</c:v>
                </c:pt>
                <c:pt idx="117">
                  <c:v>517.96977617364007</c:v>
                </c:pt>
                <c:pt idx="118">
                  <c:v>529.35613921155607</c:v>
                </c:pt>
                <c:pt idx="119">
                  <c:v>540.73734810639564</c:v>
                </c:pt>
                <c:pt idx="120">
                  <c:v>552.11352661818967</c:v>
                </c:pt>
                <c:pt idx="121">
                  <c:v>563.48479299165012</c:v>
                </c:pt>
                <c:pt idx="122">
                  <c:v>574.85126031065295</c:v>
                </c:pt>
                <c:pt idx="123">
                  <c:v>586.21303682323253</c:v>
                </c:pt>
                <c:pt idx="124">
                  <c:v>597.57022624007823</c:v>
                </c:pt>
                <c:pt idx="125">
                  <c:v>608.92292800916312</c:v>
                </c:pt>
                <c:pt idx="126">
                  <c:v>516.97691743661551</c:v>
                </c:pt>
                <c:pt idx="127">
                  <c:v>528.23080123722991</c:v>
                </c:pt>
                <c:pt idx="128">
                  <c:v>539.47963831715936</c:v>
                </c:pt>
                <c:pt idx="129">
                  <c:v>550.7235487287619</c:v>
                </c:pt>
                <c:pt idx="130">
                  <c:v>561.96264722308808</c:v>
                </c:pt>
                <c:pt idx="131">
                  <c:v>573.19704358756508</c:v>
                </c:pt>
                <c:pt idx="132">
                  <c:v>584.42684295583661</c:v>
                </c:pt>
                <c:pt idx="133">
                  <c:v>595.65214609255543</c:v>
                </c:pt>
                <c:pt idx="134">
                  <c:v>606.87304965559781</c:v>
                </c:pt>
                <c:pt idx="135">
                  <c:v>618.08964643788192</c:v>
                </c:pt>
                <c:pt idx="136">
                  <c:v>629.30202559072757</c:v>
                </c:pt>
                <c:pt idx="137">
                  <c:v>640.51027283047199</c:v>
                </c:pt>
                <c:pt idx="138">
                  <c:v>541.94116393966794</c:v>
                </c:pt>
                <c:pt idx="139">
                  <c:v>552.88748579227229</c:v>
                </c:pt>
                <c:pt idx="140">
                  <c:v>563.82926666737285</c:v>
                </c:pt>
                <c:pt idx="141">
                  <c:v>574.76660709862961</c:v>
                </c:pt>
                <c:pt idx="142">
                  <c:v>585.69960348209554</c:v>
                </c:pt>
                <c:pt idx="143">
                  <c:v>596.6283483221988</c:v>
                </c:pt>
                <c:pt idx="144">
                  <c:v>607.55293045876988</c:v>
                </c:pt>
                <c:pt idx="145">
                  <c:v>618.47343527689191</c:v>
                </c:pt>
                <c:pt idx="146">
                  <c:v>629.38994490116841</c:v>
                </c:pt>
                <c:pt idx="147">
                  <c:v>640.30253837581188</c:v>
                </c:pt>
                <c:pt idx="148">
                  <c:v>651.21129183182666</c:v>
                </c:pt>
                <c:pt idx="149">
                  <c:v>662.11627864240563</c:v>
                </c:pt>
                <c:pt idx="150">
                  <c:v>410.25891232631693</c:v>
                </c:pt>
                <c:pt idx="151">
                  <c:v>416.93235115607769</c:v>
                </c:pt>
                <c:pt idx="152">
                  <c:v>423.60348761898211</c:v>
                </c:pt>
                <c:pt idx="153">
                  <c:v>430.27236311544448</c:v>
                </c:pt>
                <c:pt idx="154">
                  <c:v>282.60235881259825</c:v>
                </c:pt>
                <c:pt idx="155">
                  <c:v>286.67220565892609</c:v>
                </c:pt>
                <c:pt idx="156">
                  <c:v>290.74075975339895</c:v>
                </c:pt>
                <c:pt idx="157">
                  <c:v>294.80804177163026</c:v>
                </c:pt>
                <c:pt idx="158">
                  <c:v>197.61056174383398</c:v>
                </c:pt>
                <c:pt idx="159">
                  <c:v>200.15752525879137</c:v>
                </c:pt>
                <c:pt idx="160">
                  <c:v>202.70373739936451</c:v>
                </c:pt>
                <c:pt idx="161">
                  <c:v>205.24920896259434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2.80033121253499</c:v>
                </c:pt>
                <c:pt idx="2">
                  <c:v>3.2331920402022267</c:v>
                </c:pt>
                <c:pt idx="3">
                  <c:v>3.7332025678630338</c:v>
                </c:pt>
                <c:pt idx="4">
                  <c:v>4.3108149429188805</c:v>
                </c:pt>
                <c:pt idx="5">
                  <c:v>4.9781133777906152</c:v>
                </c:pt>
                <c:pt idx="6">
                  <c:v>5.7490697393039083</c:v>
                </c:pt>
                <c:pt idx="7">
                  <c:v>6.6398392731882963</c:v>
                </c:pt>
                <c:pt idx="8">
                  <c:v>7.6691027817963127</c:v>
                </c:pt>
                <c:pt idx="9">
                  <c:v>8.8584625700164565</c:v>
                </c:pt>
                <c:pt idx="10">
                  <c:v>10.232900628832473</c:v>
                </c:pt>
                <c:pt idx="11">
                  <c:v>11.821308863037162</c:v>
                </c:pt>
                <c:pt idx="12">
                  <c:v>13.657102718169881</c:v>
                </c:pt>
                <c:pt idx="13">
                  <c:v>15.77893135533084</c:v>
                </c:pt>
                <c:pt idx="14">
                  <c:v>18.231499599972256</c:v>
                </c:pt>
                <c:pt idx="15">
                  <c:v>21.066519297081395</c:v>
                </c:pt>
                <c:pt idx="16">
                  <c:v>24.343810492506289</c:v>
                </c:pt>
                <c:pt idx="17">
                  <c:v>28.132576088968303</c:v>
                </c:pt>
                <c:pt idx="18">
                  <c:v>32.512877365593162</c:v>
                </c:pt>
                <c:pt idx="19">
                  <c:v>37.57734208274011</c:v>
                </c:pt>
                <c:pt idx="20">
                  <c:v>43.433141913583228</c:v>
                </c:pt>
                <c:pt idx="21">
                  <c:v>50.204281759315286</c:v>
                </c:pt>
                <c:pt idx="22">
                  <c:v>58.03425024235446</c:v>
                </c:pt>
                <c:pt idx="23">
                  <c:v>67.089088477976034</c:v>
                </c:pt>
                <c:pt idx="24">
                  <c:v>77.560943269096967</c:v>
                </c:pt>
                <c:pt idx="25">
                  <c:v>89.672181348239192</c:v>
                </c:pt>
                <c:pt idx="26">
                  <c:v>103.68015343301619</c:v>
                </c:pt>
                <c:pt idx="27">
                  <c:v>119.88271093114093</c:v>
                </c:pt>
                <c:pt idx="28">
                  <c:v>138.62459443431774</c:v>
                </c:pt>
                <c:pt idx="29">
                  <c:v>160.30483203260653</c:v>
                </c:pt>
                <c:pt idx="30">
                  <c:v>185.38530737361916</c:v>
                </c:pt>
                <c:pt idx="31">
                  <c:v>196.37533783443902</c:v>
                </c:pt>
                <c:pt idx="32">
                  <c:v>207.35108824704912</c:v>
                </c:pt>
                <c:pt idx="33">
                  <c:v>218.31342161081352</c:v>
                </c:pt>
                <c:pt idx="34">
                  <c:v>229.26310709251729</c:v>
                </c:pt>
                <c:pt idx="35">
                  <c:v>240.20083432049225</c:v>
                </c:pt>
                <c:pt idx="36">
                  <c:v>251.12722493560943</c:v>
                </c:pt>
                <c:pt idx="37">
                  <c:v>262.04284202449577</c:v>
                </c:pt>
                <c:pt idx="38">
                  <c:v>272.94819789712841</c:v>
                </c:pt>
                <c:pt idx="39">
                  <c:v>283.84376055529771</c:v>
                </c:pt>
                <c:pt idx="40">
                  <c:v>294.72995911512686</c:v>
                </c:pt>
                <c:pt idx="41">
                  <c:v>305.60718838596318</c:v>
                </c:pt>
                <c:pt idx="42">
                  <c:v>316.4758127628665</c:v>
                </c:pt>
                <c:pt idx="43">
                  <c:v>327.33616955611961</c:v>
                </c:pt>
                <c:pt idx="44">
                  <c:v>338.18857185554612</c:v>
                </c:pt>
                <c:pt idx="45">
                  <c:v>220.60470895888159</c:v>
                </c:pt>
                <c:pt idx="46">
                  <c:v>234.60392856819058</c:v>
                </c:pt>
                <c:pt idx="47">
                  <c:v>248.58409025616402</c:v>
                </c:pt>
                <c:pt idx="48">
                  <c:v>262.54641706022585</c:v>
                </c:pt>
                <c:pt idx="49">
                  <c:v>276.49199124793489</c:v>
                </c:pt>
                <c:pt idx="50">
                  <c:v>290.42177695391069</c:v>
                </c:pt>
                <c:pt idx="51">
                  <c:v>304.33663824269297</c:v>
                </c:pt>
                <c:pt idx="52">
                  <c:v>240.41935872090417</c:v>
                </c:pt>
                <c:pt idx="53">
                  <c:v>253.50865855137769</c:v>
                </c:pt>
                <c:pt idx="54">
                  <c:v>266.58265739444079</c:v>
                </c:pt>
                <c:pt idx="55">
                  <c:v>279.64221160679057</c:v>
                </c:pt>
                <c:pt idx="56">
                  <c:v>292.6880909926802</c:v>
                </c:pt>
                <c:pt idx="57">
                  <c:v>305.72099110209916</c:v>
                </c:pt>
                <c:pt idx="58">
                  <c:v>318.74154332078069</c:v>
                </c:pt>
                <c:pt idx="59">
                  <c:v>331.75032322437022</c:v>
                </c:pt>
                <c:pt idx="60">
                  <c:v>264.48165557092597</c:v>
                </c:pt>
                <c:pt idx="61">
                  <c:v>276.62240947152162</c:v>
                </c:pt>
                <c:pt idx="62">
                  <c:v>288.75120300595034</c:v>
                </c:pt>
                <c:pt idx="63">
                  <c:v>300.86860954335856</c:v>
                </c:pt>
                <c:pt idx="64">
                  <c:v>312.97515247729331</c:v>
                </c:pt>
                <c:pt idx="65">
                  <c:v>325.07131138762742</c:v>
                </c:pt>
                <c:pt idx="66">
                  <c:v>337.15752723690747</c:v>
                </c:pt>
                <c:pt idx="67">
                  <c:v>349.23420678233242</c:v>
                </c:pt>
                <c:pt idx="68">
                  <c:v>295.70900070054716</c:v>
                </c:pt>
                <c:pt idx="69">
                  <c:v>307.30433706893126</c:v>
                </c:pt>
                <c:pt idx="70">
                  <c:v>318.88995436923523</c:v>
                </c:pt>
                <c:pt idx="71">
                  <c:v>330.46625560244939</c:v>
                </c:pt>
                <c:pt idx="72">
                  <c:v>342.03361321930743</c:v>
                </c:pt>
                <c:pt idx="73">
                  <c:v>353.5923724131722</c:v>
                </c:pt>
                <c:pt idx="74">
                  <c:v>365.14285395969938</c:v>
                </c:pt>
                <c:pt idx="75">
                  <c:v>376.68535667831543</c:v>
                </c:pt>
                <c:pt idx="76">
                  <c:v>325.07022459446569</c:v>
                </c:pt>
                <c:pt idx="77">
                  <c:v>336.26433346535657</c:v>
                </c:pt>
                <c:pt idx="78">
                  <c:v>347.45023779511899</c:v>
                </c:pt>
                <c:pt idx="79">
                  <c:v>358.62823904709302</c:v>
                </c:pt>
                <c:pt idx="80">
                  <c:v>369.79861835176501</c:v>
                </c:pt>
                <c:pt idx="81">
                  <c:v>380.96163846407029</c:v>
                </c:pt>
                <c:pt idx="82">
                  <c:v>392.11754547924482</c:v>
                </c:pt>
                <c:pt idx="83">
                  <c:v>403.26657034317213</c:v>
                </c:pt>
                <c:pt idx="84">
                  <c:v>414.40893018695834</c:v>
                </c:pt>
                <c:pt idx="85">
                  <c:v>353.95577071128059</c:v>
                </c:pt>
                <c:pt idx="86">
                  <c:v>364.63498264849346</c:v>
                </c:pt>
                <c:pt idx="87">
                  <c:v>375.30736346509519</c:v>
                </c:pt>
                <c:pt idx="88">
                  <c:v>385.97313486442658</c:v>
                </c:pt>
                <c:pt idx="89">
                  <c:v>396.63250529300484</c:v>
                </c:pt>
                <c:pt idx="90">
                  <c:v>407.28567107582967</c:v>
                </c:pt>
                <c:pt idx="91">
                  <c:v>417.93281742668711</c:v>
                </c:pt>
                <c:pt idx="92">
                  <c:v>428.57411935011061</c:v>
                </c:pt>
                <c:pt idx="93">
                  <c:v>439.2097424490762</c:v>
                </c:pt>
                <c:pt idx="94">
                  <c:v>388.96939364255013</c:v>
                </c:pt>
                <c:pt idx="95">
                  <c:v>399.62224069425901</c:v>
                </c:pt>
                <c:pt idx="96">
                  <c:v>410.26894164564254</c:v>
                </c:pt>
                <c:pt idx="97">
                  <c:v>420.90967851722456</c:v>
                </c:pt>
                <c:pt idx="98">
                  <c:v>431.54462337332347</c:v>
                </c:pt>
                <c:pt idx="99">
                  <c:v>442.17393910383311</c:v>
                </c:pt>
                <c:pt idx="100">
                  <c:v>452.79778012690167</c:v>
                </c:pt>
                <c:pt idx="101">
                  <c:v>463.41629302222265</c:v>
                </c:pt>
                <c:pt idx="102">
                  <c:v>474.02961710325332</c:v>
                </c:pt>
                <c:pt idx="103">
                  <c:v>484.63788493551419</c:v>
                </c:pt>
                <c:pt idx="104">
                  <c:v>415.10943513621038</c:v>
                </c:pt>
                <c:pt idx="105">
                  <c:v>425.41949941830768</c:v>
                </c:pt>
                <c:pt idx="106">
                  <c:v>435.724189378208</c:v>
                </c:pt>
                <c:pt idx="107">
                  <c:v>446.02365006516692</c:v>
                </c:pt>
                <c:pt idx="108">
                  <c:v>456.3180192815957</c:v>
                </c:pt>
                <c:pt idx="109">
                  <c:v>466.60742810394527</c:v>
                </c:pt>
                <c:pt idx="110">
                  <c:v>476.89200135524828</c:v>
                </c:pt>
                <c:pt idx="111">
                  <c:v>487.17185803477059</c:v>
                </c:pt>
                <c:pt idx="112">
                  <c:v>497.44711170951149</c:v>
                </c:pt>
                <c:pt idx="113">
                  <c:v>507.71787087166916</c:v>
                </c:pt>
                <c:pt idx="114">
                  <c:v>454.67168843245491</c:v>
                </c:pt>
                <c:pt idx="115">
                  <c:v>465.38675976853341</c:v>
                </c:pt>
                <c:pt idx="116">
                  <c:v>476.09657210373803</c:v>
                </c:pt>
                <c:pt idx="117">
                  <c:v>486.80126042752903</c:v>
                </c:pt>
                <c:pt idx="118">
                  <c:v>497.50095330786547</c:v>
                </c:pt>
                <c:pt idx="119">
                  <c:v>508.19577333115927</c:v>
                </c:pt>
                <c:pt idx="120">
                  <c:v>518.8858375032695</c:v>
                </c:pt>
                <c:pt idx="121">
                  <c:v>529.57125761573309</c:v>
                </c:pt>
                <c:pt idx="122">
                  <c:v>540.25214058090251</c:v>
                </c:pt>
                <c:pt idx="123">
                  <c:v>550.92858873920397</c:v>
                </c:pt>
                <c:pt idx="124">
                  <c:v>561.60070014134226</c:v>
                </c:pt>
                <c:pt idx="125">
                  <c:v>572.26856880794298</c:v>
                </c:pt>
                <c:pt idx="126">
                  <c:v>485.86827596707514</c:v>
                </c:pt>
                <c:pt idx="127">
                  <c:v>496.44348170304221</c:v>
                </c:pt>
                <c:pt idx="128">
                  <c:v>507.01391614180881</c:v>
                </c:pt>
                <c:pt idx="129">
                  <c:v>517.57969278390635</c:v>
                </c:pt>
                <c:pt idx="130">
                  <c:v>528.14092011787591</c:v>
                </c:pt>
                <c:pt idx="131">
                  <c:v>538.69770193952468</c:v>
                </c:pt>
                <c:pt idx="132">
                  <c:v>549.25013764485414</c:v>
                </c:pt>
                <c:pt idx="133">
                  <c:v>559.79832249931235</c:v>
                </c:pt>
                <c:pt idx="134">
                  <c:v>570.34234788569677</c:v>
                </c:pt>
                <c:pt idx="135">
                  <c:v>580.8823015327763</c:v>
                </c:pt>
                <c:pt idx="136">
                  <c:v>591.41826772645936</c:v>
                </c:pt>
                <c:pt idx="137">
                  <c:v>601.95032750513701</c:v>
                </c:pt>
                <c:pt idx="138">
                  <c:v>509.32698658413818</c:v>
                </c:pt>
                <c:pt idx="139">
                  <c:v>519.6131170105399</c:v>
                </c:pt>
                <c:pt idx="140">
                  <c:v>529.89495428211808</c:v>
                </c:pt>
                <c:pt idx="141">
                  <c:v>540.17259344593401</c:v>
                </c:pt>
                <c:pt idx="142">
                  <c:v>550.4461256372507</c:v>
                </c:pt>
                <c:pt idx="143">
                  <c:v>560.71563831209176</c:v>
                </c:pt>
                <c:pt idx="144">
                  <c:v>570.98121546187531</c:v>
                </c:pt>
                <c:pt idx="145">
                  <c:v>581.24293781181666</c:v>
                </c:pt>
                <c:pt idx="146">
                  <c:v>591.50088300458958</c:v>
                </c:pt>
                <c:pt idx="147">
                  <c:v>601.75512577058942</c:v>
                </c:pt>
                <c:pt idx="148">
                  <c:v>612.00573808599006</c:v>
                </c:pt>
                <c:pt idx="149">
                  <c:v>622.25278931966182</c:v>
                </c:pt>
                <c:pt idx="150">
                  <c:v>385.58443738719296</c:v>
                </c:pt>
                <c:pt idx="151">
                  <c:v>391.85561736484743</c:v>
                </c:pt>
                <c:pt idx="152">
                  <c:v>398.12462062672506</c:v>
                </c:pt>
                <c:pt idx="153">
                  <c:v>404.39148631382312</c:v>
                </c:pt>
                <c:pt idx="154">
                  <c:v>265.61981298658986</c:v>
                </c:pt>
                <c:pt idx="155">
                  <c:v>269.44452913892491</c:v>
                </c:pt>
                <c:pt idx="156">
                  <c:v>273.26802309100526</c:v>
                </c:pt>
                <c:pt idx="157">
                  <c:v>277.09031439007811</c:v>
                </c:pt>
                <c:pt idx="158">
                  <c:v>185.74524606996872</c:v>
                </c:pt>
                <c:pt idx="159">
                  <c:v>188.13892084434758</c:v>
                </c:pt>
                <c:pt idx="160">
                  <c:v>190.53188525040613</c:v>
                </c:pt>
                <c:pt idx="161">
                  <c:v>192.92414949593956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40.194516673030414</c:v>
                </c:pt>
                <c:pt idx="12">
                  <c:v>59.423997506342801</c:v>
                </c:pt>
                <c:pt idx="13">
                  <c:v>78.488959578049446</c:v>
                </c:pt>
                <c:pt idx="14">
                  <c:v>97.435579235164482</c:v>
                </c:pt>
                <c:pt idx="15">
                  <c:v>116.29027446560372</c:v>
                </c:pt>
                <c:pt idx="16">
                  <c:v>84.464894871217254</c:v>
                </c:pt>
                <c:pt idx="17">
                  <c:v>108.61858799751566</c:v>
                </c:pt>
                <c:pt idx="18">
                  <c:v>132.63945069450935</c:v>
                </c:pt>
                <c:pt idx="19">
                  <c:v>156.55504701114111</c:v>
                </c:pt>
                <c:pt idx="20">
                  <c:v>180.38376185573739</c:v>
                </c:pt>
                <c:pt idx="21">
                  <c:v>145.47552012532864</c:v>
                </c:pt>
                <c:pt idx="22">
                  <c:v>171.06890310603498</c:v>
                </c:pt>
                <c:pt idx="23">
                  <c:v>196.57202562416424</c:v>
                </c:pt>
                <c:pt idx="24">
                  <c:v>221.99825658782561</c:v>
                </c:pt>
                <c:pt idx="25">
                  <c:v>247.35764363735257</c:v>
                </c:pt>
                <c:pt idx="26">
                  <c:v>211.69888943572892</c:v>
                </c:pt>
                <c:pt idx="27">
                  <c:v>236.05644310479681</c:v>
                </c:pt>
                <c:pt idx="28">
                  <c:v>260.35666841385739</c:v>
                </c:pt>
                <c:pt idx="29">
                  <c:v>284.60566685788712</c:v>
                </c:pt>
                <c:pt idx="30">
                  <c:v>308.80841467664561</c:v>
                </c:pt>
                <c:pt idx="31">
                  <c:v>270.95024442791083</c:v>
                </c:pt>
                <c:pt idx="32">
                  <c:v>292.7918305088869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318.00102122537896</c:v>
                </c:pt>
                <c:pt idx="37">
                  <c:v>337.38854301296448</c:v>
                </c:pt>
                <c:pt idx="38">
                  <c:v>356.75154686672863</c:v>
                </c:pt>
                <c:pt idx="39">
                  <c:v>376.09155014049156</c:v>
                </c:pt>
                <c:pt idx="40">
                  <c:v>395.40990144559368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393.03859669656612</c:v>
                </c:pt>
                <c:pt idx="47">
                  <c:v>407.60035995338376</c:v>
                </c:pt>
                <c:pt idx="48">
                  <c:v>422.15088703888301</c:v>
                </c:pt>
                <c:pt idx="49">
                  <c:v>436.69061972160188</c:v>
                </c:pt>
                <c:pt idx="50">
                  <c:v>451.2199679576733</c:v>
                </c:pt>
                <c:pt idx="51">
                  <c:v>431.61981966331086</c:v>
                </c:pt>
                <c:pt idx="52">
                  <c:v>444.12551245998549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481.59827184865543</c:v>
                </c:pt>
                <c:pt idx="56">
                  <c:v>465.06421135415468</c:v>
                </c:pt>
                <c:pt idx="57">
                  <c:v>475.52596168445672</c:v>
                </c:pt>
                <c:pt idx="58">
                  <c:v>485.98281613568884</c:v>
                </c:pt>
                <c:pt idx="59">
                  <c:v>496.43489491327199</c:v>
                </c:pt>
                <c:pt idx="60">
                  <c:v>506.88231274768879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518.33554162748919</c:v>
                </c:pt>
                <c:pt idx="65">
                  <c:v>527.09028501417163</c:v>
                </c:pt>
                <c:pt idx="66">
                  <c:v>512.9464599407637</c:v>
                </c:pt>
                <c:pt idx="67">
                  <c:v>520.69289242265415</c:v>
                </c:pt>
                <c:pt idx="68">
                  <c:v>528.43689541833794</c:v>
                </c:pt>
                <c:pt idx="69">
                  <c:v>536.17850956190932</c:v>
                </c:pt>
                <c:pt idx="70">
                  <c:v>543.917774218055</c:v>
                </c:pt>
                <c:pt idx="71">
                  <c:v>529.11017351371675</c:v>
                </c:pt>
                <c:pt idx="72">
                  <c:v>536.17850956190932</c:v>
                </c:pt>
                <c:pt idx="73">
                  <c:v>543.24488697768527</c:v>
                </c:pt>
                <c:pt idx="74">
                  <c:v>550.30933483971376</c:v>
                </c:pt>
                <c:pt idx="75">
                  <c:v>557.37188141896718</c:v>
                </c:pt>
                <c:pt idx="76">
                  <c:v>543.24488697768527</c:v>
                </c:pt>
                <c:pt idx="77">
                  <c:v>549.30024505818972</c:v>
                </c:pt>
                <c:pt idx="78">
                  <c:v>555.35420335873368</c:v>
                </c:pt>
                <c:pt idx="79">
                  <c:v>561.40677929677736</c:v>
                </c:pt>
                <c:pt idx="80">
                  <c:v>567.45798988344666</c:v>
                </c:pt>
                <c:pt idx="81">
                  <c:v>548.96387316130563</c:v>
                </c:pt>
                <c:pt idx="82">
                  <c:v>548.96387316130563</c:v>
                </c:pt>
                <c:pt idx="83">
                  <c:v>548.96387316130563</c:v>
                </c:pt>
                <c:pt idx="84">
                  <c:v>548.96387316130563</c:v>
                </c:pt>
                <c:pt idx="85">
                  <c:v>548.96387316130563</c:v>
                </c:pt>
                <c:pt idx="86">
                  <c:v>548.96387316130563</c:v>
                </c:pt>
                <c:pt idx="87">
                  <c:v>548.96387316130563</c:v>
                </c:pt>
                <c:pt idx="88">
                  <c:v>548.96387316130563</c:v>
                </c:pt>
                <c:pt idx="89">
                  <c:v>548.96387316130563</c:v>
                </c:pt>
                <c:pt idx="90">
                  <c:v>548.96387316130563</c:v>
                </c:pt>
                <c:pt idx="91">
                  <c:v>548.96387316130563</c:v>
                </c:pt>
                <c:pt idx="92">
                  <c:v>548.96387316130563</c:v>
                </c:pt>
                <c:pt idx="93">
                  <c:v>548.96387316130563</c:v>
                </c:pt>
                <c:pt idx="94">
                  <c:v>548.96387316130563</c:v>
                </c:pt>
                <c:pt idx="95">
                  <c:v>548.96387316130563</c:v>
                </c:pt>
                <c:pt idx="96">
                  <c:v>548.96387316130563</c:v>
                </c:pt>
                <c:pt idx="97">
                  <c:v>548.96387316130563</c:v>
                </c:pt>
                <c:pt idx="98">
                  <c:v>548.96387316130563</c:v>
                </c:pt>
                <c:pt idx="99">
                  <c:v>548.96387316130563</c:v>
                </c:pt>
                <c:pt idx="100">
                  <c:v>548.96387316130563</c:v>
                </c:pt>
                <c:pt idx="101">
                  <c:v>548.96387316130563</c:v>
                </c:pt>
                <c:pt idx="102">
                  <c:v>548.96387316130563</c:v>
                </c:pt>
                <c:pt idx="103">
                  <c:v>548.96387316130563</c:v>
                </c:pt>
                <c:pt idx="104">
                  <c:v>548.96387316130563</c:v>
                </c:pt>
                <c:pt idx="105">
                  <c:v>548.96387316130563</c:v>
                </c:pt>
                <c:pt idx="106">
                  <c:v>548.96387316130563</c:v>
                </c:pt>
                <c:pt idx="107">
                  <c:v>548.96387316130563</c:v>
                </c:pt>
                <c:pt idx="108">
                  <c:v>548.96387316130563</c:v>
                </c:pt>
                <c:pt idx="109">
                  <c:v>548.96387316130563</c:v>
                </c:pt>
                <c:pt idx="110">
                  <c:v>548.96387316130563</c:v>
                </c:pt>
                <c:pt idx="111">
                  <c:v>548.96387316130563</c:v>
                </c:pt>
                <c:pt idx="112">
                  <c:v>548.96387316130563</c:v>
                </c:pt>
                <c:pt idx="113">
                  <c:v>548.96387316130563</c:v>
                </c:pt>
                <c:pt idx="114">
                  <c:v>548.96387316130563</c:v>
                </c:pt>
                <c:pt idx="115">
                  <c:v>548.96387316130563</c:v>
                </c:pt>
                <c:pt idx="116">
                  <c:v>548.96387316130563</c:v>
                </c:pt>
                <c:pt idx="117">
                  <c:v>548.96387316130563</c:v>
                </c:pt>
                <c:pt idx="118">
                  <c:v>548.96387316130563</c:v>
                </c:pt>
                <c:pt idx="119">
                  <c:v>548.96387316130563</c:v>
                </c:pt>
                <c:pt idx="120">
                  <c:v>548.96387316130563</c:v>
                </c:pt>
                <c:pt idx="121">
                  <c:v>548.96387316130563</c:v>
                </c:pt>
                <c:pt idx="122">
                  <c:v>548.96387316130563</c:v>
                </c:pt>
                <c:pt idx="123">
                  <c:v>548.96387316130563</c:v>
                </c:pt>
                <c:pt idx="124">
                  <c:v>548.96387316130563</c:v>
                </c:pt>
                <c:pt idx="125">
                  <c:v>548.96387316130563</c:v>
                </c:pt>
                <c:pt idx="126">
                  <c:v>548.96387316130563</c:v>
                </c:pt>
                <c:pt idx="127">
                  <c:v>548.96387316130563</c:v>
                </c:pt>
                <c:pt idx="128">
                  <c:v>548.96387316130563</c:v>
                </c:pt>
                <c:pt idx="129">
                  <c:v>548.96387316130563</c:v>
                </c:pt>
                <c:pt idx="130">
                  <c:v>548.96387316130563</c:v>
                </c:pt>
                <c:pt idx="131">
                  <c:v>548.96387316130563</c:v>
                </c:pt>
                <c:pt idx="132">
                  <c:v>548.96387316130563</c:v>
                </c:pt>
                <c:pt idx="133">
                  <c:v>548.96387316130563</c:v>
                </c:pt>
                <c:pt idx="134">
                  <c:v>548.96387316130563</c:v>
                </c:pt>
                <c:pt idx="135">
                  <c:v>548.96387316130563</c:v>
                </c:pt>
                <c:pt idx="136">
                  <c:v>548.96387316130563</c:v>
                </c:pt>
                <c:pt idx="137">
                  <c:v>548.96387316130563</c:v>
                </c:pt>
                <c:pt idx="138">
                  <c:v>548.96387316130563</c:v>
                </c:pt>
                <c:pt idx="139">
                  <c:v>548.96387316130563</c:v>
                </c:pt>
                <c:pt idx="140">
                  <c:v>548.96387316130563</c:v>
                </c:pt>
                <c:pt idx="141">
                  <c:v>548.96387316130563</c:v>
                </c:pt>
                <c:pt idx="142">
                  <c:v>548.96387316130563</c:v>
                </c:pt>
                <c:pt idx="143">
                  <c:v>548.96387316130563</c:v>
                </c:pt>
                <c:pt idx="144">
                  <c:v>548.96387316130563</c:v>
                </c:pt>
                <c:pt idx="145">
                  <c:v>548.96387316130563</c:v>
                </c:pt>
                <c:pt idx="146">
                  <c:v>548.96387316130563</c:v>
                </c:pt>
                <c:pt idx="147">
                  <c:v>548.96387316130563</c:v>
                </c:pt>
                <c:pt idx="148">
                  <c:v>548.96387316130563</c:v>
                </c:pt>
                <c:pt idx="149">
                  <c:v>548.96387316130563</c:v>
                </c:pt>
                <c:pt idx="150">
                  <c:v>548.96387316130563</c:v>
                </c:pt>
                <c:pt idx="151">
                  <c:v>548.96387316130563</c:v>
                </c:pt>
                <c:pt idx="152">
                  <c:v>548.96387316130563</c:v>
                </c:pt>
                <c:pt idx="153">
                  <c:v>548.96387316130563</c:v>
                </c:pt>
                <c:pt idx="154">
                  <c:v>548.96387316130563</c:v>
                </c:pt>
                <c:pt idx="155">
                  <c:v>548.96387316130563</c:v>
                </c:pt>
                <c:pt idx="156">
                  <c:v>548.96387316130563</c:v>
                </c:pt>
                <c:pt idx="157">
                  <c:v>548.96387316130563</c:v>
                </c:pt>
                <c:pt idx="158">
                  <c:v>548.96387316130563</c:v>
                </c:pt>
                <c:pt idx="159">
                  <c:v>548.96387316130563</c:v>
                </c:pt>
                <c:pt idx="160">
                  <c:v>548.96387316130563</c:v>
                </c:pt>
                <c:pt idx="161">
                  <c:v>548.96387316130563</c:v>
                </c:pt>
                <c:pt idx="162">
                  <c:v>548.96387316130563</c:v>
                </c:pt>
                <c:pt idx="163">
                  <c:v>548.96387316130563</c:v>
                </c:pt>
                <c:pt idx="164">
                  <c:v>548.96387316130563</c:v>
                </c:pt>
                <c:pt idx="165">
                  <c:v>548.96387316130563</c:v>
                </c:pt>
                <c:pt idx="166">
                  <c:v>548.96387316130563</c:v>
                </c:pt>
                <c:pt idx="167">
                  <c:v>548.96387316130563</c:v>
                </c:pt>
                <c:pt idx="168">
                  <c:v>548.96387316130563</c:v>
                </c:pt>
                <c:pt idx="169">
                  <c:v>548.96387316130563</c:v>
                </c:pt>
                <c:pt idx="170">
                  <c:v>548.96387316130563</c:v>
                </c:pt>
                <c:pt idx="171">
                  <c:v>548.96387316130563</c:v>
                </c:pt>
                <c:pt idx="172">
                  <c:v>548.96387316130563</c:v>
                </c:pt>
                <c:pt idx="173">
                  <c:v>548.96387316130563</c:v>
                </c:pt>
                <c:pt idx="174">
                  <c:v>548.96387316130563</c:v>
                </c:pt>
                <c:pt idx="175">
                  <c:v>548.96387316130563</c:v>
                </c:pt>
                <c:pt idx="176">
                  <c:v>548.96387316130563</c:v>
                </c:pt>
                <c:pt idx="177">
                  <c:v>548.96387316130563</c:v>
                </c:pt>
                <c:pt idx="178">
                  <c:v>548.96387316130563</c:v>
                </c:pt>
                <c:pt idx="179">
                  <c:v>548.96387316130563</c:v>
                </c:pt>
                <c:pt idx="180">
                  <c:v>548.96387316130563</c:v>
                </c:pt>
                <c:pt idx="181">
                  <c:v>548.96387316130563</c:v>
                </c:pt>
                <c:pt idx="182">
                  <c:v>548.96387316130563</c:v>
                </c:pt>
                <c:pt idx="183">
                  <c:v>548.96387316130563</c:v>
                </c:pt>
                <c:pt idx="184">
                  <c:v>548.96387316130563</c:v>
                </c:pt>
                <c:pt idx="185">
                  <c:v>548.96387316130563</c:v>
                </c:pt>
                <c:pt idx="186">
                  <c:v>548.96387316130563</c:v>
                </c:pt>
                <c:pt idx="187">
                  <c:v>548.96387316130563</c:v>
                </c:pt>
                <c:pt idx="188">
                  <c:v>548.96387316130563</c:v>
                </c:pt>
                <c:pt idx="189">
                  <c:v>548.96387316130563</c:v>
                </c:pt>
                <c:pt idx="190">
                  <c:v>548.96387316130563</c:v>
                </c:pt>
                <c:pt idx="191">
                  <c:v>548.96387316130563</c:v>
                </c:pt>
                <c:pt idx="192">
                  <c:v>548.96387316130563</c:v>
                </c:pt>
                <c:pt idx="193">
                  <c:v>548.96387316130563</c:v>
                </c:pt>
                <c:pt idx="194">
                  <c:v>548.96387316130563</c:v>
                </c:pt>
                <c:pt idx="195">
                  <c:v>548.96387316130563</c:v>
                </c:pt>
                <c:pt idx="196">
                  <c:v>548.96387316130563</c:v>
                </c:pt>
                <c:pt idx="197">
                  <c:v>548.96387316130563</c:v>
                </c:pt>
                <c:pt idx="198">
                  <c:v>548.96387316130563</c:v>
                </c:pt>
                <c:pt idx="199">
                  <c:v>548.96387316130563</c:v>
                </c:pt>
                <c:pt idx="200">
                  <c:v>548.96387316130563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82.508596377636763</c:v>
                </c:pt>
                <c:pt idx="17">
                  <c:v>99.006604254682017</c:v>
                </c:pt>
                <c:pt idx="18">
                  <c:v>115.43621516079588</c:v>
                </c:pt>
                <c:pt idx="19">
                  <c:v>131.8085611384661</c:v>
                </c:pt>
                <c:pt idx="20">
                  <c:v>148.13176890752257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226.38614537674326</c:v>
                </c:pt>
                <c:pt idx="33">
                  <c:v>245.42235893237435</c:v>
                </c:pt>
                <c:pt idx="34">
                  <c:v>264.42503341914323</c:v>
                </c:pt>
                <c:pt idx="35">
                  <c:v>283.39691776161254</c:v>
                </c:pt>
                <c:pt idx="36">
                  <c:v>302.34036268238674</c:v>
                </c:pt>
                <c:pt idx="37">
                  <c:v>321.25740024962448</c:v>
                </c:pt>
                <c:pt idx="38">
                  <c:v>279.73236813579513</c:v>
                </c:pt>
                <c:pt idx="39">
                  <c:v>298.36290228402578</c:v>
                </c:pt>
                <c:pt idx="40">
                  <c:v>316.96751977104668</c:v>
                </c:pt>
                <c:pt idx="41">
                  <c:v>335.54795535646372</c:v>
                </c:pt>
                <c:pt idx="42">
                  <c:v>354.10573601815054</c:v>
                </c:pt>
                <c:pt idx="43">
                  <c:v>372.64221565134477</c:v>
                </c:pt>
                <c:pt idx="44">
                  <c:v>391.15860250001077</c:v>
                </c:pt>
                <c:pt idx="45">
                  <c:v>336.88699770815009</c:v>
                </c:pt>
                <c:pt idx="46">
                  <c:v>354.16518115704031</c:v>
                </c:pt>
                <c:pt idx="47">
                  <c:v>371.42490308727605</c:v>
                </c:pt>
                <c:pt idx="48">
                  <c:v>388.66714186934956</c:v>
                </c:pt>
                <c:pt idx="49">
                  <c:v>405.89278200614257</c:v>
                </c:pt>
                <c:pt idx="50">
                  <c:v>423.10262682279296</c:v>
                </c:pt>
                <c:pt idx="51">
                  <c:v>440.29740898417271</c:v>
                </c:pt>
                <c:pt idx="52">
                  <c:v>457.47779928386609</c:v>
                </c:pt>
                <c:pt idx="53">
                  <c:v>391.9890127427073</c:v>
                </c:pt>
                <c:pt idx="54">
                  <c:v>407.75965962237683</c:v>
                </c:pt>
                <c:pt idx="55">
                  <c:v>423.51713321926735</c:v>
                </c:pt>
                <c:pt idx="56">
                  <c:v>439.26199254204636</c:v>
                </c:pt>
                <c:pt idx="57">
                  <c:v>454.99475326719272</c:v>
                </c:pt>
                <c:pt idx="58">
                  <c:v>470.71589251122253</c:v>
                </c:pt>
                <c:pt idx="59">
                  <c:v>486.42585293226904</c:v>
                </c:pt>
                <c:pt idx="60">
                  <c:v>502.12504627431412</c:v>
                </c:pt>
                <c:pt idx="61">
                  <c:v>438.70974904240552</c:v>
                </c:pt>
                <c:pt idx="62">
                  <c:v>453.06329508642142</c:v>
                </c:pt>
                <c:pt idx="63">
                  <c:v>467.40712233198593</c:v>
                </c:pt>
                <c:pt idx="64">
                  <c:v>481.74157097323308</c:v>
                </c:pt>
                <c:pt idx="65">
                  <c:v>496.06695931286299</c:v>
                </c:pt>
                <c:pt idx="66">
                  <c:v>510.38358577553487</c:v>
                </c:pt>
                <c:pt idx="67">
                  <c:v>524.69173068364421</c:v>
                </c:pt>
                <c:pt idx="68">
                  <c:v>538.99165782937473</c:v>
                </c:pt>
                <c:pt idx="69">
                  <c:v>553.28361587129086</c:v>
                </c:pt>
                <c:pt idx="70">
                  <c:v>3.5982663925596575E-12</c:v>
                </c:pt>
                <c:pt idx="71">
                  <c:v>3.5982663925596575E-12</c:v>
                </c:pt>
                <c:pt idx="72">
                  <c:v>3.5982663925596575E-12</c:v>
                </c:pt>
                <c:pt idx="73">
                  <c:v>3.5982663925596575E-12</c:v>
                </c:pt>
                <c:pt idx="74">
                  <c:v>3.5982663925596575E-12</c:v>
                </c:pt>
                <c:pt idx="75">
                  <c:v>3.5982663925596575E-12</c:v>
                </c:pt>
                <c:pt idx="76">
                  <c:v>3.5982663925596575E-12</c:v>
                </c:pt>
                <c:pt idx="77">
                  <c:v>3.5982663925596575E-12</c:v>
                </c:pt>
                <c:pt idx="78">
                  <c:v>3.5982663925596575E-12</c:v>
                </c:pt>
                <c:pt idx="79">
                  <c:v>3.5982663925596575E-12</c:v>
                </c:pt>
                <c:pt idx="80">
                  <c:v>3.5982663925596575E-12</c:v>
                </c:pt>
                <c:pt idx="81">
                  <c:v>3.5982663925596575E-12</c:v>
                </c:pt>
                <c:pt idx="82">
                  <c:v>3.5982663925596575E-12</c:v>
                </c:pt>
                <c:pt idx="83">
                  <c:v>3.5982663925596575E-12</c:v>
                </c:pt>
                <c:pt idx="84">
                  <c:v>3.5982663925596575E-12</c:v>
                </c:pt>
                <c:pt idx="85">
                  <c:v>3.5982663925596575E-12</c:v>
                </c:pt>
                <c:pt idx="86">
                  <c:v>3.5982663925596575E-12</c:v>
                </c:pt>
                <c:pt idx="87">
                  <c:v>3.5982663925596575E-12</c:v>
                </c:pt>
                <c:pt idx="88">
                  <c:v>3.5982663925596575E-12</c:v>
                </c:pt>
                <c:pt idx="89">
                  <c:v>3.5982663925596575E-12</c:v>
                </c:pt>
                <c:pt idx="90">
                  <c:v>3.5982663925596575E-12</c:v>
                </c:pt>
                <c:pt idx="91">
                  <c:v>3.5982663925596575E-12</c:v>
                </c:pt>
                <c:pt idx="92">
                  <c:v>3.5982663925596575E-12</c:v>
                </c:pt>
                <c:pt idx="93">
                  <c:v>3.5982663925596575E-12</c:v>
                </c:pt>
                <c:pt idx="94">
                  <c:v>3.5982663925596575E-12</c:v>
                </c:pt>
                <c:pt idx="95">
                  <c:v>3.5982663925596575E-12</c:v>
                </c:pt>
                <c:pt idx="96">
                  <c:v>3.5982663925596575E-12</c:v>
                </c:pt>
                <c:pt idx="97">
                  <c:v>3.5982663925596575E-12</c:v>
                </c:pt>
                <c:pt idx="98">
                  <c:v>3.5982663925596575E-12</c:v>
                </c:pt>
                <c:pt idx="99">
                  <c:v>3.5982663925596575E-12</c:v>
                </c:pt>
                <c:pt idx="100">
                  <c:v>3.5982663925596575E-12</c:v>
                </c:pt>
                <c:pt idx="101">
                  <c:v>3.5982663925596575E-12</c:v>
                </c:pt>
                <c:pt idx="102">
                  <c:v>3.5982663925596575E-12</c:v>
                </c:pt>
                <c:pt idx="103">
                  <c:v>3.5982663925596575E-12</c:v>
                </c:pt>
                <c:pt idx="104">
                  <c:v>3.5982663925596575E-12</c:v>
                </c:pt>
                <c:pt idx="105">
                  <c:v>3.5982663925596575E-12</c:v>
                </c:pt>
                <c:pt idx="106">
                  <c:v>3.5982663925596575E-12</c:v>
                </c:pt>
                <c:pt idx="107">
                  <c:v>3.5982663925596575E-12</c:v>
                </c:pt>
                <c:pt idx="108">
                  <c:v>3.5982663925596575E-12</c:v>
                </c:pt>
                <c:pt idx="109">
                  <c:v>3.5982663925596575E-12</c:v>
                </c:pt>
                <c:pt idx="110">
                  <c:v>3.5982663925596575E-12</c:v>
                </c:pt>
                <c:pt idx="111">
                  <c:v>3.5982663925596575E-12</c:v>
                </c:pt>
                <c:pt idx="112">
                  <c:v>3.5982663925596575E-12</c:v>
                </c:pt>
                <c:pt idx="113">
                  <c:v>3.5982663925596575E-12</c:v>
                </c:pt>
                <c:pt idx="114">
                  <c:v>3.5982663925596575E-12</c:v>
                </c:pt>
                <c:pt idx="115">
                  <c:v>3.5982663925596575E-12</c:v>
                </c:pt>
                <c:pt idx="116">
                  <c:v>3.5982663925596575E-12</c:v>
                </c:pt>
                <c:pt idx="117">
                  <c:v>3.5982663925596575E-12</c:v>
                </c:pt>
                <c:pt idx="118">
                  <c:v>3.5982663925596575E-12</c:v>
                </c:pt>
                <c:pt idx="119">
                  <c:v>3.5982663925596575E-12</c:v>
                </c:pt>
                <c:pt idx="120">
                  <c:v>3.5982663925596575E-12</c:v>
                </c:pt>
                <c:pt idx="121">
                  <c:v>3.5982663925596575E-12</c:v>
                </c:pt>
                <c:pt idx="122">
                  <c:v>3.5982663925596575E-12</c:v>
                </c:pt>
                <c:pt idx="123">
                  <c:v>3.5982663925596575E-12</c:v>
                </c:pt>
                <c:pt idx="124">
                  <c:v>3.5982663925596575E-12</c:v>
                </c:pt>
                <c:pt idx="125">
                  <c:v>3.5982663925596575E-12</c:v>
                </c:pt>
                <c:pt idx="126">
                  <c:v>3.5982663925596575E-12</c:v>
                </c:pt>
                <c:pt idx="127">
                  <c:v>3.5982663925596575E-12</c:v>
                </c:pt>
                <c:pt idx="128">
                  <c:v>3.5982663925596575E-12</c:v>
                </c:pt>
                <c:pt idx="129">
                  <c:v>3.5982663925596575E-12</c:v>
                </c:pt>
                <c:pt idx="130">
                  <c:v>3.5982663925596575E-12</c:v>
                </c:pt>
                <c:pt idx="131">
                  <c:v>3.5982663925596575E-12</c:v>
                </c:pt>
                <c:pt idx="132">
                  <c:v>3.5982663925596575E-12</c:v>
                </c:pt>
                <c:pt idx="133">
                  <c:v>3.5982663925596575E-12</c:v>
                </c:pt>
                <c:pt idx="134">
                  <c:v>3.5982663925596575E-12</c:v>
                </c:pt>
                <c:pt idx="135">
                  <c:v>3.5982663925596575E-12</c:v>
                </c:pt>
                <c:pt idx="136">
                  <c:v>3.5982663925596575E-12</c:v>
                </c:pt>
                <c:pt idx="137">
                  <c:v>3.5982663925596575E-12</c:v>
                </c:pt>
                <c:pt idx="138">
                  <c:v>3.5982663925596575E-12</c:v>
                </c:pt>
                <c:pt idx="139">
                  <c:v>3.5982663925596575E-12</c:v>
                </c:pt>
                <c:pt idx="140">
                  <c:v>3.5982663925596575E-12</c:v>
                </c:pt>
                <c:pt idx="141">
                  <c:v>3.5982663925596575E-12</c:v>
                </c:pt>
                <c:pt idx="142">
                  <c:v>3.5982663925596575E-12</c:v>
                </c:pt>
                <c:pt idx="143">
                  <c:v>3.5982663925596575E-12</c:v>
                </c:pt>
                <c:pt idx="144">
                  <c:v>3.5982663925596575E-12</c:v>
                </c:pt>
                <c:pt idx="145">
                  <c:v>3.5982663925596575E-12</c:v>
                </c:pt>
                <c:pt idx="146">
                  <c:v>3.5982663925596575E-12</c:v>
                </c:pt>
                <c:pt idx="147">
                  <c:v>3.5982663925596575E-12</c:v>
                </c:pt>
                <c:pt idx="148">
                  <c:v>3.5982663925596575E-12</c:v>
                </c:pt>
                <c:pt idx="149">
                  <c:v>3.5982663925596575E-12</c:v>
                </c:pt>
                <c:pt idx="150">
                  <c:v>3.5982663925596575E-12</c:v>
                </c:pt>
                <c:pt idx="151">
                  <c:v>3.5982663925596575E-12</c:v>
                </c:pt>
                <c:pt idx="152">
                  <c:v>3.5982663925596575E-12</c:v>
                </c:pt>
                <c:pt idx="153">
                  <c:v>3.5982663925596575E-12</c:v>
                </c:pt>
                <c:pt idx="154">
                  <c:v>3.5982663925596575E-12</c:v>
                </c:pt>
                <c:pt idx="155">
                  <c:v>3.5982663925596575E-12</c:v>
                </c:pt>
                <c:pt idx="156">
                  <c:v>3.5982663925596575E-12</c:v>
                </c:pt>
                <c:pt idx="157">
                  <c:v>3.5982663925596575E-12</c:v>
                </c:pt>
                <c:pt idx="158">
                  <c:v>3.5982663925596575E-12</c:v>
                </c:pt>
                <c:pt idx="159">
                  <c:v>3.5982663925596575E-12</c:v>
                </c:pt>
                <c:pt idx="160">
                  <c:v>3.5982663925596575E-12</c:v>
                </c:pt>
                <c:pt idx="161">
                  <c:v>3.5982663925596575E-12</c:v>
                </c:pt>
                <c:pt idx="162">
                  <c:v>3.5982663925596575E-12</c:v>
                </c:pt>
                <c:pt idx="163">
                  <c:v>3.5982663925596575E-12</c:v>
                </c:pt>
                <c:pt idx="164">
                  <c:v>3.5982663925596575E-12</c:v>
                </c:pt>
                <c:pt idx="165">
                  <c:v>3.5982663925596575E-12</c:v>
                </c:pt>
                <c:pt idx="166">
                  <c:v>3.5982663925596575E-12</c:v>
                </c:pt>
                <c:pt idx="167">
                  <c:v>3.5982663925596575E-12</c:v>
                </c:pt>
                <c:pt idx="168">
                  <c:v>3.5982663925596575E-12</c:v>
                </c:pt>
                <c:pt idx="169">
                  <c:v>3.5982663925596575E-12</c:v>
                </c:pt>
                <c:pt idx="170">
                  <c:v>3.5982663925596575E-12</c:v>
                </c:pt>
                <c:pt idx="171">
                  <c:v>3.5982663925596575E-12</c:v>
                </c:pt>
                <c:pt idx="172">
                  <c:v>3.5982663925596575E-12</c:v>
                </c:pt>
                <c:pt idx="173">
                  <c:v>3.5982663925596575E-12</c:v>
                </c:pt>
                <c:pt idx="174">
                  <c:v>3.5982663925596575E-12</c:v>
                </c:pt>
                <c:pt idx="175">
                  <c:v>3.5982663925596575E-12</c:v>
                </c:pt>
                <c:pt idx="176">
                  <c:v>3.5982663925596575E-12</c:v>
                </c:pt>
                <c:pt idx="177">
                  <c:v>3.5982663925596575E-12</c:v>
                </c:pt>
                <c:pt idx="178">
                  <c:v>3.5982663925596575E-12</c:v>
                </c:pt>
                <c:pt idx="179">
                  <c:v>3.5982663925596575E-12</c:v>
                </c:pt>
                <c:pt idx="180">
                  <c:v>3.5982663925596575E-12</c:v>
                </c:pt>
                <c:pt idx="181">
                  <c:v>3.5982663925596575E-12</c:v>
                </c:pt>
                <c:pt idx="182">
                  <c:v>3.5982663925596575E-12</c:v>
                </c:pt>
                <c:pt idx="183">
                  <c:v>3.5982663925596575E-12</c:v>
                </c:pt>
                <c:pt idx="184">
                  <c:v>3.5982663925596575E-12</c:v>
                </c:pt>
                <c:pt idx="185">
                  <c:v>3.5982663925596575E-12</c:v>
                </c:pt>
                <c:pt idx="186">
                  <c:v>3.5982663925596575E-12</c:v>
                </c:pt>
                <c:pt idx="187">
                  <c:v>3.5982663925596575E-12</c:v>
                </c:pt>
                <c:pt idx="188">
                  <c:v>3.5982663925596575E-12</c:v>
                </c:pt>
                <c:pt idx="189">
                  <c:v>3.5982663925596575E-12</c:v>
                </c:pt>
                <c:pt idx="190">
                  <c:v>3.5982663925596575E-12</c:v>
                </c:pt>
                <c:pt idx="191">
                  <c:v>3.5982663925596575E-12</c:v>
                </c:pt>
                <c:pt idx="192">
                  <c:v>3.5982663925596575E-12</c:v>
                </c:pt>
                <c:pt idx="193">
                  <c:v>3.5982663925596575E-12</c:v>
                </c:pt>
                <c:pt idx="194">
                  <c:v>3.5982663925596575E-12</c:v>
                </c:pt>
                <c:pt idx="195">
                  <c:v>3.5982663925596575E-12</c:v>
                </c:pt>
                <c:pt idx="196">
                  <c:v>3.5982663925596575E-12</c:v>
                </c:pt>
                <c:pt idx="197">
                  <c:v>3.5982663925596575E-12</c:v>
                </c:pt>
                <c:pt idx="198">
                  <c:v>3.5982663925596575E-12</c:v>
                </c:pt>
                <c:pt idx="199">
                  <c:v>3.5982663925596575E-12</c:v>
                </c:pt>
                <c:pt idx="200">
                  <c:v>3.5982663925596575E-12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4.5603227029592857</c:v>
                </c:pt>
                <c:pt idx="2">
                  <c:v>9.0132952331201093</c:v>
                </c:pt>
                <c:pt idx="3">
                  <c:v>17.838817144878906</c:v>
                </c:pt>
                <c:pt idx="4">
                  <c:v>35.352605371028027</c:v>
                </c:pt>
                <c:pt idx="5">
                  <c:v>70.149974013263474</c:v>
                </c:pt>
                <c:pt idx="6">
                  <c:v>86.557695432218452</c:v>
                </c:pt>
                <c:pt idx="7">
                  <c:v>114.79386073387418</c:v>
                </c:pt>
                <c:pt idx="8">
                  <c:v>142.85889776559074</c:v>
                </c:pt>
                <c:pt idx="9">
                  <c:v>170.79137460696464</c:v>
                </c:pt>
                <c:pt idx="10">
                  <c:v>198.61608801133966</c:v>
                </c:pt>
                <c:pt idx="11">
                  <c:v>169.22076873606747</c:v>
                </c:pt>
                <c:pt idx="12">
                  <c:v>196.65973476943884</c:v>
                </c:pt>
                <c:pt idx="13">
                  <c:v>224.00971024958221</c:v>
                </c:pt>
                <c:pt idx="14">
                  <c:v>251.28309296155342</c:v>
                </c:pt>
                <c:pt idx="15">
                  <c:v>278.48936400091264</c:v>
                </c:pt>
                <c:pt idx="16">
                  <c:v>258.28507230454863</c:v>
                </c:pt>
                <c:pt idx="17">
                  <c:v>282.75904421972086</c:v>
                </c:pt>
                <c:pt idx="18">
                  <c:v>307.18556432776853</c:v>
                </c:pt>
                <c:pt idx="19">
                  <c:v>331.56893409573678</c:v>
                </c:pt>
                <c:pt idx="20">
                  <c:v>355.91277070439497</c:v>
                </c:pt>
                <c:pt idx="21">
                  <c:v>339.68777684695175</c:v>
                </c:pt>
                <c:pt idx="22">
                  <c:v>360.15946409007734</c:v>
                </c:pt>
                <c:pt idx="23">
                  <c:v>380.60570876556659</c:v>
                </c:pt>
                <c:pt idx="24">
                  <c:v>401.02806913443993</c:v>
                </c:pt>
                <c:pt idx="25">
                  <c:v>421.42793186976087</c:v>
                </c:pt>
                <c:pt idx="26">
                  <c:v>411.03827995947967</c:v>
                </c:pt>
                <c:pt idx="27">
                  <c:v>427.58215058986383</c:v>
                </c:pt>
                <c:pt idx="28">
                  <c:v>444.11226191866245</c:v>
                </c:pt>
                <c:pt idx="29">
                  <c:v>460.62919798538456</c:v>
                </c:pt>
                <c:pt idx="30">
                  <c:v>477.13349754486757</c:v>
                </c:pt>
                <c:pt idx="31">
                  <c:v>469.45861841140703</c:v>
                </c:pt>
                <c:pt idx="32">
                  <c:v>482.88793138454997</c:v>
                </c:pt>
                <c:pt idx="33">
                  <c:v>496.30931275327686</c:v>
                </c:pt>
                <c:pt idx="34">
                  <c:v>509.72300718239154</c:v>
                </c:pt>
                <c:pt idx="35">
                  <c:v>523.12924541243797</c:v>
                </c:pt>
                <c:pt idx="36">
                  <c:v>517.76763064124964</c:v>
                </c:pt>
                <c:pt idx="37">
                  <c:v>529.63822214325558</c:v>
                </c:pt>
                <c:pt idx="38">
                  <c:v>541.50321514451991</c:v>
                </c:pt>
                <c:pt idx="39">
                  <c:v>553.36274958383808</c:v>
                </c:pt>
                <c:pt idx="40">
                  <c:v>565.21695891368051</c:v>
                </c:pt>
                <c:pt idx="41">
                  <c:v>563.30534449457014</c:v>
                </c:pt>
                <c:pt idx="42">
                  <c:v>574.77301329675186</c:v>
                </c:pt>
                <c:pt idx="43">
                  <c:v>586.23590668718793</c:v>
                </c:pt>
                <c:pt idx="44">
                  <c:v>597.69413118158775</c:v>
                </c:pt>
                <c:pt idx="45">
                  <c:v>609.1477888796602</c:v>
                </c:pt>
                <c:pt idx="46">
                  <c:v>595.78474694239264</c:v>
                </c:pt>
                <c:pt idx="47">
                  <c:v>595.78474694239264</c:v>
                </c:pt>
                <c:pt idx="48">
                  <c:v>595.78474694239264</c:v>
                </c:pt>
                <c:pt idx="49">
                  <c:v>595.78474694239264</c:v>
                </c:pt>
                <c:pt idx="50">
                  <c:v>595.78474694239264</c:v>
                </c:pt>
                <c:pt idx="51">
                  <c:v>595.78474694239264</c:v>
                </c:pt>
                <c:pt idx="52">
                  <c:v>595.78474694239264</c:v>
                </c:pt>
                <c:pt idx="53">
                  <c:v>595.78474694239264</c:v>
                </c:pt>
                <c:pt idx="54">
                  <c:v>595.78474694239264</c:v>
                </c:pt>
                <c:pt idx="55">
                  <c:v>595.78474694239264</c:v>
                </c:pt>
                <c:pt idx="56">
                  <c:v>595.78474694239264</c:v>
                </c:pt>
                <c:pt idx="57">
                  <c:v>595.78474694239264</c:v>
                </c:pt>
                <c:pt idx="58">
                  <c:v>595.78474694239264</c:v>
                </c:pt>
                <c:pt idx="59">
                  <c:v>595.78474694239264</c:v>
                </c:pt>
                <c:pt idx="60">
                  <c:v>595.78474694239264</c:v>
                </c:pt>
                <c:pt idx="61">
                  <c:v>595.78474694239264</c:v>
                </c:pt>
                <c:pt idx="62">
                  <c:v>595.78474694239264</c:v>
                </c:pt>
                <c:pt idx="63">
                  <c:v>595.78474694239264</c:v>
                </c:pt>
                <c:pt idx="64">
                  <c:v>595.78474694239264</c:v>
                </c:pt>
                <c:pt idx="65">
                  <c:v>595.78474694239264</c:v>
                </c:pt>
                <c:pt idx="66">
                  <c:v>595.78474694239264</c:v>
                </c:pt>
                <c:pt idx="67">
                  <c:v>595.78474694239264</c:v>
                </c:pt>
                <c:pt idx="68">
                  <c:v>595.78474694239264</c:v>
                </c:pt>
                <c:pt idx="69">
                  <c:v>595.78474694239264</c:v>
                </c:pt>
                <c:pt idx="70">
                  <c:v>595.78474694239264</c:v>
                </c:pt>
                <c:pt idx="71">
                  <c:v>595.78474694239264</c:v>
                </c:pt>
                <c:pt idx="72">
                  <c:v>595.78474694239264</c:v>
                </c:pt>
                <c:pt idx="73">
                  <c:v>595.78474694239264</c:v>
                </c:pt>
                <c:pt idx="74">
                  <c:v>595.78474694239264</c:v>
                </c:pt>
                <c:pt idx="75">
                  <c:v>595.78474694239264</c:v>
                </c:pt>
                <c:pt idx="76">
                  <c:v>595.78474694239264</c:v>
                </c:pt>
                <c:pt idx="77">
                  <c:v>595.78474694239264</c:v>
                </c:pt>
                <c:pt idx="78">
                  <c:v>595.78474694239264</c:v>
                </c:pt>
                <c:pt idx="79">
                  <c:v>595.78474694239264</c:v>
                </c:pt>
                <c:pt idx="80">
                  <c:v>595.78474694239264</c:v>
                </c:pt>
                <c:pt idx="81">
                  <c:v>595.78474694239264</c:v>
                </c:pt>
                <c:pt idx="82">
                  <c:v>595.78474694239264</c:v>
                </c:pt>
                <c:pt idx="83">
                  <c:v>595.78474694239264</c:v>
                </c:pt>
                <c:pt idx="84">
                  <c:v>595.78474694239264</c:v>
                </c:pt>
                <c:pt idx="85">
                  <c:v>595.78474694239264</c:v>
                </c:pt>
                <c:pt idx="86">
                  <c:v>595.78474694239264</c:v>
                </c:pt>
                <c:pt idx="87">
                  <c:v>595.78474694239264</c:v>
                </c:pt>
                <c:pt idx="88">
                  <c:v>595.78474694239264</c:v>
                </c:pt>
                <c:pt idx="89">
                  <c:v>595.78474694239264</c:v>
                </c:pt>
                <c:pt idx="90">
                  <c:v>595.78474694239264</c:v>
                </c:pt>
                <c:pt idx="91">
                  <c:v>595.78474694239264</c:v>
                </c:pt>
                <c:pt idx="92">
                  <c:v>595.78474694239264</c:v>
                </c:pt>
                <c:pt idx="93">
                  <c:v>595.78474694239264</c:v>
                </c:pt>
                <c:pt idx="94">
                  <c:v>595.78474694239264</c:v>
                </c:pt>
                <c:pt idx="95">
                  <c:v>595.78474694239264</c:v>
                </c:pt>
                <c:pt idx="96">
                  <c:v>595.78474694239264</c:v>
                </c:pt>
                <c:pt idx="97">
                  <c:v>595.78474694239264</c:v>
                </c:pt>
                <c:pt idx="98">
                  <c:v>595.78474694239264</c:v>
                </c:pt>
                <c:pt idx="99">
                  <c:v>595.78474694239264</c:v>
                </c:pt>
                <c:pt idx="100">
                  <c:v>595.78474694239264</c:v>
                </c:pt>
                <c:pt idx="101">
                  <c:v>595.78474694239264</c:v>
                </c:pt>
                <c:pt idx="102">
                  <c:v>595.78474694239264</c:v>
                </c:pt>
                <c:pt idx="103">
                  <c:v>595.78474694239264</c:v>
                </c:pt>
                <c:pt idx="104">
                  <c:v>595.78474694239264</c:v>
                </c:pt>
                <c:pt idx="105">
                  <c:v>595.78474694239264</c:v>
                </c:pt>
                <c:pt idx="106">
                  <c:v>595.78474694239264</c:v>
                </c:pt>
                <c:pt idx="107">
                  <c:v>595.78474694239264</c:v>
                </c:pt>
                <c:pt idx="108">
                  <c:v>595.78474694239264</c:v>
                </c:pt>
                <c:pt idx="109">
                  <c:v>595.78474694239264</c:v>
                </c:pt>
                <c:pt idx="110">
                  <c:v>595.78474694239264</c:v>
                </c:pt>
                <c:pt idx="111">
                  <c:v>595.78474694239264</c:v>
                </c:pt>
                <c:pt idx="112">
                  <c:v>595.78474694239264</c:v>
                </c:pt>
                <c:pt idx="113">
                  <c:v>595.78474694239264</c:v>
                </c:pt>
                <c:pt idx="114">
                  <c:v>595.78474694239264</c:v>
                </c:pt>
                <c:pt idx="115">
                  <c:v>595.78474694239264</c:v>
                </c:pt>
                <c:pt idx="116">
                  <c:v>595.78474694239264</c:v>
                </c:pt>
                <c:pt idx="117">
                  <c:v>595.78474694239264</c:v>
                </c:pt>
                <c:pt idx="118">
                  <c:v>595.78474694239264</c:v>
                </c:pt>
                <c:pt idx="119">
                  <c:v>595.78474694239264</c:v>
                </c:pt>
                <c:pt idx="120">
                  <c:v>595.78474694239264</c:v>
                </c:pt>
                <c:pt idx="121">
                  <c:v>595.78474694239264</c:v>
                </c:pt>
                <c:pt idx="122">
                  <c:v>595.78474694239264</c:v>
                </c:pt>
                <c:pt idx="123">
                  <c:v>595.78474694239264</c:v>
                </c:pt>
                <c:pt idx="124">
                  <c:v>595.78474694239264</c:v>
                </c:pt>
                <c:pt idx="125">
                  <c:v>595.78474694239264</c:v>
                </c:pt>
                <c:pt idx="126">
                  <c:v>595.78474694239264</c:v>
                </c:pt>
                <c:pt idx="127">
                  <c:v>595.78474694239264</c:v>
                </c:pt>
                <c:pt idx="128">
                  <c:v>595.78474694239264</c:v>
                </c:pt>
                <c:pt idx="129">
                  <c:v>595.78474694239264</c:v>
                </c:pt>
                <c:pt idx="130">
                  <c:v>595.78474694239264</c:v>
                </c:pt>
                <c:pt idx="131">
                  <c:v>595.78474694239264</c:v>
                </c:pt>
                <c:pt idx="132">
                  <c:v>595.78474694239264</c:v>
                </c:pt>
                <c:pt idx="133">
                  <c:v>595.78474694239264</c:v>
                </c:pt>
                <c:pt idx="134">
                  <c:v>595.78474694239264</c:v>
                </c:pt>
                <c:pt idx="135">
                  <c:v>595.78474694239264</c:v>
                </c:pt>
                <c:pt idx="136">
                  <c:v>595.78474694239264</c:v>
                </c:pt>
                <c:pt idx="137">
                  <c:v>595.78474694239264</c:v>
                </c:pt>
                <c:pt idx="138">
                  <c:v>595.78474694239264</c:v>
                </c:pt>
                <c:pt idx="139">
                  <c:v>595.78474694239264</c:v>
                </c:pt>
                <c:pt idx="140">
                  <c:v>595.78474694239264</c:v>
                </c:pt>
                <c:pt idx="141">
                  <c:v>595.78474694239264</c:v>
                </c:pt>
                <c:pt idx="142">
                  <c:v>595.78474694239264</c:v>
                </c:pt>
                <c:pt idx="143">
                  <c:v>595.78474694239264</c:v>
                </c:pt>
                <c:pt idx="144">
                  <c:v>595.78474694239264</c:v>
                </c:pt>
                <c:pt idx="145">
                  <c:v>595.78474694239264</c:v>
                </c:pt>
                <c:pt idx="146">
                  <c:v>595.78474694239264</c:v>
                </c:pt>
                <c:pt idx="147">
                  <c:v>595.78474694239264</c:v>
                </c:pt>
                <c:pt idx="148">
                  <c:v>595.78474694239264</c:v>
                </c:pt>
                <c:pt idx="149">
                  <c:v>595.78474694239264</c:v>
                </c:pt>
                <c:pt idx="150">
                  <c:v>595.78474694239264</c:v>
                </c:pt>
                <c:pt idx="151">
                  <c:v>595.78474694239264</c:v>
                </c:pt>
                <c:pt idx="152">
                  <c:v>595.78474694239264</c:v>
                </c:pt>
                <c:pt idx="153">
                  <c:v>595.78474694239264</c:v>
                </c:pt>
                <c:pt idx="154">
                  <c:v>595.78474694239264</c:v>
                </c:pt>
                <c:pt idx="155">
                  <c:v>595.78474694239264</c:v>
                </c:pt>
                <c:pt idx="156">
                  <c:v>595.78474694239264</c:v>
                </c:pt>
                <c:pt idx="157">
                  <c:v>595.78474694239264</c:v>
                </c:pt>
                <c:pt idx="158">
                  <c:v>595.78474694239264</c:v>
                </c:pt>
                <c:pt idx="159">
                  <c:v>595.78474694239264</c:v>
                </c:pt>
                <c:pt idx="160">
                  <c:v>595.78474694239264</c:v>
                </c:pt>
                <c:pt idx="161">
                  <c:v>595.78474694239264</c:v>
                </c:pt>
                <c:pt idx="162">
                  <c:v>595.78474694239264</c:v>
                </c:pt>
                <c:pt idx="163">
                  <c:v>595.78474694239264</c:v>
                </c:pt>
                <c:pt idx="164">
                  <c:v>595.78474694239264</c:v>
                </c:pt>
                <c:pt idx="165">
                  <c:v>595.78474694239264</c:v>
                </c:pt>
                <c:pt idx="166">
                  <c:v>595.78474694239264</c:v>
                </c:pt>
                <c:pt idx="167">
                  <c:v>595.78474694239264</c:v>
                </c:pt>
                <c:pt idx="168">
                  <c:v>595.78474694239264</c:v>
                </c:pt>
                <c:pt idx="169">
                  <c:v>595.78474694239264</c:v>
                </c:pt>
                <c:pt idx="170">
                  <c:v>595.78474694239264</c:v>
                </c:pt>
                <c:pt idx="171">
                  <c:v>595.78474694239264</c:v>
                </c:pt>
                <c:pt idx="172">
                  <c:v>595.78474694239264</c:v>
                </c:pt>
                <c:pt idx="173">
                  <c:v>595.78474694239264</c:v>
                </c:pt>
                <c:pt idx="174">
                  <c:v>595.78474694239264</c:v>
                </c:pt>
                <c:pt idx="175">
                  <c:v>595.78474694239264</c:v>
                </c:pt>
                <c:pt idx="176">
                  <c:v>595.78474694239264</c:v>
                </c:pt>
                <c:pt idx="177">
                  <c:v>595.78474694239264</c:v>
                </c:pt>
                <c:pt idx="178">
                  <c:v>595.78474694239264</c:v>
                </c:pt>
                <c:pt idx="179">
                  <c:v>595.78474694239264</c:v>
                </c:pt>
                <c:pt idx="180">
                  <c:v>595.78474694239264</c:v>
                </c:pt>
                <c:pt idx="181">
                  <c:v>595.78474694239264</c:v>
                </c:pt>
                <c:pt idx="182">
                  <c:v>595.78474694239264</c:v>
                </c:pt>
                <c:pt idx="183">
                  <c:v>595.78474694239264</c:v>
                </c:pt>
                <c:pt idx="184">
                  <c:v>595.78474694239264</c:v>
                </c:pt>
                <c:pt idx="185">
                  <c:v>595.78474694239264</c:v>
                </c:pt>
                <c:pt idx="186">
                  <c:v>595.78474694239264</c:v>
                </c:pt>
                <c:pt idx="187">
                  <c:v>595.78474694239264</c:v>
                </c:pt>
                <c:pt idx="188">
                  <c:v>595.78474694239264</c:v>
                </c:pt>
                <c:pt idx="189">
                  <c:v>595.78474694239264</c:v>
                </c:pt>
                <c:pt idx="190">
                  <c:v>595.78474694239264</c:v>
                </c:pt>
                <c:pt idx="191">
                  <c:v>595.78474694239264</c:v>
                </c:pt>
                <c:pt idx="192">
                  <c:v>595.78474694239264</c:v>
                </c:pt>
                <c:pt idx="193">
                  <c:v>595.78474694239264</c:v>
                </c:pt>
                <c:pt idx="194">
                  <c:v>595.78474694239264</c:v>
                </c:pt>
                <c:pt idx="195">
                  <c:v>595.78474694239264</c:v>
                </c:pt>
                <c:pt idx="196">
                  <c:v>595.78474694239264</c:v>
                </c:pt>
                <c:pt idx="197">
                  <c:v>595.78474694239264</c:v>
                </c:pt>
                <c:pt idx="198">
                  <c:v>595.78474694239264</c:v>
                </c:pt>
                <c:pt idx="199">
                  <c:v>595.78474694239264</c:v>
                </c:pt>
                <c:pt idx="200">
                  <c:v>595.78474694239264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2.1308141159990979</c:v>
                </c:pt>
                <c:pt idx="2">
                  <c:v>2.9281438920569403</c:v>
                </c:pt>
                <c:pt idx="3">
                  <c:v>4.0251008301171156</c:v>
                </c:pt>
                <c:pt idx="4">
                  <c:v>5.5347320133681039</c:v>
                </c:pt>
                <c:pt idx="5">
                  <c:v>7.6128950978985666</c:v>
                </c:pt>
                <c:pt idx="6">
                  <c:v>10.474526236664085</c:v>
                </c:pt>
                <c:pt idx="7">
                  <c:v>14.416109245825893</c:v>
                </c:pt>
                <c:pt idx="8">
                  <c:v>19.846716673503781</c:v>
                </c:pt>
                <c:pt idx="9">
                  <c:v>27.330902060221728</c:v>
                </c:pt>
                <c:pt idx="10">
                  <c:v>37.647980385231108</c:v>
                </c:pt>
                <c:pt idx="11">
                  <c:v>51.873974862320885</c:v>
                </c:pt>
                <c:pt idx="12">
                  <c:v>71.4949191061866</c:v>
                </c:pt>
                <c:pt idx="13">
                  <c:v>98.563542320451802</c:v>
                </c:pt>
                <c:pt idx="14">
                  <c:v>135.91598928147849</c:v>
                </c:pt>
                <c:pt idx="15">
                  <c:v>187.47163239017053</c:v>
                </c:pt>
                <c:pt idx="16">
                  <c:v>146.81136547798749</c:v>
                </c:pt>
                <c:pt idx="17">
                  <c:v>170.80742954677157</c:v>
                </c:pt>
                <c:pt idx="18">
                  <c:v>194.72403964150703</c:v>
                </c:pt>
                <c:pt idx="19">
                  <c:v>218.57233487459663</c:v>
                </c:pt>
                <c:pt idx="20">
                  <c:v>242.36081901854183</c:v>
                </c:pt>
                <c:pt idx="21">
                  <c:v>204.12844580912656</c:v>
                </c:pt>
                <c:pt idx="22">
                  <c:v>228.73672473315909</c:v>
                </c:pt>
                <c:pt idx="23">
                  <c:v>253.28442353945601</c:v>
                </c:pt>
                <c:pt idx="24">
                  <c:v>277.77823776243309</c:v>
                </c:pt>
                <c:pt idx="25">
                  <c:v>302.22358480953159</c:v>
                </c:pt>
                <c:pt idx="26">
                  <c:v>326.62493385865372</c:v>
                </c:pt>
                <c:pt idx="27">
                  <c:v>291.30971241322919</c:v>
                </c:pt>
                <c:pt idx="28">
                  <c:v>316.14188648171188</c:v>
                </c:pt>
                <c:pt idx="29">
                  <c:v>340.93085224982775</c:v>
                </c:pt>
                <c:pt idx="30">
                  <c:v>365.68019071952534</c:v>
                </c:pt>
                <c:pt idx="31">
                  <c:v>390.39295875481668</c:v>
                </c:pt>
                <c:pt idx="32">
                  <c:v>415.07179480856439</c:v>
                </c:pt>
                <c:pt idx="33">
                  <c:v>355.88364575491568</c:v>
                </c:pt>
                <c:pt idx="34">
                  <c:v>378.90598373659333</c:v>
                </c:pt>
                <c:pt idx="35">
                  <c:v>401.89789012628256</c:v>
                </c:pt>
                <c:pt idx="36">
                  <c:v>424.86134931148257</c:v>
                </c:pt>
                <c:pt idx="37">
                  <c:v>447.79811380133168</c:v>
                </c:pt>
                <c:pt idx="38">
                  <c:v>470.70974205309909</c:v>
                </c:pt>
                <c:pt idx="39">
                  <c:v>493.59762855037974</c:v>
                </c:pt>
                <c:pt idx="40">
                  <c:v>516.46302801285583</c:v>
                </c:pt>
                <c:pt idx="41">
                  <c:v>418.21652921659637</c:v>
                </c:pt>
                <c:pt idx="42">
                  <c:v>437.54828979657418</c:v>
                </c:pt>
                <c:pt idx="43">
                  <c:v>456.86173367611218</c:v>
                </c:pt>
                <c:pt idx="44">
                  <c:v>476.15774366224105</c:v>
                </c:pt>
                <c:pt idx="45">
                  <c:v>495.4371252185951</c:v>
                </c:pt>
                <c:pt idx="46">
                  <c:v>514.70061604899377</c:v>
                </c:pt>
                <c:pt idx="47">
                  <c:v>533.94889417211482</c:v>
                </c:pt>
                <c:pt idx="48">
                  <c:v>553.18258477172765</c:v>
                </c:pt>
                <c:pt idx="49">
                  <c:v>463.11224037370863</c:v>
                </c:pt>
                <c:pt idx="50">
                  <c:v>479.3932375320328</c:v>
                </c:pt>
                <c:pt idx="51">
                  <c:v>495.66248405140641</c:v>
                </c:pt>
                <c:pt idx="52">
                  <c:v>511.92041976382615</c:v>
                </c:pt>
                <c:pt idx="53">
                  <c:v>528.16745429901368</c:v>
                </c:pt>
                <c:pt idx="54">
                  <c:v>544.4039700427569</c:v>
                </c:pt>
                <c:pt idx="55">
                  <c:v>560.63032472410339</c:v>
                </c:pt>
                <c:pt idx="56">
                  <c:v>576.84685368758085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5" zoomScale="80" zoomScaleNormal="80" workbookViewId="0">
      <selection activeCell="E13" sqref="E13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7.5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14</v>
      </c>
      <c r="C9" s="32">
        <v>0.43559999999999999</v>
      </c>
      <c r="D9" s="33">
        <f t="shared" ref="D9:D18" si="0">C9*$C$5</f>
        <v>3.2669999999999999</v>
      </c>
      <c r="E9" s="34">
        <v>161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12</v>
      </c>
      <c r="C10" s="32">
        <v>0.1045</v>
      </c>
      <c r="D10" s="33">
        <f t="shared" si="0"/>
        <v>0.78374999999999995</v>
      </c>
      <c r="E10" s="34">
        <v>161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6</v>
      </c>
      <c r="C11" s="32">
        <v>0.13059999999999999</v>
      </c>
      <c r="D11" s="33">
        <f t="shared" si="0"/>
        <v>0.97949999999999993</v>
      </c>
      <c r="E11" s="34">
        <v>161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22</v>
      </c>
      <c r="C12" s="32">
        <v>0.1394</v>
      </c>
      <c r="D12" s="33">
        <f t="shared" si="0"/>
        <v>1.0454999999999999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 t="s">
        <v>29</v>
      </c>
      <c r="C13" s="32">
        <v>6.0999999999999999E-2</v>
      </c>
      <c r="D13" s="33">
        <f t="shared" si="0"/>
        <v>0.45750000000000002</v>
      </c>
      <c r="E13" s="34">
        <v>69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 t="s">
        <v>44</v>
      </c>
      <c r="C14" s="32">
        <v>5.4800000000000001E-2</v>
      </c>
      <c r="D14" s="33">
        <f t="shared" si="0"/>
        <v>0.41100000000000003</v>
      </c>
      <c r="E14" s="34">
        <v>45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 t="s">
        <v>36</v>
      </c>
      <c r="C15" s="32">
        <v>7.4099999999999999E-2</v>
      </c>
      <c r="D15" s="33">
        <f t="shared" si="0"/>
        <v>0.55574999999999997</v>
      </c>
      <c r="E15" s="34">
        <v>56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7.4999999999999982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0.1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30</v>
      </c>
      <c r="B36" s="60">
        <v>87.705128205128204</v>
      </c>
      <c r="C36" s="60" t="s">
        <v>324</v>
      </c>
      <c r="D36" s="60">
        <v>0</v>
      </c>
      <c r="E36" s="51">
        <v>0</v>
      </c>
      <c r="F36" s="51">
        <v>0</v>
      </c>
      <c r="G36" s="51">
        <v>0</v>
      </c>
      <c r="H36" s="51">
        <v>0</v>
      </c>
      <c r="I36" s="49">
        <f>IFERROR(B36/A36,"")</f>
        <v>2.9235042735042733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44</v>
      </c>
      <c r="B37" s="60">
        <v>162.42307692307691</v>
      </c>
      <c r="C37" s="60">
        <v>1</v>
      </c>
      <c r="D37" s="60">
        <v>64.416666666666657</v>
      </c>
      <c r="E37" s="51">
        <v>0</v>
      </c>
      <c r="F37" s="51">
        <v>0</v>
      </c>
      <c r="G37" s="51">
        <v>0</v>
      </c>
      <c r="H37" s="51">
        <v>1</v>
      </c>
      <c r="I37" s="53">
        <f t="shared" ref="I37:I55" si="1">IF(A37&lt;&gt;0,(B37-(B36-D36))/(A37-A36),"")</f>
        <v>5.3369963369963358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51</v>
      </c>
      <c r="B38" s="60">
        <v>145.78846153846152</v>
      </c>
      <c r="C38" s="60">
        <v>2</v>
      </c>
      <c r="D38" s="60">
        <v>37.685897435897431</v>
      </c>
      <c r="E38" s="51">
        <v>0</v>
      </c>
      <c r="F38" s="51">
        <v>0</v>
      </c>
      <c r="G38" s="51">
        <v>0</v>
      </c>
      <c r="H38" s="51">
        <v>1</v>
      </c>
      <c r="I38" s="53">
        <f t="shared" si="1"/>
        <v>6.826007326007324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59</v>
      </c>
      <c r="B39" s="60">
        <v>159.25641025641025</v>
      </c>
      <c r="C39" s="60">
        <v>3</v>
      </c>
      <c r="D39" s="60">
        <v>38.942307692307693</v>
      </c>
      <c r="E39" s="51">
        <v>0</v>
      </c>
      <c r="F39" s="51">
        <v>0</v>
      </c>
      <c r="G39" s="51">
        <v>0</v>
      </c>
      <c r="H39" s="51">
        <v>1</v>
      </c>
      <c r="I39" s="49">
        <f t="shared" si="1"/>
        <v>6.3942307692307701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67</v>
      </c>
      <c r="B40" s="60">
        <v>167.85897435897436</v>
      </c>
      <c r="C40" s="60">
        <v>4</v>
      </c>
      <c r="D40" s="60">
        <v>31.993589743589741</v>
      </c>
      <c r="E40" s="51">
        <v>0</v>
      </c>
      <c r="F40" s="51">
        <v>0</v>
      </c>
      <c r="G40" s="51">
        <v>0</v>
      </c>
      <c r="H40" s="51">
        <v>1</v>
      </c>
      <c r="I40" s="49">
        <f t="shared" si="1"/>
        <v>5.9431089743589762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75</v>
      </c>
      <c r="B41" s="60">
        <v>181.38461538461536</v>
      </c>
      <c r="C41" s="60">
        <v>5</v>
      </c>
      <c r="D41" s="60">
        <v>30.916666666666664</v>
      </c>
      <c r="E41" s="51">
        <v>0.7</v>
      </c>
      <c r="F41" s="51">
        <v>0</v>
      </c>
      <c r="G41" s="51">
        <v>0</v>
      </c>
      <c r="H41" s="51">
        <v>0.3</v>
      </c>
      <c r="I41" s="53">
        <f t="shared" si="1"/>
        <v>5.6899038461538431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84</v>
      </c>
      <c r="B42" s="60">
        <v>200.00641025641025</v>
      </c>
      <c r="C42" s="60">
        <v>6</v>
      </c>
      <c r="D42" s="60">
        <v>35.083333333333329</v>
      </c>
      <c r="E42" s="51">
        <v>0.7</v>
      </c>
      <c r="F42" s="51">
        <v>0</v>
      </c>
      <c r="G42" s="51">
        <v>0</v>
      </c>
      <c r="H42" s="51">
        <v>0.3</v>
      </c>
      <c r="I42" s="53">
        <f t="shared" si="1"/>
        <v>5.5042735042735051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93</v>
      </c>
      <c r="B43" s="60">
        <v>212.26923076923075</v>
      </c>
      <c r="C43" s="60">
        <v>7</v>
      </c>
      <c r="D43" s="60">
        <v>30.083333333333332</v>
      </c>
      <c r="E43" s="51">
        <v>0.7</v>
      </c>
      <c r="F43" s="51">
        <v>0</v>
      </c>
      <c r="G43" s="51">
        <v>0</v>
      </c>
      <c r="H43" s="51">
        <v>0.3</v>
      </c>
      <c r="I43" s="49">
        <f t="shared" si="1"/>
        <v>5.2606837606837598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>
        <v>103</v>
      </c>
      <c r="B44" s="60">
        <v>234.76923076923077</v>
      </c>
      <c r="C44" s="60">
        <v>8</v>
      </c>
      <c r="D44" s="60">
        <v>39.512820512820511</v>
      </c>
      <c r="E44" s="51">
        <v>0.7</v>
      </c>
      <c r="F44" s="51">
        <v>0</v>
      </c>
      <c r="G44" s="51">
        <v>0</v>
      </c>
      <c r="H44" s="51">
        <v>0.3</v>
      </c>
      <c r="I44" s="49">
        <f t="shared" si="1"/>
        <v>5.2583333333333373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>
        <v>113</v>
      </c>
      <c r="B45" s="60">
        <v>246.21794871794873</v>
      </c>
      <c r="C45" s="60">
        <v>9</v>
      </c>
      <c r="D45" s="60">
        <v>31.602564102564099</v>
      </c>
      <c r="E45" s="51">
        <v>0.7</v>
      </c>
      <c r="F45" s="51">
        <v>0</v>
      </c>
      <c r="G45" s="51">
        <v>0</v>
      </c>
      <c r="H45" s="51">
        <v>0.3</v>
      </c>
      <c r="I45" s="49">
        <f t="shared" si="1"/>
        <v>5.0961538461538449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>
        <v>125</v>
      </c>
      <c r="B46" s="60">
        <v>278.29487179487177</v>
      </c>
      <c r="C46" s="60">
        <v>10</v>
      </c>
      <c r="D46" s="60">
        <v>48.160256410256409</v>
      </c>
      <c r="E46" s="51">
        <v>0.7</v>
      </c>
      <c r="F46" s="51">
        <v>0</v>
      </c>
      <c r="G46" s="51">
        <v>0</v>
      </c>
      <c r="H46" s="51">
        <v>0.3</v>
      </c>
      <c r="I46" s="49">
        <f t="shared" si="1"/>
        <v>5.3066239316239274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>
        <v>137</v>
      </c>
      <c r="B47" s="60">
        <v>293.07051282051282</v>
      </c>
      <c r="C47" s="60">
        <v>11</v>
      </c>
      <c r="D47" s="60">
        <v>51.160256410256409</v>
      </c>
      <c r="E47" s="51">
        <v>0.7</v>
      </c>
      <c r="F47" s="51">
        <v>0</v>
      </c>
      <c r="G47" s="51">
        <v>0</v>
      </c>
      <c r="H47" s="51">
        <v>0.3</v>
      </c>
      <c r="I47" s="49">
        <f t="shared" si="1"/>
        <v>5.2446581196581219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>
        <v>149</v>
      </c>
      <c r="B48" s="60">
        <v>303.18589743589746</v>
      </c>
      <c r="C48" s="60">
        <v>12</v>
      </c>
      <c r="D48" s="60">
        <v>120.50641025641026</v>
      </c>
      <c r="E48" s="51">
        <v>0.9</v>
      </c>
      <c r="F48" s="51">
        <v>0</v>
      </c>
      <c r="G48" s="51">
        <v>0</v>
      </c>
      <c r="H48" s="51">
        <v>0.1</v>
      </c>
      <c r="I48" s="49">
        <f t="shared" si="1"/>
        <v>5.1063034188034209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>
        <v>153</v>
      </c>
      <c r="B49" s="60">
        <v>195.05769230769226</v>
      </c>
      <c r="C49" s="60">
        <v>13</v>
      </c>
      <c r="D49" s="60">
        <v>70.115384615384613</v>
      </c>
      <c r="E49" s="51">
        <v>0.9</v>
      </c>
      <c r="F49" s="51">
        <v>0</v>
      </c>
      <c r="G49" s="51">
        <v>0</v>
      </c>
      <c r="H49" s="51">
        <v>0.1</v>
      </c>
      <c r="I49" s="49">
        <f t="shared" si="1"/>
        <v>3.0945512820512704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>
        <v>157</v>
      </c>
      <c r="B50" s="50">
        <v>132.42948717948718</v>
      </c>
      <c r="C50" s="50">
        <v>14</v>
      </c>
      <c r="D50" s="50">
        <v>45.71153846153846</v>
      </c>
      <c r="E50" s="51">
        <v>0.9</v>
      </c>
      <c r="F50" s="51">
        <v>0</v>
      </c>
      <c r="G50" s="51">
        <v>0</v>
      </c>
      <c r="H50" s="51">
        <v>0.1</v>
      </c>
      <c r="I50" s="49">
        <f t="shared" si="1"/>
        <v>1.8717948717948829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>
        <v>161</v>
      </c>
      <c r="B51" s="50">
        <v>91.365384615384613</v>
      </c>
      <c r="C51" s="50">
        <v>15</v>
      </c>
      <c r="D51" s="50">
        <v>91.365384615384613</v>
      </c>
      <c r="E51" s="51">
        <v>0.9</v>
      </c>
      <c r="F51" s="51">
        <v>0</v>
      </c>
      <c r="G51" s="51">
        <v>0</v>
      </c>
      <c r="H51" s="51">
        <v>0.1</v>
      </c>
      <c r="I51" s="49">
        <f t="shared" si="1"/>
        <v>1.1618589743589709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 pubescent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30</v>
      </c>
      <c r="B62" s="60">
        <v>87.705128205128204</v>
      </c>
      <c r="C62" s="60" t="s">
        <v>324</v>
      </c>
      <c r="D62" s="60">
        <v>0</v>
      </c>
      <c r="E62" s="51">
        <v>0</v>
      </c>
      <c r="F62" s="51">
        <v>0</v>
      </c>
      <c r="G62" s="51">
        <v>0</v>
      </c>
      <c r="H62" s="51">
        <v>0</v>
      </c>
      <c r="I62" s="53">
        <f>IFERROR(B62/A62,"")</f>
        <v>2.9235042735042733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44</v>
      </c>
      <c r="B63" s="60">
        <v>162.42307692307691</v>
      </c>
      <c r="C63" s="60">
        <v>1</v>
      </c>
      <c r="D63" s="60">
        <v>64.416666666666657</v>
      </c>
      <c r="E63" s="51">
        <v>0</v>
      </c>
      <c r="F63" s="51">
        <v>0</v>
      </c>
      <c r="G63" s="51">
        <v>0</v>
      </c>
      <c r="H63" s="51">
        <v>1</v>
      </c>
      <c r="I63" s="49">
        <f>IF(A63&lt;&gt;0,(B63-(B62-D62))/(A63-A62),"")</f>
        <v>5.3369963369963358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51</v>
      </c>
      <c r="B64" s="60">
        <v>145.78846153846152</v>
      </c>
      <c r="C64" s="60">
        <v>2</v>
      </c>
      <c r="D64" s="60">
        <v>37.685897435897431</v>
      </c>
      <c r="E64" s="51">
        <v>0</v>
      </c>
      <c r="F64" s="51">
        <v>0</v>
      </c>
      <c r="G64" s="51">
        <v>0</v>
      </c>
      <c r="H64" s="51">
        <v>1</v>
      </c>
      <c r="I64" s="49">
        <f>IF(A64&lt;&gt;0,(B64-(B63-D63))/(A64-A63),"")</f>
        <v>6.826007326007324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59</v>
      </c>
      <c r="B65" s="60">
        <v>159.25641025641025</v>
      </c>
      <c r="C65" s="60">
        <v>3</v>
      </c>
      <c r="D65" s="60">
        <v>38.942307692307693</v>
      </c>
      <c r="E65" s="51">
        <v>0</v>
      </c>
      <c r="F65" s="51">
        <v>0</v>
      </c>
      <c r="G65" s="51">
        <v>0</v>
      </c>
      <c r="H65" s="51">
        <v>1</v>
      </c>
      <c r="I65" s="49">
        <f>IF(A65&lt;&gt;0,(B65-(B64-D64))/(A65-A64),"")</f>
        <v>6.3942307692307701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67</v>
      </c>
      <c r="B66" s="60">
        <v>167.85897435897436</v>
      </c>
      <c r="C66" s="60">
        <v>4</v>
      </c>
      <c r="D66" s="60">
        <v>31.993589743589741</v>
      </c>
      <c r="E66" s="51">
        <v>0</v>
      </c>
      <c r="F66" s="51">
        <v>0</v>
      </c>
      <c r="G66" s="51">
        <v>0</v>
      </c>
      <c r="H66" s="51">
        <v>1</v>
      </c>
      <c r="I66" s="49">
        <f t="shared" ref="I66:I81" si="2">IF(A66&lt;&gt;0,(B66-(B65-D65))/(A66-A65),"")</f>
        <v>5.9431089743589762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75</v>
      </c>
      <c r="B67" s="60">
        <v>181.38461538461536</v>
      </c>
      <c r="C67" s="60">
        <v>5</v>
      </c>
      <c r="D67" s="60">
        <v>30.916666666666664</v>
      </c>
      <c r="E67" s="51">
        <v>0.7</v>
      </c>
      <c r="F67" s="51">
        <v>0</v>
      </c>
      <c r="G67" s="51">
        <v>0</v>
      </c>
      <c r="H67" s="51">
        <v>0.3</v>
      </c>
      <c r="I67" s="49">
        <f t="shared" si="2"/>
        <v>5.6899038461538431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84</v>
      </c>
      <c r="B68" s="60">
        <v>200.00641025641025</v>
      </c>
      <c r="C68" s="60">
        <v>6</v>
      </c>
      <c r="D68" s="60">
        <v>35.083333333333329</v>
      </c>
      <c r="E68" s="51">
        <v>0.7</v>
      </c>
      <c r="F68" s="51">
        <v>0</v>
      </c>
      <c r="G68" s="51">
        <v>0</v>
      </c>
      <c r="H68" s="51">
        <v>0.3</v>
      </c>
      <c r="I68" s="49">
        <f t="shared" si="2"/>
        <v>5.5042735042735051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93</v>
      </c>
      <c r="B69" s="50">
        <v>212.26923076923075</v>
      </c>
      <c r="C69" s="50">
        <v>7</v>
      </c>
      <c r="D69" s="50">
        <v>30.083333333333332</v>
      </c>
      <c r="E69" s="51">
        <v>0.7</v>
      </c>
      <c r="F69" s="51">
        <v>0</v>
      </c>
      <c r="G69" s="51">
        <v>0</v>
      </c>
      <c r="H69" s="51">
        <v>0.3</v>
      </c>
      <c r="I69" s="49">
        <f t="shared" si="2"/>
        <v>5.2606837606837598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103</v>
      </c>
      <c r="B70" s="50">
        <v>234.76923076923077</v>
      </c>
      <c r="C70" s="50">
        <v>8</v>
      </c>
      <c r="D70" s="50">
        <v>39.512820512820511</v>
      </c>
      <c r="E70" s="51">
        <v>0.7</v>
      </c>
      <c r="F70" s="51">
        <v>0</v>
      </c>
      <c r="G70" s="51">
        <v>0</v>
      </c>
      <c r="H70" s="51">
        <v>0.3</v>
      </c>
      <c r="I70" s="49">
        <f t="shared" si="2"/>
        <v>5.2583333333333373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113</v>
      </c>
      <c r="B71" s="50">
        <v>246.21794871794873</v>
      </c>
      <c r="C71" s="50">
        <v>9</v>
      </c>
      <c r="D71" s="50">
        <v>31.602564102564099</v>
      </c>
      <c r="E71" s="51">
        <v>0.7</v>
      </c>
      <c r="F71" s="51">
        <v>0</v>
      </c>
      <c r="G71" s="51">
        <v>0</v>
      </c>
      <c r="H71" s="51">
        <v>0.3</v>
      </c>
      <c r="I71" s="49">
        <f t="shared" si="2"/>
        <v>5.0961538461538449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125</v>
      </c>
      <c r="B72" s="50">
        <v>278.29487179487177</v>
      </c>
      <c r="C72" s="50">
        <v>10</v>
      </c>
      <c r="D72" s="50">
        <v>48.160256410256409</v>
      </c>
      <c r="E72" s="51">
        <v>0.7</v>
      </c>
      <c r="F72" s="51">
        <v>0</v>
      </c>
      <c r="G72" s="51">
        <v>0</v>
      </c>
      <c r="H72" s="51">
        <v>0.3</v>
      </c>
      <c r="I72" s="49">
        <f t="shared" si="2"/>
        <v>5.3066239316239274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>
        <v>137</v>
      </c>
      <c r="B73" s="50">
        <v>293.07051282051282</v>
      </c>
      <c r="C73" s="50">
        <v>11</v>
      </c>
      <c r="D73" s="50">
        <v>51.160256410256409</v>
      </c>
      <c r="E73" s="51">
        <v>0.7</v>
      </c>
      <c r="F73" s="51">
        <v>0</v>
      </c>
      <c r="G73" s="51">
        <v>0</v>
      </c>
      <c r="H73" s="51">
        <v>0.3</v>
      </c>
      <c r="I73" s="49">
        <f t="shared" si="2"/>
        <v>5.2446581196581219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>
        <v>149</v>
      </c>
      <c r="B74" s="50">
        <v>303.18589743589746</v>
      </c>
      <c r="C74" s="50">
        <v>12</v>
      </c>
      <c r="D74" s="50">
        <v>120.50641025641026</v>
      </c>
      <c r="E74" s="51">
        <v>0.9</v>
      </c>
      <c r="F74" s="51">
        <v>0</v>
      </c>
      <c r="G74" s="51">
        <v>0</v>
      </c>
      <c r="H74" s="51">
        <v>0.1</v>
      </c>
      <c r="I74" s="49">
        <f t="shared" si="2"/>
        <v>5.1063034188034209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>
        <v>153</v>
      </c>
      <c r="B75" s="50">
        <v>195.05769230769226</v>
      </c>
      <c r="C75" s="50">
        <v>13</v>
      </c>
      <c r="D75" s="50">
        <v>70.115384615384613</v>
      </c>
      <c r="E75" s="51">
        <v>0.9</v>
      </c>
      <c r="F75" s="51">
        <v>0</v>
      </c>
      <c r="G75" s="51">
        <v>0</v>
      </c>
      <c r="H75" s="51">
        <v>0.1</v>
      </c>
      <c r="I75" s="49">
        <f t="shared" si="2"/>
        <v>3.0945512820512704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>
        <v>157</v>
      </c>
      <c r="B76" s="50">
        <v>132.42948717948718</v>
      </c>
      <c r="C76" s="50">
        <v>14</v>
      </c>
      <c r="D76" s="50">
        <v>45.71153846153846</v>
      </c>
      <c r="E76" s="51">
        <v>0.9</v>
      </c>
      <c r="F76" s="51">
        <v>0</v>
      </c>
      <c r="G76" s="51">
        <v>0</v>
      </c>
      <c r="H76" s="51">
        <v>0.1</v>
      </c>
      <c r="I76" s="49">
        <f t="shared" si="2"/>
        <v>1.8717948717948829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>
        <v>161</v>
      </c>
      <c r="B77" s="50">
        <v>91.365384615384613</v>
      </c>
      <c r="C77" s="50">
        <v>15</v>
      </c>
      <c r="D77" s="50">
        <v>91.365384615384613</v>
      </c>
      <c r="E77" s="51">
        <v>0.9</v>
      </c>
      <c r="F77" s="51">
        <v>0</v>
      </c>
      <c r="G77" s="51">
        <v>0</v>
      </c>
      <c r="H77" s="51">
        <v>0.1</v>
      </c>
      <c r="I77" s="49">
        <f t="shared" si="2"/>
        <v>1.1618589743589709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Charme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30</v>
      </c>
      <c r="B88" s="60">
        <v>87.705128205128204</v>
      </c>
      <c r="C88" s="60" t="s">
        <v>324</v>
      </c>
      <c r="D88" s="60">
        <v>0</v>
      </c>
      <c r="E88" s="51">
        <v>0</v>
      </c>
      <c r="F88" s="51">
        <v>0</v>
      </c>
      <c r="G88" s="51">
        <v>0</v>
      </c>
      <c r="H88" s="87">
        <v>0</v>
      </c>
      <c r="I88" s="53">
        <f>IFERROR(B88/A88,"")</f>
        <v>2.9235042735042733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44</v>
      </c>
      <c r="B89" s="60">
        <v>162.42307692307691</v>
      </c>
      <c r="C89" s="60">
        <v>1</v>
      </c>
      <c r="D89" s="60">
        <v>64.416666666666657</v>
      </c>
      <c r="E89" s="51">
        <v>0</v>
      </c>
      <c r="F89" s="51">
        <v>0</v>
      </c>
      <c r="G89" s="51">
        <v>0</v>
      </c>
      <c r="H89" s="87">
        <v>1</v>
      </c>
      <c r="I89" s="53">
        <f t="shared" ref="I89:I107" si="3">IF(A89&lt;&gt;0,(B89-(B88-D88))/(A89-A88),"")</f>
        <v>5.3369963369963358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51</v>
      </c>
      <c r="B90" s="60">
        <v>145.78846153846152</v>
      </c>
      <c r="C90" s="60">
        <v>2</v>
      </c>
      <c r="D90" s="60">
        <v>37.685897435897431</v>
      </c>
      <c r="E90" s="87">
        <v>0</v>
      </c>
      <c r="F90" s="87">
        <v>0</v>
      </c>
      <c r="G90" s="87">
        <v>0</v>
      </c>
      <c r="H90" s="87">
        <v>1</v>
      </c>
      <c r="I90" s="53">
        <f t="shared" si="3"/>
        <v>6.826007326007324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59</v>
      </c>
      <c r="B91" s="60">
        <v>159.25641025641025</v>
      </c>
      <c r="C91" s="60">
        <v>3</v>
      </c>
      <c r="D91" s="60">
        <v>38.942307692307693</v>
      </c>
      <c r="E91" s="87">
        <v>0</v>
      </c>
      <c r="F91" s="87">
        <v>0</v>
      </c>
      <c r="G91" s="87">
        <v>0</v>
      </c>
      <c r="H91" s="87">
        <v>1</v>
      </c>
      <c r="I91" s="53">
        <f t="shared" si="3"/>
        <v>6.3942307692307701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67</v>
      </c>
      <c r="B92" s="60">
        <v>167.85897435897436</v>
      </c>
      <c r="C92" s="60">
        <v>4</v>
      </c>
      <c r="D92" s="60">
        <v>31.993589743589741</v>
      </c>
      <c r="E92" s="87">
        <v>0</v>
      </c>
      <c r="F92" s="87">
        <v>0</v>
      </c>
      <c r="G92" s="87">
        <v>0</v>
      </c>
      <c r="H92" s="87">
        <v>1</v>
      </c>
      <c r="I92" s="53">
        <f t="shared" si="3"/>
        <v>5.9431089743589762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75</v>
      </c>
      <c r="B93" s="60">
        <v>181.38461538461536</v>
      </c>
      <c r="C93" s="60">
        <v>5</v>
      </c>
      <c r="D93" s="60">
        <v>30.916666666666664</v>
      </c>
      <c r="E93" s="87">
        <v>0.7</v>
      </c>
      <c r="F93" s="87">
        <v>0</v>
      </c>
      <c r="G93" s="87">
        <v>0</v>
      </c>
      <c r="H93" s="87">
        <v>0.3</v>
      </c>
      <c r="I93" s="53">
        <f t="shared" si="3"/>
        <v>5.6899038461538431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84</v>
      </c>
      <c r="B94" s="60">
        <v>200.00641025641025</v>
      </c>
      <c r="C94" s="60">
        <v>6</v>
      </c>
      <c r="D94" s="60">
        <v>35.083333333333329</v>
      </c>
      <c r="E94" s="87">
        <v>0.7</v>
      </c>
      <c r="F94" s="87">
        <v>0</v>
      </c>
      <c r="G94" s="87">
        <v>0</v>
      </c>
      <c r="H94" s="87">
        <v>0.3</v>
      </c>
      <c r="I94" s="53">
        <f t="shared" si="3"/>
        <v>5.5042735042735051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93</v>
      </c>
      <c r="B95" s="60">
        <v>212.26923076923075</v>
      </c>
      <c r="C95" s="60">
        <v>7</v>
      </c>
      <c r="D95" s="60">
        <v>30.083333333333332</v>
      </c>
      <c r="E95" s="87">
        <v>0.7</v>
      </c>
      <c r="F95" s="87">
        <v>0</v>
      </c>
      <c r="G95" s="87">
        <v>0</v>
      </c>
      <c r="H95" s="87">
        <v>0.3</v>
      </c>
      <c r="I95" s="53">
        <f t="shared" si="3"/>
        <v>5.2606837606837598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103</v>
      </c>
      <c r="B96" s="60">
        <v>234.76923076923077</v>
      </c>
      <c r="C96" s="60">
        <v>8</v>
      </c>
      <c r="D96" s="60">
        <v>39.512820512820511</v>
      </c>
      <c r="E96" s="87">
        <v>0.7</v>
      </c>
      <c r="F96" s="87">
        <v>0</v>
      </c>
      <c r="G96" s="87">
        <v>0</v>
      </c>
      <c r="H96" s="87">
        <v>0.3</v>
      </c>
      <c r="I96" s="53">
        <f t="shared" si="3"/>
        <v>5.2583333333333373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113</v>
      </c>
      <c r="B97" s="60">
        <v>246.21794871794873</v>
      </c>
      <c r="C97" s="60">
        <v>9</v>
      </c>
      <c r="D97" s="60">
        <v>31.602564102564099</v>
      </c>
      <c r="E97" s="87">
        <v>0.7</v>
      </c>
      <c r="F97" s="87">
        <v>0</v>
      </c>
      <c r="G97" s="87">
        <v>0</v>
      </c>
      <c r="H97" s="87">
        <v>0.3</v>
      </c>
      <c r="I97" s="53">
        <f t="shared" si="3"/>
        <v>5.0961538461538449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>
        <v>125</v>
      </c>
      <c r="B98" s="60">
        <v>278.29487179487177</v>
      </c>
      <c r="C98" s="60">
        <v>10</v>
      </c>
      <c r="D98" s="60">
        <v>48.160256410256409</v>
      </c>
      <c r="E98" s="87">
        <v>0.7</v>
      </c>
      <c r="F98" s="87">
        <v>0</v>
      </c>
      <c r="G98" s="87">
        <v>0</v>
      </c>
      <c r="H98" s="87">
        <v>0.3</v>
      </c>
      <c r="I98" s="53">
        <f t="shared" si="3"/>
        <v>5.3066239316239274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>
        <v>137</v>
      </c>
      <c r="B99" s="60">
        <v>293.07051282051282</v>
      </c>
      <c r="C99" s="60">
        <v>11</v>
      </c>
      <c r="D99" s="60">
        <v>51.160256410256409</v>
      </c>
      <c r="E99" s="87">
        <v>0.7</v>
      </c>
      <c r="F99" s="87">
        <v>0</v>
      </c>
      <c r="G99" s="87">
        <v>0</v>
      </c>
      <c r="H99" s="87">
        <v>0.3</v>
      </c>
      <c r="I99" s="53">
        <f t="shared" si="3"/>
        <v>5.2446581196581219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>
        <v>149</v>
      </c>
      <c r="B100" s="60">
        <v>303.18589743589746</v>
      </c>
      <c r="C100" s="60">
        <v>12</v>
      </c>
      <c r="D100" s="60">
        <v>120.50641025641026</v>
      </c>
      <c r="E100" s="65">
        <v>0.9</v>
      </c>
      <c r="F100" s="65">
        <v>0</v>
      </c>
      <c r="G100" s="65">
        <v>0</v>
      </c>
      <c r="H100" s="65">
        <v>0.1</v>
      </c>
      <c r="I100" s="53">
        <f t="shared" si="3"/>
        <v>5.1063034188034209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>
        <v>153</v>
      </c>
      <c r="B101" s="60">
        <v>195.05769230769226</v>
      </c>
      <c r="C101" s="60">
        <v>13</v>
      </c>
      <c r="D101" s="60">
        <v>70.115384615384613</v>
      </c>
      <c r="E101" s="65">
        <v>0.9</v>
      </c>
      <c r="F101" s="65">
        <v>0</v>
      </c>
      <c r="G101" s="65">
        <v>0</v>
      </c>
      <c r="H101" s="65">
        <v>0.1</v>
      </c>
      <c r="I101" s="53">
        <f t="shared" si="3"/>
        <v>3.0945512820512704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>
        <v>157</v>
      </c>
      <c r="B102" s="50">
        <v>132.42948717948718</v>
      </c>
      <c r="C102" s="60">
        <v>14</v>
      </c>
      <c r="D102" s="50">
        <v>45.71153846153846</v>
      </c>
      <c r="E102" s="54">
        <v>0.9</v>
      </c>
      <c r="F102" s="54">
        <v>0</v>
      </c>
      <c r="G102" s="54">
        <v>0</v>
      </c>
      <c r="H102" s="54">
        <v>0.1</v>
      </c>
      <c r="I102" s="53">
        <f t="shared" si="3"/>
        <v>1.8717948717948829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>
        <v>161</v>
      </c>
      <c r="B103" s="50">
        <v>91.365384615384613</v>
      </c>
      <c r="C103" s="60">
        <v>15</v>
      </c>
      <c r="D103" s="50">
        <v>91.365384615384613</v>
      </c>
      <c r="E103" s="54">
        <v>0.9</v>
      </c>
      <c r="F103" s="54">
        <v>0</v>
      </c>
      <c r="G103" s="54">
        <v>0</v>
      </c>
      <c r="H103" s="54">
        <v>0.1</v>
      </c>
      <c r="I103" s="53">
        <f t="shared" si="3"/>
        <v>1.1618589743589709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Erable plane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10</v>
      </c>
      <c r="B114" s="60">
        <v>11</v>
      </c>
      <c r="C114" s="50">
        <v>0</v>
      </c>
      <c r="D114" s="60">
        <v>0</v>
      </c>
      <c r="E114" s="51">
        <v>0</v>
      </c>
      <c r="F114" s="51">
        <v>0</v>
      </c>
      <c r="G114" s="51">
        <v>0</v>
      </c>
      <c r="H114" s="51">
        <v>0</v>
      </c>
      <c r="I114" s="53">
        <f>IFERROR(B114/A114,"")</f>
        <v>1.1000000000000001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15</v>
      </c>
      <c r="B115" s="60">
        <v>65</v>
      </c>
      <c r="C115" s="50">
        <v>1</v>
      </c>
      <c r="D115" s="60">
        <v>32</v>
      </c>
      <c r="E115" s="51">
        <v>0</v>
      </c>
      <c r="F115" s="51">
        <v>0</v>
      </c>
      <c r="G115" s="51">
        <v>0</v>
      </c>
      <c r="H115" s="51">
        <v>1</v>
      </c>
      <c r="I115" s="53">
        <f t="shared" ref="I115:I133" si="4">IF(A115&lt;&gt;0,(B115-(B114-D114))/(A115-A114),"")</f>
        <v>10.8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20</v>
      </c>
      <c r="B116" s="60">
        <v>102</v>
      </c>
      <c r="C116" s="50">
        <v>2</v>
      </c>
      <c r="D116" s="60">
        <v>35</v>
      </c>
      <c r="E116" s="51">
        <v>0</v>
      </c>
      <c r="F116" s="51">
        <v>0.03</v>
      </c>
      <c r="G116" s="51">
        <v>0</v>
      </c>
      <c r="H116" s="51">
        <v>0.97</v>
      </c>
      <c r="I116" s="53">
        <f t="shared" si="4"/>
        <v>13.8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25</v>
      </c>
      <c r="B117" s="60">
        <v>141</v>
      </c>
      <c r="C117" s="50">
        <v>3</v>
      </c>
      <c r="D117" s="60">
        <v>35</v>
      </c>
      <c r="E117" s="51">
        <v>0.03</v>
      </c>
      <c r="F117" s="51">
        <v>0.23</v>
      </c>
      <c r="G117" s="51">
        <v>0</v>
      </c>
      <c r="H117" s="51">
        <v>0.74</v>
      </c>
      <c r="I117" s="53">
        <f t="shared" si="4"/>
        <v>14.8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30</v>
      </c>
      <c r="B118" s="60">
        <v>177</v>
      </c>
      <c r="C118" s="50">
        <v>4</v>
      </c>
      <c r="D118" s="60">
        <v>35</v>
      </c>
      <c r="E118" s="51">
        <v>0.2</v>
      </c>
      <c r="F118" s="51">
        <v>0.43</v>
      </c>
      <c r="G118" s="51">
        <v>0</v>
      </c>
      <c r="H118" s="51">
        <v>0.37</v>
      </c>
      <c r="I118" s="53">
        <f t="shared" si="4"/>
        <v>14.2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35</v>
      </c>
      <c r="B119" s="60">
        <v>206</v>
      </c>
      <c r="C119" s="50">
        <v>5</v>
      </c>
      <c r="D119" s="60">
        <v>35</v>
      </c>
      <c r="E119" s="51">
        <v>0.49</v>
      </c>
      <c r="F119" s="51">
        <v>0.34</v>
      </c>
      <c r="G119" s="51">
        <v>0</v>
      </c>
      <c r="H119" s="51">
        <v>0.17</v>
      </c>
      <c r="I119" s="53">
        <f t="shared" si="4"/>
        <v>12.8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40</v>
      </c>
      <c r="B120" s="60">
        <v>228</v>
      </c>
      <c r="C120" s="60">
        <v>6</v>
      </c>
      <c r="D120" s="60">
        <v>35</v>
      </c>
      <c r="E120" s="87">
        <v>0.71</v>
      </c>
      <c r="F120" s="87">
        <v>0.2</v>
      </c>
      <c r="G120" s="87">
        <v>0</v>
      </c>
      <c r="H120" s="87">
        <v>0.09</v>
      </c>
      <c r="I120" s="53">
        <f t="shared" si="4"/>
        <v>11.4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45</v>
      </c>
      <c r="B121" s="60">
        <v>242</v>
      </c>
      <c r="C121" s="60">
        <v>7</v>
      </c>
      <c r="D121" s="60">
        <v>24</v>
      </c>
      <c r="E121" s="87">
        <v>0.83</v>
      </c>
      <c r="F121" s="87">
        <v>0.13</v>
      </c>
      <c r="G121" s="87">
        <v>0</v>
      </c>
      <c r="H121" s="87">
        <v>0.04</v>
      </c>
      <c r="I121" s="53">
        <f t="shared" si="4"/>
        <v>9.8000000000000007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50</v>
      </c>
      <c r="B122" s="60">
        <v>261</v>
      </c>
      <c r="C122" s="60">
        <v>8</v>
      </c>
      <c r="D122" s="60">
        <v>19</v>
      </c>
      <c r="E122" s="87">
        <v>0.84</v>
      </c>
      <c r="F122" s="87">
        <v>0.11</v>
      </c>
      <c r="G122" s="87">
        <v>0</v>
      </c>
      <c r="H122" s="87">
        <v>0.05</v>
      </c>
      <c r="I122" s="53">
        <f t="shared" si="4"/>
        <v>8.6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>
        <v>55</v>
      </c>
      <c r="B123" s="60">
        <v>279</v>
      </c>
      <c r="C123" s="60">
        <v>9</v>
      </c>
      <c r="D123" s="60">
        <v>16</v>
      </c>
      <c r="E123" s="87">
        <v>0.88</v>
      </c>
      <c r="F123" s="87">
        <v>0.06</v>
      </c>
      <c r="G123" s="87">
        <v>0</v>
      </c>
      <c r="H123" s="87">
        <v>0.06</v>
      </c>
      <c r="I123" s="53">
        <f t="shared" si="4"/>
        <v>7.4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>
        <v>60</v>
      </c>
      <c r="B124" s="60">
        <v>294</v>
      </c>
      <c r="C124" s="60">
        <v>10</v>
      </c>
      <c r="D124" s="60">
        <v>14</v>
      </c>
      <c r="E124" s="87">
        <v>0.93</v>
      </c>
      <c r="F124" s="87">
        <v>7.0000000000000007E-2</v>
      </c>
      <c r="G124" s="87">
        <v>0</v>
      </c>
      <c r="H124" s="87">
        <v>0</v>
      </c>
      <c r="I124" s="53">
        <f t="shared" si="4"/>
        <v>6.2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>
        <v>65</v>
      </c>
      <c r="B125" s="60">
        <v>306</v>
      </c>
      <c r="C125" s="60">
        <v>11</v>
      </c>
      <c r="D125" s="60">
        <v>13</v>
      </c>
      <c r="E125" s="87">
        <v>0.92</v>
      </c>
      <c r="F125" s="87">
        <v>0.08</v>
      </c>
      <c r="G125" s="87">
        <v>0</v>
      </c>
      <c r="H125" s="87">
        <v>0</v>
      </c>
      <c r="I125" s="53">
        <f t="shared" si="4"/>
        <v>5.2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>
        <v>70</v>
      </c>
      <c r="B126" s="60">
        <v>316</v>
      </c>
      <c r="C126" s="60">
        <v>12</v>
      </c>
      <c r="D126" s="60">
        <v>13</v>
      </c>
      <c r="E126" s="65">
        <v>0.92</v>
      </c>
      <c r="F126" s="65">
        <v>0</v>
      </c>
      <c r="G126" s="65">
        <v>0</v>
      </c>
      <c r="H126" s="65">
        <v>0.08</v>
      </c>
      <c r="I126" s="53">
        <f t="shared" si="4"/>
        <v>4.5999999999999996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>
        <v>75</v>
      </c>
      <c r="B127" s="60">
        <v>324</v>
      </c>
      <c r="C127" s="60">
        <v>13</v>
      </c>
      <c r="D127" s="60">
        <v>12</v>
      </c>
      <c r="E127" s="65">
        <v>0.92</v>
      </c>
      <c r="F127" s="65">
        <v>0</v>
      </c>
      <c r="G127" s="65">
        <v>0</v>
      </c>
      <c r="H127" s="65">
        <v>0.08</v>
      </c>
      <c r="I127" s="53">
        <f t="shared" si="4"/>
        <v>4.2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>
        <v>80</v>
      </c>
      <c r="B128" s="50">
        <v>330</v>
      </c>
      <c r="C128" s="50">
        <v>14</v>
      </c>
      <c r="D128" s="50">
        <v>11</v>
      </c>
      <c r="E128" s="54">
        <v>0.91</v>
      </c>
      <c r="F128" s="54">
        <v>0.09</v>
      </c>
      <c r="G128" s="54">
        <v>0</v>
      </c>
      <c r="H128" s="54">
        <v>0</v>
      </c>
      <c r="I128" s="53">
        <f t="shared" si="4"/>
        <v>3.6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>Merisier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>
        <v>15</v>
      </c>
      <c r="B140" s="60">
        <v>40</v>
      </c>
      <c r="C140" s="50">
        <v>1</v>
      </c>
      <c r="D140" s="60">
        <v>3</v>
      </c>
      <c r="E140" s="51">
        <v>0</v>
      </c>
      <c r="F140" s="51">
        <v>0</v>
      </c>
      <c r="G140" s="51">
        <v>0</v>
      </c>
      <c r="H140" s="51">
        <v>1</v>
      </c>
      <c r="I140" s="57">
        <f>IFERROR(B140/A140,"")</f>
        <v>2.6666666666666665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>
        <v>20</v>
      </c>
      <c r="B141" s="60">
        <v>85</v>
      </c>
      <c r="C141" s="50">
        <v>2</v>
      </c>
      <c r="D141" s="60">
        <v>25</v>
      </c>
      <c r="E141" s="51">
        <v>0</v>
      </c>
      <c r="F141" s="51">
        <v>0.5</v>
      </c>
      <c r="G141" s="51">
        <v>0</v>
      </c>
      <c r="H141" s="51">
        <v>0.5</v>
      </c>
      <c r="I141" s="57">
        <f t="shared" ref="I141:I159" si="5">IF(A141&lt;&gt;0,(B141-(B140-D140))/(A141-A140),"")</f>
        <v>9.6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>
        <v>25</v>
      </c>
      <c r="B142" s="60">
        <v>113</v>
      </c>
      <c r="C142" s="50">
        <v>3</v>
      </c>
      <c r="D142" s="60">
        <v>27</v>
      </c>
      <c r="E142" s="51">
        <v>0</v>
      </c>
      <c r="F142" s="51">
        <v>0.5</v>
      </c>
      <c r="G142" s="51">
        <v>0</v>
      </c>
      <c r="H142" s="51">
        <v>0.5</v>
      </c>
      <c r="I142" s="57">
        <f t="shared" si="5"/>
        <v>10.6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>
        <v>31</v>
      </c>
      <c r="B143" s="60">
        <v>155</v>
      </c>
      <c r="C143" s="50">
        <v>4</v>
      </c>
      <c r="D143" s="60">
        <v>35</v>
      </c>
      <c r="E143" s="51">
        <v>0.3</v>
      </c>
      <c r="F143" s="51">
        <v>0.4</v>
      </c>
      <c r="G143" s="51">
        <v>0</v>
      </c>
      <c r="H143" s="51">
        <v>0.3</v>
      </c>
      <c r="I143" s="57">
        <f t="shared" si="5"/>
        <v>11.5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>
        <v>37</v>
      </c>
      <c r="B144" s="60">
        <v>188</v>
      </c>
      <c r="C144" s="50">
        <v>5</v>
      </c>
      <c r="D144" s="60">
        <v>36</v>
      </c>
      <c r="E144" s="51">
        <v>0.3</v>
      </c>
      <c r="F144" s="51">
        <v>0.4</v>
      </c>
      <c r="G144" s="51">
        <v>0</v>
      </c>
      <c r="H144" s="51">
        <v>0.3</v>
      </c>
      <c r="I144" s="57">
        <f t="shared" si="5"/>
        <v>11.333333333333334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>
        <v>44</v>
      </c>
      <c r="B145" s="60">
        <v>230</v>
      </c>
      <c r="C145" s="50">
        <v>6</v>
      </c>
      <c r="D145" s="60">
        <v>43</v>
      </c>
      <c r="E145" s="51">
        <v>0.4</v>
      </c>
      <c r="F145" s="51">
        <v>0.4</v>
      </c>
      <c r="G145" s="51">
        <v>0</v>
      </c>
      <c r="H145" s="51">
        <v>0.2</v>
      </c>
      <c r="I145" s="57">
        <f t="shared" si="5"/>
        <v>11.142857142857142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>
        <v>52</v>
      </c>
      <c r="B146" s="60">
        <v>270</v>
      </c>
      <c r="C146" s="50">
        <v>7</v>
      </c>
      <c r="D146" s="60">
        <v>49</v>
      </c>
      <c r="E146" s="51">
        <v>0.4</v>
      </c>
      <c r="F146" s="51">
        <v>0.4</v>
      </c>
      <c r="G146" s="51">
        <v>0</v>
      </c>
      <c r="H146" s="51">
        <v>0.2</v>
      </c>
      <c r="I146" s="57">
        <f t="shared" si="5"/>
        <v>10.375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>
        <v>60</v>
      </c>
      <c r="B147" s="60">
        <v>297</v>
      </c>
      <c r="C147" s="50">
        <v>8</v>
      </c>
      <c r="D147" s="60">
        <v>47</v>
      </c>
      <c r="E147" s="51">
        <v>0.5</v>
      </c>
      <c r="F147" s="51">
        <v>0.4</v>
      </c>
      <c r="G147" s="51">
        <v>0</v>
      </c>
      <c r="H147" s="51">
        <v>0.1</v>
      </c>
      <c r="I147" s="57">
        <f>IF(A147&lt;&gt;0,(B147-(B146-D146))/(A147-A146),"")</f>
        <v>9.5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>
        <v>69</v>
      </c>
      <c r="B148" s="60">
        <v>328</v>
      </c>
      <c r="C148" s="50" t="s">
        <v>325</v>
      </c>
      <c r="D148" s="60">
        <v>328</v>
      </c>
      <c r="E148" s="51">
        <v>0.5</v>
      </c>
      <c r="F148" s="51">
        <v>0.4</v>
      </c>
      <c r="G148" s="51">
        <v>0</v>
      </c>
      <c r="H148" s="51">
        <v>0.1</v>
      </c>
      <c r="I148" s="57">
        <f t="shared" si="5"/>
        <v>8.6666666666666661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>Robinier faux-acacia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>
        <v>5</v>
      </c>
      <c r="B166" s="60">
        <v>34</v>
      </c>
      <c r="C166" s="60">
        <v>1</v>
      </c>
      <c r="D166" s="60">
        <v>6</v>
      </c>
      <c r="E166" s="51">
        <v>0</v>
      </c>
      <c r="F166" s="51">
        <v>0</v>
      </c>
      <c r="G166" s="51">
        <v>0</v>
      </c>
      <c r="H166" s="51">
        <v>1</v>
      </c>
      <c r="I166" s="49">
        <f>IFERROR(B166/A166,"")</f>
        <v>6.8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>
        <v>10</v>
      </c>
      <c r="B167" s="60">
        <v>99</v>
      </c>
      <c r="C167" s="60">
        <v>2</v>
      </c>
      <c r="D167" s="60">
        <v>29</v>
      </c>
      <c r="E167" s="51">
        <v>0</v>
      </c>
      <c r="F167" s="51">
        <v>0</v>
      </c>
      <c r="G167" s="51">
        <v>0</v>
      </c>
      <c r="H167" s="51">
        <v>1</v>
      </c>
      <c r="I167" s="49">
        <f t="shared" ref="I167:I185" si="6">IF(A167&lt;&gt;0,(B167-(B166-D166))/(A167-A166),"")</f>
        <v>14.2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>
        <v>15</v>
      </c>
      <c r="B168" s="60">
        <v>140</v>
      </c>
      <c r="C168" s="60">
        <v>3</v>
      </c>
      <c r="D168" s="60">
        <v>23</v>
      </c>
      <c r="E168" s="51">
        <v>0</v>
      </c>
      <c r="F168" s="51">
        <v>0</v>
      </c>
      <c r="G168" s="51">
        <v>0</v>
      </c>
      <c r="H168" s="51">
        <v>1</v>
      </c>
      <c r="I168" s="49">
        <f t="shared" si="6"/>
        <v>14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>
        <v>20</v>
      </c>
      <c r="B169" s="60">
        <v>180</v>
      </c>
      <c r="C169" s="60">
        <v>4</v>
      </c>
      <c r="D169" s="60">
        <v>19</v>
      </c>
      <c r="E169" s="51">
        <v>0</v>
      </c>
      <c r="F169" s="51">
        <v>0</v>
      </c>
      <c r="G169" s="51">
        <v>0</v>
      </c>
      <c r="H169" s="51">
        <v>1</v>
      </c>
      <c r="I169" s="49">
        <f t="shared" si="6"/>
        <v>12.6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>
        <v>25</v>
      </c>
      <c r="B170" s="60">
        <v>214</v>
      </c>
      <c r="C170" s="60">
        <v>5</v>
      </c>
      <c r="D170" s="60">
        <v>14</v>
      </c>
      <c r="E170" s="51">
        <v>0</v>
      </c>
      <c r="F170" s="51">
        <v>0.5</v>
      </c>
      <c r="G170" s="51">
        <v>0</v>
      </c>
      <c r="H170" s="51">
        <v>0.5</v>
      </c>
      <c r="I170" s="49">
        <f t="shared" si="6"/>
        <v>10.6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>
        <v>30</v>
      </c>
      <c r="B171" s="60">
        <v>243</v>
      </c>
      <c r="C171" s="60">
        <v>6</v>
      </c>
      <c r="D171" s="60">
        <v>11</v>
      </c>
      <c r="E171" s="51">
        <v>0</v>
      </c>
      <c r="F171" s="51">
        <v>0.5</v>
      </c>
      <c r="G171" s="51">
        <v>0</v>
      </c>
      <c r="H171" s="51">
        <v>0.5</v>
      </c>
      <c r="I171" s="49">
        <f t="shared" si="6"/>
        <v>8.6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>
        <v>35</v>
      </c>
      <c r="B172" s="60">
        <v>267</v>
      </c>
      <c r="C172" s="60">
        <v>7</v>
      </c>
      <c r="D172" s="60">
        <v>9</v>
      </c>
      <c r="E172" s="51">
        <v>0</v>
      </c>
      <c r="F172" s="51">
        <v>0.5</v>
      </c>
      <c r="G172" s="51">
        <v>0</v>
      </c>
      <c r="H172" s="51">
        <v>0.5</v>
      </c>
      <c r="I172" s="49">
        <f t="shared" si="6"/>
        <v>7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>
        <v>40</v>
      </c>
      <c r="B173" s="50">
        <v>289</v>
      </c>
      <c r="C173" s="50">
        <v>8</v>
      </c>
      <c r="D173" s="50">
        <v>7</v>
      </c>
      <c r="E173" s="51">
        <v>0.3</v>
      </c>
      <c r="F173" s="51">
        <v>0.4</v>
      </c>
      <c r="G173" s="51">
        <v>0</v>
      </c>
      <c r="H173" s="51">
        <v>0.3</v>
      </c>
      <c r="I173" s="49">
        <f t="shared" si="6"/>
        <v>6.2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>
        <v>45</v>
      </c>
      <c r="B174" s="50">
        <v>312</v>
      </c>
      <c r="C174" s="50">
        <v>9</v>
      </c>
      <c r="D174" s="50">
        <v>7</v>
      </c>
      <c r="E174" s="51">
        <v>0.3</v>
      </c>
      <c r="F174" s="51">
        <v>0.4</v>
      </c>
      <c r="G174" s="51">
        <v>0</v>
      </c>
      <c r="H174" s="51">
        <v>0.3</v>
      </c>
      <c r="I174" s="49">
        <f t="shared" si="6"/>
        <v>6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>Pin maritime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>
        <v>15</v>
      </c>
      <c r="B192" s="60">
        <v>141.17692307692306</v>
      </c>
      <c r="C192" s="60">
        <v>1</v>
      </c>
      <c r="D192" s="60">
        <v>49.784615384615385</v>
      </c>
      <c r="E192" s="51">
        <v>0</v>
      </c>
      <c r="F192" s="51">
        <v>0.56000000000000005</v>
      </c>
      <c r="G192" s="51">
        <v>0.44</v>
      </c>
      <c r="H192" s="51">
        <v>0</v>
      </c>
      <c r="I192" s="49">
        <f>IFERROR(B192/A192,"")</f>
        <v>9.4117948717948714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>
        <v>20</v>
      </c>
      <c r="B193" s="60">
        <v>183.7076923076923</v>
      </c>
      <c r="C193" s="60">
        <v>2</v>
      </c>
      <c r="D193" s="60">
        <v>48.723076923076924</v>
      </c>
      <c r="E193" s="51">
        <v>0</v>
      </c>
      <c r="F193" s="51">
        <v>0.56000000000000005</v>
      </c>
      <c r="G193" s="51">
        <v>0.44</v>
      </c>
      <c r="H193" s="51">
        <v>0</v>
      </c>
      <c r="I193" s="49">
        <f t="shared" ref="I193:I211" si="7">IF(A193&lt;&gt;0,(B193-(B192-D192))/(A193-A192),"")</f>
        <v>18.463076923076926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>
        <v>26</v>
      </c>
      <c r="B194" s="60">
        <v>249.41538461538462</v>
      </c>
      <c r="C194" s="60">
        <v>3</v>
      </c>
      <c r="D194" s="60">
        <v>46.984615384615381</v>
      </c>
      <c r="E194" s="51">
        <v>0.7</v>
      </c>
      <c r="F194" s="51">
        <v>0.16800000000000001</v>
      </c>
      <c r="G194" s="51">
        <v>0.13200000000000001</v>
      </c>
      <c r="H194" s="51">
        <v>0</v>
      </c>
      <c r="I194" s="49">
        <f t="shared" si="7"/>
        <v>19.071794871794875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>
        <v>32</v>
      </c>
      <c r="B195" s="60">
        <v>318.7923076923077</v>
      </c>
      <c r="C195" s="60">
        <v>4</v>
      </c>
      <c r="D195" s="60">
        <v>64.523076923076914</v>
      </c>
      <c r="E195" s="51">
        <v>0.7</v>
      </c>
      <c r="F195" s="51">
        <v>0.16800000000000001</v>
      </c>
      <c r="G195" s="51">
        <v>0.13200000000000001</v>
      </c>
      <c r="H195" s="51">
        <v>0</v>
      </c>
      <c r="I195" s="49">
        <f t="shared" si="7"/>
        <v>19.393589743589743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>
        <v>40</v>
      </c>
      <c r="B196" s="60">
        <v>398.71538461538461</v>
      </c>
      <c r="C196" s="60">
        <v>5</v>
      </c>
      <c r="D196" s="60">
        <v>92.661538461538456</v>
      </c>
      <c r="E196" s="51">
        <v>0.7</v>
      </c>
      <c r="F196" s="51">
        <v>0.16800000000000001</v>
      </c>
      <c r="G196" s="51">
        <v>0.13200000000000001</v>
      </c>
      <c r="H196" s="51">
        <v>0</v>
      </c>
      <c r="I196" s="49">
        <f t="shared" si="7"/>
        <v>18.055769230769229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>
        <v>48</v>
      </c>
      <c r="B197" s="60">
        <v>427.74615384615385</v>
      </c>
      <c r="C197" s="60">
        <v>6</v>
      </c>
      <c r="D197" s="60">
        <v>83.969230769230762</v>
      </c>
      <c r="E197" s="51">
        <v>0.7</v>
      </c>
      <c r="F197" s="51">
        <v>0.16800000000000001</v>
      </c>
      <c r="G197" s="51">
        <v>0.13200000000000001</v>
      </c>
      <c r="H197" s="51">
        <v>0</v>
      </c>
      <c r="I197" s="49">
        <f t="shared" si="7"/>
        <v>15.21153846153846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>
        <v>56</v>
      </c>
      <c r="B198" s="60">
        <v>446.47692307692301</v>
      </c>
      <c r="C198" s="60">
        <v>7</v>
      </c>
      <c r="D198" s="60">
        <v>446.47692307692301</v>
      </c>
      <c r="E198" s="51">
        <v>0.7</v>
      </c>
      <c r="F198" s="51">
        <v>0.16800000000000001</v>
      </c>
      <c r="G198" s="51">
        <v>0.13200000000000001</v>
      </c>
      <c r="H198" s="51">
        <v>0</v>
      </c>
      <c r="I198" s="49">
        <f t="shared" si="7"/>
        <v>12.837499999999991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3" zoomScaleNormal="100" workbookViewId="0">
      <selection activeCell="B17" sqref="B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pubescent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Charme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Erable plane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Merisier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Robinier faux-acacia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Pin maritime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388.1278150896951</v>
      </c>
      <c r="T3" s="59">
        <f>IF('Données projet'!E9&gt;30,$R$33-$H$33,LOOKUP('Données projet'!$E$9,$A$3:$A$203,R3:R203)-LOOKUP('Données projet'!$E$9,$A$3:$A$203,$H$3:$H$203))</f>
        <v>232.26614607059227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424.89201140676084</v>
      </c>
      <c r="AO3" s="59">
        <f>IF('Données projet'!E10&gt;30,$AM$33-$H$33,LOOKUP('Données projet'!$E$10,$A$3:$A$203,AM3:AM203)-LOOKUP('Données projet'!$E$10,$A$3:$A$203,$H$3:$H$203))</f>
        <v>253.0016648946303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403.89478276355294</v>
      </c>
      <c r="BJ3" s="59">
        <f>IF('Données projet'!E11&gt;30,$BH$33-$H$33,LOOKUP('Données projet'!$E$11,$A$3:$A$203,BH3:BH203)-LOOKUP('Données projet'!$E$11,$A$3:$A$203,$H$3:$H$203))</f>
        <v>241.1593989733278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377.27600411578322</v>
      </c>
      <c r="CE3" s="59">
        <f>IF('Données projet'!E12&gt;30,$CC$33-$H$33,LOOKUP('Données projet'!$E$12,$A$3:$A$203,CC3:CC203)-LOOKUP('Données projet'!$E$12,$A$3:$A$203,$H$3:$H$203))</f>
        <v>364.58250627635425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165</v>
      </c>
      <c r="CY3" s="59">
        <f ca="1">AVERAGE(OFFSET($CX$3,0,0,'Données projet'!$E$13+1,1))-AVERAGE(OFFSET($H$3,0,0,'Données projet'!$E$13+1,1))</f>
        <v>308.82719216177946</v>
      </c>
      <c r="CZ3" s="59">
        <f>IF('Données projet'!E13&gt;30,$CX$33-$H$33,LOOKUP('Données projet'!$E$13,$A$3:$A$203,CX3:CX203)-LOOKUP('Données projet'!$E$13,$A$3:$A$203,$H$3:$H$203))</f>
        <v>302.59481222418219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165</v>
      </c>
      <c r="DT3" s="59">
        <f ca="1">AVERAGE(OFFSET($DS$3,0,0,'Données projet'!$E$14+1,1))-AVERAGE(OFFSET($H$3,0,0,'Données projet'!$E$14+1,1))</f>
        <v>376.51107072413777</v>
      </c>
      <c r="DU3" s="59">
        <f>IF('Données projet'!E14&gt;30,$DS$33-$H$33,LOOKUP('Données projet'!$E$14,$A$3:$A$203,DS3:DS203)-LOOKUP('Données projet'!$E$14,$A$3:$A$203,$H$3:$H$203))</f>
        <v>532.90758914457615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165</v>
      </c>
      <c r="EO3" s="59">
        <f ca="1">AVERAGE(OFFSET($EN$3,0,0,'Données projet'!$E$15+1,1))-AVERAGE(OFFSET($H$3,0,0,'Données projet'!$E$15+1,1))</f>
        <v>337.99164391755608</v>
      </c>
      <c r="EP3" s="59">
        <f>IF('Données projet'!E15&gt;30,$EN$33-$H$33,LOOKUP('Données projet'!$E$15,$A$3:$A$203,EN3:EN203)-LOOKUP('Données projet'!$E$15,$A$3:$A$203,$H$3:$H$203))</f>
        <v>421.45428231923393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2.9235042735042733</v>
      </c>
      <c r="N4" s="13">
        <f>IF('Données projet'!$A$36&gt;35,N3+M4-V3,IF(A4&lt;'Données projet'!$A$36,$K$205^A4,IF(A4='Données projet'!$A$36,'Données projet'!$B$36,N3+M4-V3)))</f>
        <v>1.1608269964373037</v>
      </c>
      <c r="O4" s="13">
        <f>N4*VLOOKUP('Données projet'!$B$9,Paramètres!$A$1:$I$89,3,0)*VLOOKUP('Données projet'!$B$9,Paramètres!$A$1:$I$89,5,0)</f>
        <v>1.0503162663764722</v>
      </c>
      <c r="P4" s="13">
        <f>EXP(-1.0587+0.8836*LN(O4)+0.284)</f>
        <v>0.48127189162287909</v>
      </c>
      <c r="Q4" s="20">
        <f t="shared" ref="Q4:Q34" si="2">(O4+P4)*0.475*44/12</f>
        <v>2.6675160418488701</v>
      </c>
      <c r="R4" s="59">
        <f t="shared" si="0"/>
        <v>170.47994999477271</v>
      </c>
      <c r="S4" s="59">
        <f ca="1">AVERAGE(OFFSET($R$3,0,0,'Données projet'!$E$9+1,1))-AVERAGE(OFFSET($H$3,0,0,'Données projet'!$E$9+1,1))</f>
        <v>388.1278150896951</v>
      </c>
      <c r="T4" s="59">
        <f>$T$3</f>
        <v>232.26614607059227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2.9235042735042733</v>
      </c>
      <c r="AI4" s="13">
        <f>IF('Données projet'!$A$62&gt;35,AI3+AH4-AQ3,IF(A4&lt;'Données projet'!$A$62,$AF$205^A4,IF(A4='Données projet'!$A$62,'Données projet'!$B$62,AI3+AH4-AQ3)))</f>
        <v>1.1608269964373037</v>
      </c>
      <c r="AJ4" s="13">
        <f>AI4*VLOOKUP('Données projet'!$B$10,Paramètres!$A$1:$I$89,3,0)*VLOOKUP('Données projet'!$B$10,Paramètres!$A$1:$I$89,5,0)</f>
        <v>1.1770785743874259</v>
      </c>
      <c r="AK4" s="13">
        <f>EXP(-1.0587+0.8836*LN(AJ4)+0.284)</f>
        <v>0.53225011573313319</v>
      </c>
      <c r="AL4" s="20">
        <f t="shared" ref="AL4:AL67" si="4">(AJ4+AK4)*0.475*44/12</f>
        <v>2.9770808019599735</v>
      </c>
      <c r="AM4" s="59">
        <f t="shared" ref="AM4:AM67" si="5">AL4+(AD4+AE4)*44/12</f>
        <v>170.78951475488381</v>
      </c>
      <c r="AN4" s="59">
        <f ca="1">AVERAGE(OFFSET($AM$3,0,0,'Données projet'!$E$10+1,1))-AVERAGE(OFFSET($H$3,0,0,'Données projet'!$E$10+1,1))</f>
        <v>424.89201140676084</v>
      </c>
      <c r="AO4" s="59">
        <f>$AO$3</f>
        <v>253.0016648946303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2.9235042735042733</v>
      </c>
      <c r="BD4" s="12">
        <f>IF('Données projet'!$A$88&gt;35,BD3+BC4-BL3,IF(A4&lt;'Données projet'!$A$88,$BA$205^A4,IF(A4='Données projet'!$A$88,'Données projet'!$B$88,BD3+BC4-BL3)))</f>
        <v>1.1608269964373037</v>
      </c>
      <c r="BE4" s="13">
        <f>BD4*VLOOKUP('Données projet'!$B$11,Paramètres!$A$1:$I$89,3,0)*VLOOKUP('Données projet'!$B$11,Paramètres!$A$1:$I$89,5,0)</f>
        <v>1.1046429698097382</v>
      </c>
      <c r="BF4" s="13">
        <f>EXP(-1.0587+0.8836*LN(BE4)+0.284)</f>
        <v>0.50320270245915544</v>
      </c>
      <c r="BG4" s="20">
        <f t="shared" ref="BG4:BG67" si="7">(BE4+BF4)*0.475*44/12</f>
        <v>2.80033121253499</v>
      </c>
      <c r="BH4" s="59">
        <f t="shared" ref="BH4:BH67" si="8">BG4+(AY4+AZ4)*44/12</f>
        <v>170.61276516545882</v>
      </c>
      <c r="BI4" s="59">
        <f ca="1">AVERAGE(OFFSET($BH$3,0,0,'Données projet'!$E$11+1,1))-AVERAGE(OFFSET($H$3,0,0,'Données projet'!$E$11+1,1))</f>
        <v>403.89478276355294</v>
      </c>
      <c r="BJ4" s="59">
        <f>$BJ$3</f>
        <v>241.1593989733278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1.1000000000000001</v>
      </c>
      <c r="BY4" s="12">
        <f>IF('Données projet'!$A$114&gt;35,BY3+BX4-CG3,IF(A4&lt;'Données projet'!$A$114,$BV$205^A4,IF(A4='Données projet'!$A$114,'Données projet'!$B$114,BY3+BX4-CG3)))</f>
        <v>1.2709816152101407</v>
      </c>
      <c r="BZ4" s="13">
        <f>BY4*VLOOKUP('Données projet'!$B$12,Paramètres!$A$1:$I$89,3,0)*VLOOKUP('Données projet'!$B$12,Paramètres!$A$1:$I$89,5,0)</f>
        <v>1.0111929730611879</v>
      </c>
      <c r="CA4" s="13">
        <f>EXP(-1.0587+0.8836*LN(BZ4)+0.284)</f>
        <v>0.46539683474213156</v>
      </c>
      <c r="CB4" s="20">
        <f t="shared" ref="CB4:CB67" si="10">(BZ4+CA4)*0.475*44/12</f>
        <v>2.5717272485907814</v>
      </c>
      <c r="CC4" s="59">
        <f t="shared" ref="CC4:CC67" si="11">CB4+(BT4+BU4)*44/12</f>
        <v>170.38416120151462</v>
      </c>
      <c r="CD4" s="59">
        <f ca="1">AVERAGE(OFFSET($CC$3,0,0,'Données projet'!$E$12+1,1))-AVERAGE(OFFSET($H$3,0,0,'Données projet'!$E$12+1,1))</f>
        <v>377.27600411578322</v>
      </c>
      <c r="CE4" s="59">
        <f>$CE$3</f>
        <v>364.58250627635425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2.6666666666666665</v>
      </c>
      <c r="CT4" s="12">
        <f>IF('Données projet'!$A$140&gt;35,CT3+CS4-DB3,IF(A4&lt;'Données projet'!$A$140,$CQ$205^A4,IF(A4='Données projet'!$A$140,'Données projet'!$B$140,CT3+CS4-DB3)))</f>
        <v>1.2788040393997409</v>
      </c>
      <c r="CU4" s="17">
        <f>CT4*VLOOKUP('Données projet'!$B$13,Paramètres!$A$1:$I$89,3,0)*VLOOKUP('Données projet'!$B$13,Paramètres!$A$1:$I$89,5,0)</f>
        <v>0.99746715073179792</v>
      </c>
      <c r="CV4" s="13">
        <f>EXP(-1.0587+0.8836*LN(CU4)+0.284)</f>
        <v>0.45981048445793882</v>
      </c>
      <c r="CW4" s="20">
        <f t="shared" ref="CW4:CW67" si="13">(CU4+CV4)*0.475*44/12</f>
        <v>2.5380918812887914</v>
      </c>
      <c r="CX4" s="59">
        <f t="shared" ref="CX4:CX67" si="14">CW4+(CO4+CP4)*44/12</f>
        <v>170.35052583421262</v>
      </c>
      <c r="CY4" s="59">
        <f ca="1">AVERAGE(OFFSET($CX$3,0,0,'Données projet'!$E$13+1,1))-AVERAGE(OFFSET($H$3,0,0,'Données projet'!$E$13+1,1))</f>
        <v>308.82719216177946</v>
      </c>
      <c r="CZ4" s="59">
        <f>$CZ$3</f>
        <v>302.59481222418219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6.8</v>
      </c>
      <c r="DO4" s="12">
        <f>IF('Données projet'!$A$166&gt;35,DO3+DN4-DW3,IF(A4&lt;'Données projet'!$A$166,$DL$205^A4,IF(A4='Données projet'!$A$166,'Données projet'!$B$166,DO3+DN4-DW3)))</f>
        <v>2.0243974584998852</v>
      </c>
      <c r="DP4" s="17">
        <f>DO4*VLOOKUP('Données projet'!$B$14,Paramètres!$A$1:$I$89,3,0)*VLOOKUP('Données projet'!$B$14,Paramètres!$A$1:$I$89,5,0)</f>
        <v>1.8316748204506961</v>
      </c>
      <c r="DQ4" s="13">
        <f>EXP(-1.0587+0.8836*LN(DP4)+0.284)</f>
        <v>0.78669228172688432</v>
      </c>
      <c r="DR4" s="20">
        <f t="shared" ref="DR4:DR67" si="16">(DP4+DQ4)*0.475*44/12</f>
        <v>4.5603227029592857</v>
      </c>
      <c r="DS4" s="59">
        <f t="shared" ref="DS4:DS67" si="17">DR4+(DJ4+DK4)*44/12</f>
        <v>172.37275665588314</v>
      </c>
      <c r="DT4" s="59">
        <f ca="1">AVERAGE(OFFSET($DS$3,0,0,'Données projet'!$E$14+1,1))-AVERAGE(OFFSET($H$3,0,0,'Données projet'!$E$14+1,1))</f>
        <v>376.51107072413777</v>
      </c>
      <c r="DU4" s="59">
        <f>$DU$3</f>
        <v>532.90758914457615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9.4117948717948714</v>
      </c>
      <c r="EJ4" s="12">
        <f>IF('Données projet'!$A$192&gt;35,EJ3+EI4-ER3,IF(A4&lt;'Données projet'!$A$192,$EG$205^A4,IF(A4='Données projet'!$A$192,'Données projet'!$B$192,EJ3+EI4-ER3)))</f>
        <v>1.3909694153327172</v>
      </c>
      <c r="EK4" s="17">
        <f>EJ4*VLOOKUP('Données projet'!$B$15,Paramètres!$A$1:$I$89,3,0)*VLOOKUP('Données projet'!$B$15,Paramètres!$A$1:$I$89,5,0)</f>
        <v>0.83179971036896505</v>
      </c>
      <c r="EL4" s="13">
        <f>EXP(-1.0587+0.8836*LN(EK4)+0.284)</f>
        <v>0.39163423183147406</v>
      </c>
      <c r="EM4" s="20">
        <f t="shared" ref="EM4:EM67" si="19">(EK4+EL4)*0.475*44/12</f>
        <v>2.1308141159990979</v>
      </c>
      <c r="EN4" s="59">
        <f t="shared" ref="EN4:EN67" si="20">EM4+(EE4+EF4)*44/12</f>
        <v>169.94324806892294</v>
      </c>
      <c r="EO4" s="59">
        <f ca="1">AVERAGE(OFFSET($EN$3,0,0,'Données projet'!$E$15+1,1))-AVERAGE(OFFSET($H$3,0,0,'Données projet'!$E$15+1,1))</f>
        <v>337.99164391755608</v>
      </c>
      <c r="EP4" s="59">
        <f>$EP$3</f>
        <v>421.45428231923393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2.9235042735042733</v>
      </c>
      <c r="N5" s="13">
        <f>IF('Données projet'!$A$36&gt;35,N4+M5-V4,IF(A5&lt;'Données projet'!$A$36,$K$205^A5,IF(A5='Données projet'!$A$36,'Données projet'!$B$36,N4+M5-V4)))</f>
        <v>1.3475193156576519</v>
      </c>
      <c r="O5" s="13">
        <f>N5*VLOOKUP('Données projet'!$B$9,Paramètres!$A$1:$I$89,3,0)*VLOOKUP('Données projet'!$B$9,Paramètres!$A$1:$I$89,5,0)</f>
        <v>1.2192354768070435</v>
      </c>
      <c r="P5" s="13">
        <f t="shared" ref="P5:P68" si="33">EXP(-1.0587+0.8836*LN(O5)+0.284)</f>
        <v>0.54905905766229002</v>
      </c>
      <c r="Q5" s="20">
        <f t="shared" si="2"/>
        <v>3.0797796475340888</v>
      </c>
      <c r="R5" s="59">
        <f t="shared" si="0"/>
        <v>173.67706093503492</v>
      </c>
      <c r="S5" s="59">
        <f ca="1">AVERAGE(OFFSET($R$3,0,0,'Données projet'!$E$9+1,1))-AVERAGE(OFFSET($H$3,0,0,'Données projet'!$E$9+1,1))</f>
        <v>388.1278150896951</v>
      </c>
      <c r="T5" s="59">
        <f t="shared" ref="T5:T68" si="34">$T$3</f>
        <v>232.26614607059227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2.9235042735042733</v>
      </c>
      <c r="AI5" s="13">
        <f>IF('Données projet'!$A$62&gt;35,AI4+AH5-AQ4,IF(A5&lt;'Données projet'!$A$62,$AF$205^A5,IF(A5='Données projet'!$A$62,'Données projet'!$B$62,AI4+AH5-AQ4)))</f>
        <v>1.3475193156576519</v>
      </c>
      <c r="AJ5" s="13">
        <f>AI5*VLOOKUP('Données projet'!$B$10,Paramètres!$A$1:$I$89,3,0)*VLOOKUP('Données projet'!$B$10,Paramètres!$A$1:$I$89,5,0)</f>
        <v>1.3663845860768591</v>
      </c>
      <c r="AK5" s="13">
        <f t="shared" ref="AK5:AK68" si="35">EXP(-1.0587+0.8836*LN(AJ5)+0.284)</f>
        <v>0.60721756676800354</v>
      </c>
      <c r="AL5" s="20">
        <f t="shared" si="4"/>
        <v>3.4373570828714688</v>
      </c>
      <c r="AM5" s="59">
        <f t="shared" si="5"/>
        <v>174.03463837037231</v>
      </c>
      <c r="AN5" s="59">
        <f ca="1">AVERAGE(OFFSET($AM$3,0,0,'Données projet'!$E$10+1,1))-AVERAGE(OFFSET($H$3,0,0,'Données projet'!$E$10+1,1))</f>
        <v>424.89201140676084</v>
      </c>
      <c r="AO5" s="59">
        <f t="shared" ref="AO5:AO68" si="36">$AO$3</f>
        <v>253.0016648946303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2.9235042735042733</v>
      </c>
      <c r="BD5" s="12">
        <f>IF('Données projet'!$A$88&gt;35,BD4+BC5-BL4,IF(A5&lt;'Données projet'!$A$88,$BA$205^A5,IF(A5='Données projet'!$A$88,'Données projet'!$B$88,BD4+BC5-BL4)))</f>
        <v>1.3475193156576519</v>
      </c>
      <c r="BE5" s="13">
        <f>BD5*VLOOKUP('Données projet'!$B$11,Paramètres!$A$1:$I$89,3,0)*VLOOKUP('Données projet'!$B$11,Paramètres!$A$1:$I$89,5,0)</f>
        <v>1.2822993807798215</v>
      </c>
      <c r="BF5" s="13">
        <f t="shared" ref="BF5:BF68" si="37">EXP(-1.0587+0.8836*LN(BE5)+0.284)</f>
        <v>0.57407882412097866</v>
      </c>
      <c r="BG5" s="20">
        <f t="shared" si="7"/>
        <v>3.2331920402022267</v>
      </c>
      <c r="BH5" s="59">
        <f t="shared" si="8"/>
        <v>173.83047332770306</v>
      </c>
      <c r="BI5" s="59">
        <f ca="1">AVERAGE(OFFSET($BH$3,0,0,'Données projet'!$E$11+1,1))-AVERAGE(OFFSET($H$3,0,0,'Données projet'!$E$11+1,1))</f>
        <v>403.89478276355294</v>
      </c>
      <c r="BJ5" s="59">
        <f t="shared" ref="BJ5:BJ68" si="38">$BJ$3</f>
        <v>241.1593989733278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1.1000000000000001</v>
      </c>
      <c r="BY5" s="12">
        <f>IF('Données projet'!$A$114&gt;35,BY4+BX5-CG4,IF(A5&lt;'Données projet'!$A$114,$BV$205^A5,IF(A5='Données projet'!$A$114,'Données projet'!$B$114,BY4+BX5-CG4)))</f>
        <v>1.6153942662021783</v>
      </c>
      <c r="BZ5" s="13">
        <f>BY5*VLOOKUP('Données projet'!$B$12,Paramètres!$A$1:$I$89,3,0)*VLOOKUP('Données projet'!$B$12,Paramètres!$A$1:$I$89,5,0)</f>
        <v>1.2852076781904531</v>
      </c>
      <c r="CA5" s="13">
        <f t="shared" ref="CA5:CA68" si="39">EXP(-1.0587+0.8836*LN(BZ5)+0.284)</f>
        <v>0.57522914588482876</v>
      </c>
      <c r="CB5" s="20">
        <f t="shared" si="10"/>
        <v>3.2402608019311159</v>
      </c>
      <c r="CC5" s="59">
        <f t="shared" si="11"/>
        <v>173.83754208943196</v>
      </c>
      <c r="CD5" s="59">
        <f ca="1">AVERAGE(OFFSET($CC$3,0,0,'Données projet'!$E$12+1,1))-AVERAGE(OFFSET($H$3,0,0,'Données projet'!$E$12+1,1))</f>
        <v>377.27600411578322</v>
      </c>
      <c r="CE5" s="59">
        <f t="shared" ref="CE5:CE68" si="40">$CE$3</f>
        <v>364.58250627635425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2.6666666666666665</v>
      </c>
      <c r="CT5" s="12">
        <f>IF('Données projet'!$A$140&gt;35,CT4+CS5-DB4,IF(A5&lt;'Données projet'!$A$140,$CQ$205^A5,IF(A5='Données projet'!$A$140,'Données projet'!$B$140,CT4+CS5-DB4)))</f>
        <v>1.6353397711850939</v>
      </c>
      <c r="CU5" s="17">
        <f>CT5*VLOOKUP('Données projet'!$B$13,Paramètres!$A$1:$I$89,3,0)*VLOOKUP('Données projet'!$B$13,Paramètres!$A$1:$I$89,5,0)</f>
        <v>1.2755650215243732</v>
      </c>
      <c r="CV5" s="13">
        <f t="shared" ref="CV5:CV68" si="41">EXP(-1.0587+0.8836*LN(CU5)+0.284)</f>
        <v>0.57141400910743001</v>
      </c>
      <c r="CW5" s="20">
        <f t="shared" si="13"/>
        <v>3.2168218116837237</v>
      </c>
      <c r="CX5" s="59">
        <f t="shared" si="14"/>
        <v>173.81410309918456</v>
      </c>
      <c r="CY5" s="59">
        <f ca="1">AVERAGE(OFFSET($CX$3,0,0,'Données projet'!$E$13+1,1))-AVERAGE(OFFSET($H$3,0,0,'Données projet'!$E$13+1,1))</f>
        <v>308.82719216177946</v>
      </c>
      <c r="CZ5" s="59">
        <f t="shared" ref="CZ5:CZ68" si="42">$CZ$3</f>
        <v>302.59481222418219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6.8</v>
      </c>
      <c r="DO5" s="12">
        <f>IF('Données projet'!$A$166&gt;35,DO4+DN5-DW4,IF(A5&lt;'Données projet'!$A$166,$DL$205^A5,IF(A5='Données projet'!$A$166,'Données projet'!$B$166,DO4+DN5-DW4)))</f>
        <v>4.0981850699807945</v>
      </c>
      <c r="DP5" s="17">
        <f>DO5*VLOOKUP('Données projet'!$B$14,Paramètres!$A$1:$I$89,3,0)*VLOOKUP('Données projet'!$B$14,Paramètres!$A$1:$I$89,5,0)</f>
        <v>3.7080378513186227</v>
      </c>
      <c r="DQ5" s="13">
        <f t="shared" ref="DQ5:DQ68" si="43">EXP(-1.0587+0.8836*LN(DP5)+0.284)</f>
        <v>1.4670598901857457</v>
      </c>
      <c r="DR5" s="20">
        <f t="shared" si="16"/>
        <v>9.0132952331201093</v>
      </c>
      <c r="DS5" s="59">
        <f t="shared" si="17"/>
        <v>179.61057652062095</v>
      </c>
      <c r="DT5" s="59">
        <f ca="1">AVERAGE(OFFSET($DS$3,0,0,'Données projet'!$E$14+1,1))-AVERAGE(OFFSET($H$3,0,0,'Données projet'!$E$14+1,1))</f>
        <v>376.51107072413777</v>
      </c>
      <c r="DU5" s="59">
        <f t="shared" ref="DU5:DU68" si="44">$DU$3</f>
        <v>532.90758914457615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9.4117948717948714</v>
      </c>
      <c r="EJ5" s="12">
        <f>IF('Données projet'!$A$192&gt;35,EJ4+EI5-ER4,IF(A5&lt;'Données projet'!$A$192,$EG$205^A5,IF(A5='Données projet'!$A$192,'Données projet'!$B$192,EJ4+EI5-ER4)))</f>
        <v>1.9347959143910411</v>
      </c>
      <c r="EK5" s="17">
        <f>EJ5*VLOOKUP('Données projet'!$B$15,Paramètres!$A$1:$I$89,3,0)*VLOOKUP('Données projet'!$B$15,Paramètres!$A$1:$I$89,5,0)</f>
        <v>1.1570079568058427</v>
      </c>
      <c r="EL5" s="13">
        <f t="shared" ref="EL5:EL68" si="45">EXP(-1.0587+0.8836*LN(EK5)+0.284)</f>
        <v>0.52422298600197004</v>
      </c>
      <c r="EM5" s="20">
        <f t="shared" si="19"/>
        <v>2.9281438920569403</v>
      </c>
      <c r="EN5" s="59">
        <f t="shared" si="20"/>
        <v>173.52542517955777</v>
      </c>
      <c r="EO5" s="59">
        <f ca="1">AVERAGE(OFFSET($EN$3,0,0,'Données projet'!$E$15+1,1))-AVERAGE(OFFSET($H$3,0,0,'Données projet'!$E$15+1,1))</f>
        <v>337.99164391755608</v>
      </c>
      <c r="EP5" s="59">
        <f t="shared" ref="EP5:EP68" si="46">$EP$3</f>
        <v>421.45428231923393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2.9235042735042733</v>
      </c>
      <c r="N6" s="13">
        <f>IF('Données projet'!$A$36&gt;35,N5+M6-V5,IF(A6&lt;'Données projet'!$A$36,$K$205^A6,IF(A6='Données projet'!$A$36,'Données projet'!$B$36,N5+M6-V5)))</f>
        <v>1.5642367998361231</v>
      </c>
      <c r="O6" s="13">
        <f>N6*VLOOKUP('Données projet'!$B$9,Paramètres!$A$1:$I$89,3,0)*VLOOKUP('Données projet'!$B$9,Paramètres!$A$1:$I$89,5,0)</f>
        <v>1.415321456491724</v>
      </c>
      <c r="P6" s="13">
        <f t="shared" si="33"/>
        <v>0.62639404887004735</v>
      </c>
      <c r="Q6" s="20">
        <f t="shared" si="2"/>
        <v>3.5559878385050854</v>
      </c>
      <c r="R6" s="59">
        <f t="shared" si="0"/>
        <v>176.91100840838996</v>
      </c>
      <c r="S6" s="59">
        <f ca="1">AVERAGE(OFFSET($R$3,0,0,'Données projet'!$E$9+1,1))-AVERAGE(OFFSET($H$3,0,0,'Données projet'!$E$9+1,1))</f>
        <v>388.1278150896951</v>
      </c>
      <c r="T6" s="59">
        <f t="shared" si="34"/>
        <v>232.26614607059227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2.9235042735042733</v>
      </c>
      <c r="AI6" s="13">
        <f>IF('Données projet'!$A$62&gt;35,AI5+AH6-AQ5,IF(A6&lt;'Données projet'!$A$62,$AF$205^A6,IF(A6='Données projet'!$A$62,'Données projet'!$B$62,AI5+AH6-AQ5)))</f>
        <v>1.5642367998361231</v>
      </c>
      <c r="AJ6" s="13">
        <f>AI6*VLOOKUP('Données projet'!$B$10,Paramètres!$A$1:$I$89,3,0)*VLOOKUP('Données projet'!$B$10,Paramètres!$A$1:$I$89,5,0)</f>
        <v>1.5861361150338289</v>
      </c>
      <c r="AK6" s="13">
        <f t="shared" si="35"/>
        <v>0.69274418641277524</v>
      </c>
      <c r="AL6" s="20">
        <f t="shared" si="4"/>
        <v>3.969049858352836</v>
      </c>
      <c r="AM6" s="59">
        <f t="shared" si="5"/>
        <v>177.32407042823772</v>
      </c>
      <c r="AN6" s="59">
        <f ca="1">AVERAGE(OFFSET($AM$3,0,0,'Données projet'!$E$10+1,1))-AVERAGE(OFFSET($H$3,0,0,'Données projet'!$E$10+1,1))</f>
        <v>424.89201140676084</v>
      </c>
      <c r="AO6" s="59">
        <f t="shared" si="36"/>
        <v>253.0016648946303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2.9235042735042733</v>
      </c>
      <c r="BD6" s="12">
        <f>IF('Données projet'!$A$88&gt;35,BD5+BC6-BL5,IF(A6&lt;'Données projet'!$A$88,$BA$205^A6,IF(A6='Données projet'!$A$88,'Données projet'!$B$88,BD5+BC6-BL5)))</f>
        <v>1.5642367998361231</v>
      </c>
      <c r="BE6" s="13">
        <f>BD6*VLOOKUP('Données projet'!$B$11,Paramètres!$A$1:$I$89,3,0)*VLOOKUP('Données projet'!$B$11,Paramètres!$A$1:$I$89,5,0)</f>
        <v>1.4885277387240547</v>
      </c>
      <c r="BF6" s="13">
        <f t="shared" si="37"/>
        <v>0.6549378504796014</v>
      </c>
      <c r="BG6" s="20">
        <f t="shared" si="7"/>
        <v>3.7332025678630338</v>
      </c>
      <c r="BH6" s="59">
        <f t="shared" si="8"/>
        <v>177.08822313774792</v>
      </c>
      <c r="BI6" s="59">
        <f ca="1">AVERAGE(OFFSET($BH$3,0,0,'Données projet'!$E$11+1,1))-AVERAGE(OFFSET($H$3,0,0,'Données projet'!$E$11+1,1))</f>
        <v>403.89478276355294</v>
      </c>
      <c r="BJ6" s="59">
        <f t="shared" si="38"/>
        <v>241.1593989733278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1.1000000000000001</v>
      </c>
      <c r="BY6" s="12">
        <f>IF('Données projet'!$A$114&gt;35,BY5+BX6-CG5,IF(A6&lt;'Données projet'!$A$114,$BV$205^A6,IF(A6='Données projet'!$A$114,'Données projet'!$B$114,BY5+BX6-CG5)))</f>
        <v>2.0531364136588448</v>
      </c>
      <c r="BZ6" s="13">
        <f>BY6*VLOOKUP('Données projet'!$B$12,Paramètres!$A$1:$I$89,3,0)*VLOOKUP('Données projet'!$B$12,Paramètres!$A$1:$I$89,5,0)</f>
        <v>1.6334753307069771</v>
      </c>
      <c r="CA6" s="13">
        <f t="shared" si="39"/>
        <v>0.71098156578295024</v>
      </c>
      <c r="CB6" s="20">
        <f t="shared" si="10"/>
        <v>4.0832624280532892</v>
      </c>
      <c r="CC6" s="59">
        <f t="shared" si="11"/>
        <v>177.43828299793819</v>
      </c>
      <c r="CD6" s="59">
        <f ca="1">AVERAGE(OFFSET($CC$3,0,0,'Données projet'!$E$12+1,1))-AVERAGE(OFFSET($H$3,0,0,'Données projet'!$E$12+1,1))</f>
        <v>377.27600411578322</v>
      </c>
      <c r="CE6" s="59">
        <f t="shared" si="40"/>
        <v>364.58250627635425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2.6666666666666665</v>
      </c>
      <c r="CT6" s="12">
        <f>IF('Données projet'!$A$140&gt;35,CT5+CS6-DB5,IF(A6&lt;'Données projet'!$A$140,$CQ$205^A6,IF(A6='Données projet'!$A$140,'Données projet'!$B$140,CT5+CS6-DB5)))</f>
        <v>2.0912791051825459</v>
      </c>
      <c r="CU6" s="17">
        <f>CT6*VLOOKUP('Données projet'!$B$13,Paramètres!$A$1:$I$89,3,0)*VLOOKUP('Données projet'!$B$13,Paramètres!$A$1:$I$89,5,0)</f>
        <v>1.6311977020423858</v>
      </c>
      <c r="CV6" s="13">
        <f t="shared" si="41"/>
        <v>0.71010553443370616</v>
      </c>
      <c r="CW6" s="20">
        <f t="shared" si="13"/>
        <v>4.0777698035291934</v>
      </c>
      <c r="CX6" s="59">
        <f t="shared" si="14"/>
        <v>177.43279037341409</v>
      </c>
      <c r="CY6" s="59">
        <f ca="1">AVERAGE(OFFSET($CX$3,0,0,'Données projet'!$E$13+1,1))-AVERAGE(OFFSET($H$3,0,0,'Données projet'!$E$13+1,1))</f>
        <v>308.82719216177946</v>
      </c>
      <c r="CZ6" s="59">
        <f t="shared" si="42"/>
        <v>302.59481222418219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6.8</v>
      </c>
      <c r="DO6" s="12">
        <f>IF('Données projet'!$A$166&gt;35,DO5+DN6-DW5,IF(A6&lt;'Données projet'!$A$166,$DL$205^A6,IF(A6='Données projet'!$A$166,'Données projet'!$B$166,DO5+DN6-DW5)))</f>
        <v>8.2963554401312951</v>
      </c>
      <c r="DP6" s="17">
        <f>DO6*VLOOKUP('Données projet'!$B$14,Paramètres!$A$1:$I$89,3,0)*VLOOKUP('Données projet'!$B$14,Paramètres!$A$1:$I$89,5,0)</f>
        <v>7.5065424022307949</v>
      </c>
      <c r="DQ6" s="13">
        <f t="shared" si="43"/>
        <v>2.7358406474604431</v>
      </c>
      <c r="DR6" s="20">
        <f t="shared" si="16"/>
        <v>17.838817144878906</v>
      </c>
      <c r="DS6" s="59">
        <f t="shared" si="17"/>
        <v>191.19383771476379</v>
      </c>
      <c r="DT6" s="59">
        <f ca="1">AVERAGE(OFFSET($DS$3,0,0,'Données projet'!$E$14+1,1))-AVERAGE(OFFSET($H$3,0,0,'Données projet'!$E$14+1,1))</f>
        <v>376.51107072413777</v>
      </c>
      <c r="DU6" s="59">
        <f t="shared" si="44"/>
        <v>532.90758914457615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9.4117948717948714</v>
      </c>
      <c r="EJ6" s="12">
        <f>IF('Données projet'!$A$192&gt;35,EJ5+EI6-ER5,IF(A6&lt;'Données projet'!$A$192,$EG$205^A6,IF(A6='Données projet'!$A$192,'Données projet'!$B$192,EJ5+EI6-ER5)))</f>
        <v>2.6912419418286366</v>
      </c>
      <c r="EK6" s="17">
        <f>EJ6*VLOOKUP('Données projet'!$B$15,Paramètres!$A$1:$I$89,3,0)*VLOOKUP('Données projet'!$B$15,Paramètres!$A$1:$I$89,5,0)</f>
        <v>1.6093626812135247</v>
      </c>
      <c r="EL6" s="13">
        <f t="shared" si="45"/>
        <v>0.70169999636568137</v>
      </c>
      <c r="EM6" s="20">
        <f t="shared" si="19"/>
        <v>4.0251008301171156</v>
      </c>
      <c r="EN6" s="59">
        <f t="shared" si="20"/>
        <v>177.380121400002</v>
      </c>
      <c r="EO6" s="59">
        <f ca="1">AVERAGE(OFFSET($EN$3,0,0,'Données projet'!$E$15+1,1))-AVERAGE(OFFSET($H$3,0,0,'Données projet'!$E$15+1,1))</f>
        <v>337.99164391755608</v>
      </c>
      <c r="EP6" s="59">
        <f t="shared" si="46"/>
        <v>421.45428231923393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2.9235042735042733</v>
      </c>
      <c r="N7" s="13">
        <f>IF('Données projet'!$A$36&gt;35,N6+M7-V6,IF(A7&lt;'Données projet'!$A$36,$K$205^A7,IF(A7='Données projet'!$A$36,'Données projet'!$B$36,N6+M7-V6)))</f>
        <v>1.8158083060704666</v>
      </c>
      <c r="O7" s="13">
        <f>N7*VLOOKUP('Données projet'!$B$9,Paramètres!$A$1:$I$89,3,0)*VLOOKUP('Données projet'!$B$9,Paramètres!$A$1:$I$89,5,0)</f>
        <v>1.6429433553325583</v>
      </c>
      <c r="P7" s="13">
        <f t="shared" si="33"/>
        <v>0.71462167681995736</v>
      </c>
      <c r="Q7" s="20">
        <f t="shared" si="2"/>
        <v>4.1060924309989639</v>
      </c>
      <c r="R7" s="59">
        <f t="shared" si="0"/>
        <v>180.1922144951759</v>
      </c>
      <c r="S7" s="59">
        <f ca="1">AVERAGE(OFFSET($R$3,0,0,'Données projet'!$E$9+1,1))-AVERAGE(OFFSET($H$3,0,0,'Données projet'!$E$9+1,1))</f>
        <v>388.1278150896951</v>
      </c>
      <c r="T7" s="59">
        <f t="shared" si="34"/>
        <v>232.26614607059227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2.9235042735042733</v>
      </c>
      <c r="AI7" s="13">
        <f>IF('Données projet'!$A$62&gt;35,AI6+AH7-AQ6,IF(A7&lt;'Données projet'!$A$62,$AF$205^A7,IF(A7='Données projet'!$A$62,'Données projet'!$B$62,AI6+AH7-AQ6)))</f>
        <v>1.8158083060704666</v>
      </c>
      <c r="AJ7" s="13">
        <f>AI7*VLOOKUP('Données projet'!$B$10,Paramètres!$A$1:$I$89,3,0)*VLOOKUP('Données projet'!$B$10,Paramètres!$A$1:$I$89,5,0)</f>
        <v>1.8412296223554532</v>
      </c>
      <c r="AK7" s="13">
        <f t="shared" si="35"/>
        <v>0.7903172340072443</v>
      </c>
      <c r="AL7" s="20">
        <f t="shared" si="4"/>
        <v>4.5832774414983648</v>
      </c>
      <c r="AM7" s="59">
        <f t="shared" si="5"/>
        <v>180.6693995056753</v>
      </c>
      <c r="AN7" s="59">
        <f ca="1">AVERAGE(OFFSET($AM$3,0,0,'Données projet'!$E$10+1,1))-AVERAGE(OFFSET($H$3,0,0,'Données projet'!$E$10+1,1))</f>
        <v>424.89201140676084</v>
      </c>
      <c r="AO7" s="59">
        <f t="shared" si="36"/>
        <v>253.0016648946303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2.9235042735042733</v>
      </c>
      <c r="BD7" s="12">
        <f>IF('Données projet'!$A$88&gt;35,BD6+BC7-BL6,IF(A7&lt;'Données projet'!$A$88,$BA$205^A7,IF(A7='Données projet'!$A$88,'Données projet'!$B$88,BD6+BC7-BL6)))</f>
        <v>1.8158083060704666</v>
      </c>
      <c r="BE7" s="13">
        <f>BD7*VLOOKUP('Données projet'!$B$11,Paramètres!$A$1:$I$89,3,0)*VLOOKUP('Données projet'!$B$11,Paramètres!$A$1:$I$89,5,0)</f>
        <v>1.727923184056656</v>
      </c>
      <c r="BF7" s="13">
        <f t="shared" si="37"/>
        <v>0.7471858740785865</v>
      </c>
      <c r="BG7" s="20">
        <f t="shared" si="7"/>
        <v>4.3108149429188805</v>
      </c>
      <c r="BH7" s="59">
        <f t="shared" si="8"/>
        <v>180.39693700709583</v>
      </c>
      <c r="BI7" s="59">
        <f ca="1">AVERAGE(OFFSET($BH$3,0,0,'Données projet'!$E$11+1,1))-AVERAGE(OFFSET($H$3,0,0,'Données projet'!$E$11+1,1))</f>
        <v>403.89478276355294</v>
      </c>
      <c r="BJ7" s="59">
        <f t="shared" si="38"/>
        <v>241.1593989733278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1.1000000000000001</v>
      </c>
      <c r="BY7" s="12">
        <f>IF('Données projet'!$A$114&gt;35,BY6+BX7-CG6,IF(A7&lt;'Données projet'!$A$114,$BV$205^A7,IF(A7='Données projet'!$A$114,'Données projet'!$B$114,BY6+BX7-CG6)))</f>
        <v>2.6094986352788743</v>
      </c>
      <c r="BZ7" s="13">
        <f>BY7*VLOOKUP('Données projet'!$B$12,Paramètres!$A$1:$I$89,3,0)*VLOOKUP('Données projet'!$B$12,Paramètres!$A$1:$I$89,5,0)</f>
        <v>2.0761171142278725</v>
      </c>
      <c r="CA7" s="13">
        <f t="shared" si="39"/>
        <v>0.87877116536856548</v>
      </c>
      <c r="CB7" s="20">
        <f t="shared" si="10"/>
        <v>5.14643042029713</v>
      </c>
      <c r="CC7" s="59">
        <f t="shared" si="11"/>
        <v>181.23255248447407</v>
      </c>
      <c r="CD7" s="59">
        <f ca="1">AVERAGE(OFFSET($CC$3,0,0,'Données projet'!$E$12+1,1))-AVERAGE(OFFSET($H$3,0,0,'Données projet'!$E$12+1,1))</f>
        <v>377.27600411578322</v>
      </c>
      <c r="CE7" s="59">
        <f t="shared" si="40"/>
        <v>364.58250627635425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2.6666666666666665</v>
      </c>
      <c r="CT7" s="12">
        <f>IF('Données projet'!$A$140&gt;35,CT6+CS7-DB6,IF(A7&lt;'Données projet'!$A$140,$CQ$205^A7,IF(A7='Données projet'!$A$140,'Données projet'!$B$140,CT6+CS7-DB6)))</f>
        <v>2.6743361672197152</v>
      </c>
      <c r="CU7" s="17">
        <f>CT7*VLOOKUP('Données projet'!$B$13,Paramètres!$A$1:$I$89,3,0)*VLOOKUP('Données projet'!$B$13,Paramètres!$A$1:$I$89,5,0)</f>
        <v>2.0859822104313781</v>
      </c>
      <c r="CV7" s="13">
        <f t="shared" si="41"/>
        <v>0.88245976121767966</v>
      </c>
      <c r="CW7" s="20">
        <f t="shared" si="13"/>
        <v>5.1700364339554419</v>
      </c>
      <c r="CX7" s="59">
        <f t="shared" si="14"/>
        <v>181.25615849813238</v>
      </c>
      <c r="CY7" s="59">
        <f ca="1">AVERAGE(OFFSET($CX$3,0,0,'Données projet'!$E$13+1,1))-AVERAGE(OFFSET($H$3,0,0,'Données projet'!$E$13+1,1))</f>
        <v>308.82719216177946</v>
      </c>
      <c r="CZ7" s="59">
        <f t="shared" si="42"/>
        <v>302.59481222418219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6.8</v>
      </c>
      <c r="DO7" s="12">
        <f>IF('Données projet'!$A$166&gt;35,DO6+DN7-DW6,IF(A7&lt;'Données projet'!$A$166,$DL$205^A7,IF(A7='Données projet'!$A$166,'Données projet'!$B$166,DO6+DN7-DW6)))</f>
        <v>16.795120867813488</v>
      </c>
      <c r="DP7" s="17">
        <f>DO7*VLOOKUP('Données projet'!$B$14,Paramètres!$A$1:$I$89,3,0)*VLOOKUP('Données projet'!$B$14,Paramètres!$A$1:$I$89,5,0)</f>
        <v>15.196225361197643</v>
      </c>
      <c r="DQ7" s="13">
        <f t="shared" si="43"/>
        <v>5.1019212633160578</v>
      </c>
      <c r="DR7" s="20">
        <f t="shared" si="16"/>
        <v>35.352605371028027</v>
      </c>
      <c r="DS7" s="59">
        <f t="shared" si="17"/>
        <v>211.43872743520498</v>
      </c>
      <c r="DT7" s="59">
        <f ca="1">AVERAGE(OFFSET($DS$3,0,0,'Données projet'!$E$14+1,1))-AVERAGE(OFFSET($H$3,0,0,'Données projet'!$E$14+1,1))</f>
        <v>376.51107072413777</v>
      </c>
      <c r="DU7" s="59">
        <f t="shared" si="44"/>
        <v>532.90758914457615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9.4117948717948714</v>
      </c>
      <c r="EJ7" s="12">
        <f>IF('Données projet'!$A$192&gt;35,EJ6+EI7-ER6,IF(A7&lt;'Données projet'!$A$192,$EG$205^A7,IF(A7='Données projet'!$A$192,'Données projet'!$B$192,EJ6+EI7-ER6)))</f>
        <v>3.7434352303442648</v>
      </c>
      <c r="EK7" s="17">
        <f>EJ7*VLOOKUP('Données projet'!$B$15,Paramètres!$A$1:$I$89,3,0)*VLOOKUP('Données projet'!$B$15,Paramètres!$A$1:$I$89,5,0)</f>
        <v>2.2385742677458706</v>
      </c>
      <c r="EL7" s="13">
        <f t="shared" si="45"/>
        <v>0.93926229495351976</v>
      </c>
      <c r="EM7" s="20">
        <f t="shared" si="19"/>
        <v>5.5347320133681039</v>
      </c>
      <c r="EN7" s="59">
        <f t="shared" si="20"/>
        <v>181.62085407754506</v>
      </c>
      <c r="EO7" s="59">
        <f ca="1">AVERAGE(OFFSET($EN$3,0,0,'Données projet'!$E$15+1,1))-AVERAGE(OFFSET($H$3,0,0,'Données projet'!$E$15+1,1))</f>
        <v>337.99164391755608</v>
      </c>
      <c r="EP7" s="59">
        <f t="shared" si="46"/>
        <v>421.45428231923393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2.9235042735042733</v>
      </c>
      <c r="N8" s="13">
        <f>IF('Données projet'!$A$36&gt;35,N7+M8-V7,IF(A8&lt;'Données projet'!$A$36,$K$205^A8,IF(A8='Données projet'!$A$36,'Données projet'!$B$36,N7+M8-V7)))</f>
        <v>2.1078393020416879</v>
      </c>
      <c r="O8" s="13">
        <f>N8*VLOOKUP('Données projet'!$B$9,Paramètres!$A$1:$I$89,3,0)*VLOOKUP('Données projet'!$B$9,Paramètres!$A$1:$I$89,5,0)</f>
        <v>1.9071730004873191</v>
      </c>
      <c r="P8" s="13">
        <f t="shared" si="33"/>
        <v>0.81527616985217366</v>
      </c>
      <c r="Q8" s="20">
        <f t="shared" si="2"/>
        <v>4.7415989716746161</v>
      </c>
      <c r="R8" s="59">
        <f t="shared" si="0"/>
        <v>183.53264684812197</v>
      </c>
      <c r="S8" s="59">
        <f ca="1">AVERAGE(OFFSET($R$3,0,0,'Données projet'!$E$9+1,1))-AVERAGE(OFFSET($H$3,0,0,'Données projet'!$E$9+1,1))</f>
        <v>388.1278150896951</v>
      </c>
      <c r="T8" s="59">
        <f t="shared" si="34"/>
        <v>232.26614607059227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2.9235042735042733</v>
      </c>
      <c r="AI8" s="13">
        <f>IF('Données projet'!$A$62&gt;35,AI7+AH8-AQ7,IF(A8&lt;'Données projet'!$A$62,$AF$205^A8,IF(A8='Données projet'!$A$62,'Données projet'!$B$62,AI7+AH8-AQ7)))</f>
        <v>2.1078393020416879</v>
      </c>
      <c r="AJ8" s="13">
        <f>AI8*VLOOKUP('Données projet'!$B$10,Paramètres!$A$1:$I$89,3,0)*VLOOKUP('Données projet'!$B$10,Paramètres!$A$1:$I$89,5,0)</f>
        <v>2.1373490522702716</v>
      </c>
      <c r="AK8" s="13">
        <f t="shared" si="35"/>
        <v>0.90163344943134527</v>
      </c>
      <c r="AL8" s="20">
        <f t="shared" si="4"/>
        <v>5.2928945237969822</v>
      </c>
      <c r="AM8" s="59">
        <f t="shared" si="5"/>
        <v>184.08394240024433</v>
      </c>
      <c r="AN8" s="59">
        <f ca="1">AVERAGE(OFFSET($AM$3,0,0,'Données projet'!$E$10+1,1))-AVERAGE(OFFSET($H$3,0,0,'Données projet'!$E$10+1,1))</f>
        <v>424.89201140676084</v>
      </c>
      <c r="AO8" s="59">
        <f t="shared" si="36"/>
        <v>253.0016648946303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2.9235042735042733</v>
      </c>
      <c r="BD8" s="12">
        <f>IF('Données projet'!$A$88&gt;35,BD7+BC8-BL7,IF(A8&lt;'Données projet'!$A$88,$BA$205^A8,IF(A8='Données projet'!$A$88,'Données projet'!$B$88,BD7+BC8-BL7)))</f>
        <v>2.1078393020416879</v>
      </c>
      <c r="BE8" s="13">
        <f>BD8*VLOOKUP('Données projet'!$B$11,Paramètres!$A$1:$I$89,3,0)*VLOOKUP('Données projet'!$B$11,Paramètres!$A$1:$I$89,5,0)</f>
        <v>2.0058198798228699</v>
      </c>
      <c r="BF8" s="13">
        <f t="shared" si="37"/>
        <v>0.85242703565499545</v>
      </c>
      <c r="BG8" s="20">
        <f t="shared" si="7"/>
        <v>4.9781133777906152</v>
      </c>
      <c r="BH8" s="59">
        <f t="shared" si="8"/>
        <v>183.76916125423796</v>
      </c>
      <c r="BI8" s="59">
        <f ca="1">AVERAGE(OFFSET($BH$3,0,0,'Données projet'!$E$11+1,1))-AVERAGE(OFFSET($H$3,0,0,'Données projet'!$E$11+1,1))</f>
        <v>403.89478276355294</v>
      </c>
      <c r="BJ8" s="59">
        <f t="shared" si="38"/>
        <v>241.1593989733278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1.1000000000000001</v>
      </c>
      <c r="BY8" s="12">
        <f>IF('Données projet'!$A$114&gt;35,BY7+BX8-CG7,IF(A8&lt;'Données projet'!$A$114,$BV$205^A8,IF(A8='Données projet'!$A$114,'Données projet'!$B$114,BY7+BX8-CG7)))</f>
        <v>3.3166247903554016</v>
      </c>
      <c r="BZ8" s="13">
        <f>BY8*VLOOKUP('Données projet'!$B$12,Paramètres!$A$1:$I$89,3,0)*VLOOKUP('Données projet'!$B$12,Paramètres!$A$1:$I$89,5,0)</f>
        <v>2.6387066832067574</v>
      </c>
      <c r="CA8" s="13">
        <f t="shared" si="39"/>
        <v>1.0861586266766543</v>
      </c>
      <c r="CB8" s="20">
        <f t="shared" si="10"/>
        <v>6.4874737480469413</v>
      </c>
      <c r="CC8" s="59">
        <f t="shared" si="11"/>
        <v>185.27852162449429</v>
      </c>
      <c r="CD8" s="59">
        <f ca="1">AVERAGE(OFFSET($CC$3,0,0,'Données projet'!$E$12+1,1))-AVERAGE(OFFSET($H$3,0,0,'Données projet'!$E$12+1,1))</f>
        <v>377.27600411578322</v>
      </c>
      <c r="CE8" s="59">
        <f t="shared" si="40"/>
        <v>364.58250627635425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2.6666666666666665</v>
      </c>
      <c r="CT8" s="12">
        <f>IF('Données projet'!$A$140&gt;35,CT7+CS8-DB7,IF(A8&lt;'Données projet'!$A$140,$CQ$205^A8,IF(A8='Données projet'!$A$140,'Données projet'!$B$140,CT7+CS8-DB7)))</f>
        <v>3.4199518933533928</v>
      </c>
      <c r="CU8" s="17">
        <f>CT8*VLOOKUP('Données projet'!$B$13,Paramètres!$A$1:$I$89,3,0)*VLOOKUP('Données projet'!$B$13,Paramètres!$A$1:$I$89,5,0)</f>
        <v>2.6675624768156463</v>
      </c>
      <c r="CV8" s="13">
        <f t="shared" si="41"/>
        <v>1.0966471776471767</v>
      </c>
      <c r="CW8" s="20">
        <f t="shared" si="13"/>
        <v>6.5559984815227494</v>
      </c>
      <c r="CX8" s="59">
        <f t="shared" si="14"/>
        <v>185.3470463579701</v>
      </c>
      <c r="CY8" s="59">
        <f ca="1">AVERAGE(OFFSET($CX$3,0,0,'Données projet'!$E$13+1,1))-AVERAGE(OFFSET($H$3,0,0,'Données projet'!$E$13+1,1))</f>
        <v>308.82719216177946</v>
      </c>
      <c r="CZ8" s="59">
        <f t="shared" si="42"/>
        <v>302.59481222418219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>
        <f>VLOOKUP(A8,'Données projet'!$A$165:$I$185,2,0)</f>
        <v>34</v>
      </c>
      <c r="DM8" s="12">
        <f>VLOOKUP(A8,'Données projet'!$A$165:$I$185,9,0)</f>
        <v>6.8</v>
      </c>
      <c r="DN8" s="12">
        <f t="array" ref="DN8">INDEX(DM:DM,MIN(IF(ISNUMBER(DM8:DM204),ROW(DM8:DM204),"")))</f>
        <v>6.8</v>
      </c>
      <c r="DO8" s="12">
        <f>IF('Données projet'!$A$166&gt;35,DO7+DN8-DW7,IF(A8&lt;'Données projet'!$A$166,$DL$205^A8,IF(A8='Données projet'!$A$166,'Données projet'!$B$166,DO7+DN8-DW7)))</f>
        <v>34</v>
      </c>
      <c r="DP8" s="17">
        <f>DO8*VLOOKUP('Données projet'!$B$14,Paramètres!$A$1:$I$89,3,0)*VLOOKUP('Données projet'!$B$14,Paramètres!$A$1:$I$89,5,0)</f>
        <v>30.763199999999998</v>
      </c>
      <c r="DQ8" s="13">
        <f t="shared" si="43"/>
        <v>9.5142970411082253</v>
      </c>
      <c r="DR8" s="20">
        <f t="shared" si="16"/>
        <v>70.149974013263474</v>
      </c>
      <c r="DS8" s="59">
        <f t="shared" si="17"/>
        <v>248.94102188971084</v>
      </c>
      <c r="DT8" s="59">
        <f ca="1">AVERAGE(OFFSET($DS$3,0,0,'Données projet'!$E$14+1,1))-AVERAGE(OFFSET($H$3,0,0,'Données projet'!$E$14+1,1))</f>
        <v>376.51107072413777</v>
      </c>
      <c r="DU8" s="59">
        <f t="shared" si="44"/>
        <v>532.90758914457615</v>
      </c>
      <c r="DV8" s="15">
        <f>IF(ISNA(VLOOKUP(A8,'Données projet'!$A$165:$I$185,3,0)),0,VLOOKUP(A8,'Données projet'!$A$165:$I$185,3,0))</f>
        <v>1</v>
      </c>
      <c r="DW8" s="15">
        <f>IF(ISNA(VLOOKUP(A8,'Données projet'!$A$165:$I$185,4,0)),0,VLOOKUP(A8,'Données projet'!$A$165:$I$185,4,0))</f>
        <v>6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9.4117948717948714</v>
      </c>
      <c r="EJ8" s="12">
        <f>IF('Données projet'!$A$192&gt;35,EJ7+EI8-ER7,IF(A8&lt;'Données projet'!$A$192,$EG$205^A8,IF(A8='Données projet'!$A$192,'Données projet'!$B$192,EJ7+EI8-ER7)))</f>
        <v>5.2070039136878581</v>
      </c>
      <c r="EK8" s="17">
        <f>EJ8*VLOOKUP('Données projet'!$B$15,Paramètres!$A$1:$I$89,3,0)*VLOOKUP('Données projet'!$B$15,Paramètres!$A$1:$I$89,5,0)</f>
        <v>3.1137883403853395</v>
      </c>
      <c r="EL8" s="13">
        <f t="shared" si="45"/>
        <v>1.2572519072119237</v>
      </c>
      <c r="EM8" s="20">
        <f t="shared" si="19"/>
        <v>7.6128950978985666</v>
      </c>
      <c r="EN8" s="59">
        <f t="shared" si="20"/>
        <v>186.40394297434591</v>
      </c>
      <c r="EO8" s="59">
        <f ca="1">AVERAGE(OFFSET($EN$3,0,0,'Données projet'!$E$15+1,1))-AVERAGE(OFFSET($H$3,0,0,'Données projet'!$E$15+1,1))</f>
        <v>337.99164391755608</v>
      </c>
      <c r="EP8" s="59">
        <f t="shared" si="46"/>
        <v>421.45428231923393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2.9235042735042733</v>
      </c>
      <c r="N9" s="13">
        <f>IF('Données projet'!$A$36&gt;35,N8+M9-V8,IF(A9&lt;'Données projet'!$A$36,$K$205^A9,IF(A9='Données projet'!$A$36,'Données projet'!$B$36,N8+M9-V8)))</f>
        <v>2.4468367659615553</v>
      </c>
      <c r="O9" s="13">
        <f>N9*VLOOKUP('Données projet'!$B$9,Paramètres!$A$1:$I$89,3,0)*VLOOKUP('Données projet'!$B$9,Paramètres!$A$1:$I$89,5,0)</f>
        <v>2.2138979058420154</v>
      </c>
      <c r="P9" s="13">
        <f t="shared" si="33"/>
        <v>0.93010785243265093</v>
      </c>
      <c r="Q9" s="20">
        <f t="shared" si="2"/>
        <v>5.4758100289950429</v>
      </c>
      <c r="R9" s="59">
        <f t="shared" si="0"/>
        <v>186.94606212525403</v>
      </c>
      <c r="S9" s="59">
        <f ca="1">AVERAGE(OFFSET($R$3,0,0,'Données projet'!$E$9+1,1))-AVERAGE(OFFSET($H$3,0,0,'Données projet'!$E$9+1,1))</f>
        <v>388.1278150896951</v>
      </c>
      <c r="T9" s="59">
        <f t="shared" si="34"/>
        <v>232.26614607059227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2.9235042735042733</v>
      </c>
      <c r="AI9" s="13">
        <f>IF('Données projet'!$A$62&gt;35,AI8+AH9-AQ8,IF(A9&lt;'Données projet'!$A$62,$AF$205^A9,IF(A9='Données projet'!$A$62,'Données projet'!$B$62,AI8+AH9-AQ8)))</f>
        <v>2.4468367659615553</v>
      </c>
      <c r="AJ9" s="13">
        <f>AI9*VLOOKUP('Données projet'!$B$10,Paramètres!$A$1:$I$89,3,0)*VLOOKUP('Données projet'!$B$10,Paramètres!$A$1:$I$89,5,0)</f>
        <v>2.4810924806850174</v>
      </c>
      <c r="AK9" s="13">
        <f t="shared" si="35"/>
        <v>1.0286285584479797</v>
      </c>
      <c r="AL9" s="20">
        <f t="shared" si="4"/>
        <v>6.1127641431566362</v>
      </c>
      <c r="AM9" s="59">
        <f t="shared" si="5"/>
        <v>187.5830162394156</v>
      </c>
      <c r="AN9" s="59">
        <f ca="1">AVERAGE(OFFSET($AM$3,0,0,'Données projet'!$E$10+1,1))-AVERAGE(OFFSET($H$3,0,0,'Données projet'!$E$10+1,1))</f>
        <v>424.89201140676084</v>
      </c>
      <c r="AO9" s="59">
        <f t="shared" si="36"/>
        <v>253.0016648946303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2.9235042735042733</v>
      </c>
      <c r="BD9" s="12">
        <f>IF('Données projet'!$A$88&gt;35,BD8+BC9-BL8,IF(A9&lt;'Données projet'!$A$88,$BA$205^A9,IF(A9='Données projet'!$A$88,'Données projet'!$B$88,BD8+BC9-BL8)))</f>
        <v>2.4468367659615553</v>
      </c>
      <c r="BE9" s="13">
        <f>BD9*VLOOKUP('Données projet'!$B$11,Paramètres!$A$1:$I$89,3,0)*VLOOKUP('Données projet'!$B$11,Paramètres!$A$1:$I$89,5,0)</f>
        <v>2.3284098664890163</v>
      </c>
      <c r="BF9" s="13">
        <f t="shared" si="37"/>
        <v>0.97249141923571569</v>
      </c>
      <c r="BG9" s="20">
        <f t="shared" si="7"/>
        <v>5.7490697393039083</v>
      </c>
      <c r="BH9" s="59">
        <f t="shared" si="8"/>
        <v>187.21932183556288</v>
      </c>
      <c r="BI9" s="59">
        <f ca="1">AVERAGE(OFFSET($BH$3,0,0,'Données projet'!$E$11+1,1))-AVERAGE(OFFSET($H$3,0,0,'Données projet'!$E$11+1,1))</f>
        <v>403.89478276355294</v>
      </c>
      <c r="BJ9" s="59">
        <f t="shared" si="38"/>
        <v>241.1593989733278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1.1000000000000001</v>
      </c>
      <c r="BY9" s="12">
        <f>IF('Données projet'!$A$114&gt;35,BY8+BX9-CG8,IF(A9&lt;'Données projet'!$A$114,$BV$205^A9,IF(A9='Données projet'!$A$114,'Données projet'!$B$114,BY8+BX9-CG8)))</f>
        <v>4.2153691330919028</v>
      </c>
      <c r="BZ9" s="13">
        <f>BY9*VLOOKUP('Données projet'!$B$12,Paramètres!$A$1:$I$89,3,0)*VLOOKUP('Données projet'!$B$12,Paramètres!$A$1:$I$89,5,0)</f>
        <v>3.353747682287918</v>
      </c>
      <c r="CA9" s="13">
        <f t="shared" si="39"/>
        <v>1.3424889309030987</v>
      </c>
      <c r="CB9" s="20">
        <f t="shared" si="10"/>
        <v>8.1792787679743544</v>
      </c>
      <c r="CC9" s="59">
        <f t="shared" si="11"/>
        <v>189.64953086423333</v>
      </c>
      <c r="CD9" s="59">
        <f ca="1">AVERAGE(OFFSET($CC$3,0,0,'Données projet'!$E$12+1,1))-AVERAGE(OFFSET($H$3,0,0,'Données projet'!$E$12+1,1))</f>
        <v>377.27600411578322</v>
      </c>
      <c r="CE9" s="59">
        <f t="shared" si="40"/>
        <v>364.58250627635425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2.6666666666666665</v>
      </c>
      <c r="CT9" s="12">
        <f>IF('Données projet'!$A$140&gt;35,CT8+CS9-DB8,IF(A9&lt;'Données projet'!$A$140,$CQ$205^A9,IF(A9='Données projet'!$A$140,'Données projet'!$B$140,CT8+CS9-DB8)))</f>
        <v>4.3734482957731098</v>
      </c>
      <c r="CU9" s="17">
        <f>CT9*VLOOKUP('Données projet'!$B$13,Paramètres!$A$1:$I$89,3,0)*VLOOKUP('Données projet'!$B$13,Paramètres!$A$1:$I$89,5,0)</f>
        <v>3.4112896707030256</v>
      </c>
      <c r="CV9" s="13">
        <f t="shared" si="41"/>
        <v>1.3628213830192535</v>
      </c>
      <c r="CW9" s="20">
        <f t="shared" si="13"/>
        <v>8.3149100852329703</v>
      </c>
      <c r="CX9" s="59">
        <f t="shared" si="14"/>
        <v>189.78516218149196</v>
      </c>
      <c r="CY9" s="59">
        <f ca="1">AVERAGE(OFFSET($CX$3,0,0,'Données projet'!$E$13+1,1))-AVERAGE(OFFSET($H$3,0,0,'Données projet'!$E$13+1,1))</f>
        <v>308.82719216177946</v>
      </c>
      <c r="CZ9" s="59">
        <f t="shared" si="42"/>
        <v>302.59481222418219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14.2</v>
      </c>
      <c r="DO9" s="12">
        <f>IF('Données projet'!$A$166&gt;35,DO8+DN9-DW8,IF(A9&lt;'Données projet'!$A$166,$DL$205^A9,IF(A9='Données projet'!$A$166,'Données projet'!$B$166,DO8+DN9-DW8)))</f>
        <v>42.2</v>
      </c>
      <c r="DP9" s="17">
        <f>DO9*VLOOKUP('Données projet'!$B$14,Paramètres!$A$1:$I$89,3,0)*VLOOKUP('Données projet'!$B$14,Paramètres!$A$1:$I$89,5,0)</f>
        <v>38.182560000000002</v>
      </c>
      <c r="DQ9" s="13">
        <f t="shared" si="43"/>
        <v>11.515638334288104</v>
      </c>
      <c r="DR9" s="20">
        <f t="shared" si="16"/>
        <v>86.557695432218452</v>
      </c>
      <c r="DS9" s="59">
        <f t="shared" si="17"/>
        <v>268.0279475284774</v>
      </c>
      <c r="DT9" s="59">
        <f ca="1">AVERAGE(OFFSET($DS$3,0,0,'Données projet'!$E$14+1,1))-AVERAGE(OFFSET($H$3,0,0,'Données projet'!$E$14+1,1))</f>
        <v>376.51107072413777</v>
      </c>
      <c r="DU9" s="59">
        <f t="shared" si="44"/>
        <v>532.90758914457615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9.4117948717948714</v>
      </c>
      <c r="EJ9" s="12">
        <f>IF('Données projet'!$A$192&gt;35,EJ8+EI9-ER8,IF(A9&lt;'Données projet'!$A$192,$EG$205^A9,IF(A9='Données projet'!$A$192,'Données projet'!$B$192,EJ8+EI9-ER8)))</f>
        <v>7.2427831894575698</v>
      </c>
      <c r="EK9" s="17">
        <f>EJ9*VLOOKUP('Données projet'!$B$15,Paramètres!$A$1:$I$89,3,0)*VLOOKUP('Données projet'!$B$15,Paramètres!$A$1:$I$89,5,0)</f>
        <v>4.3311843472956273</v>
      </c>
      <c r="EL9" s="13">
        <f t="shared" si="45"/>
        <v>1.6828977024636564</v>
      </c>
      <c r="EM9" s="20">
        <f t="shared" si="19"/>
        <v>10.474526236664085</v>
      </c>
      <c r="EN9" s="59">
        <f t="shared" si="20"/>
        <v>191.94477833292305</v>
      </c>
      <c r="EO9" s="59">
        <f ca="1">AVERAGE(OFFSET($EN$3,0,0,'Données projet'!$E$15+1,1))-AVERAGE(OFFSET($H$3,0,0,'Données projet'!$E$15+1,1))</f>
        <v>337.99164391755608</v>
      </c>
      <c r="EP9" s="59">
        <f t="shared" si="46"/>
        <v>421.45428231923393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2.9235042735042733</v>
      </c>
      <c r="N10" s="13">
        <f>IF('Données projet'!$A$36&gt;35,N9+M10-V9,IF(A10&lt;'Données projet'!$A$36,$K$205^A10,IF(A10='Données projet'!$A$36,'Données projet'!$B$36,N9+M10-V9)))</f>
        <v>2.8403541738035183</v>
      </c>
      <c r="O10" s="13">
        <f>N10*VLOOKUP('Données projet'!$B$9,Paramètres!$A$1:$I$89,3,0)*VLOOKUP('Données projet'!$B$9,Paramètres!$A$1:$I$89,5,0)</f>
        <v>2.5699524564574232</v>
      </c>
      <c r="P10" s="13">
        <f t="shared" si="33"/>
        <v>1.0611135823014897</v>
      </c>
      <c r="Q10" s="20">
        <f t="shared" si="2"/>
        <v>6.3241066841717739</v>
      </c>
      <c r="R10" s="59">
        <f t="shared" si="0"/>
        <v>190.448287619908</v>
      </c>
      <c r="S10" s="59">
        <f ca="1">AVERAGE(OFFSET($R$3,0,0,'Données projet'!$E$9+1,1))-AVERAGE(OFFSET($H$3,0,0,'Données projet'!$E$9+1,1))</f>
        <v>388.1278150896951</v>
      </c>
      <c r="T10" s="59">
        <f t="shared" si="34"/>
        <v>232.26614607059227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2.9235042735042733</v>
      </c>
      <c r="AI10" s="13">
        <f>IF('Données projet'!$A$62&gt;35,AI9+AH10-AQ9,IF(A10&lt;'Données projet'!$A$62,$AF$205^A10,IF(A10='Données projet'!$A$62,'Données projet'!$B$62,AI9+AH10-AQ9)))</f>
        <v>2.8403541738035183</v>
      </c>
      <c r="AJ10" s="13">
        <f>AI10*VLOOKUP('Données projet'!$B$10,Paramètres!$A$1:$I$89,3,0)*VLOOKUP('Données projet'!$B$10,Paramètres!$A$1:$I$89,5,0)</f>
        <v>2.8801191322367679</v>
      </c>
      <c r="AK10" s="13">
        <f t="shared" si="35"/>
        <v>1.1735109338746152</v>
      </c>
      <c r="AL10" s="20">
        <f t="shared" si="4"/>
        <v>7.0600723651439914</v>
      </c>
      <c r="AM10" s="59">
        <f t="shared" si="5"/>
        <v>191.18425330088021</v>
      </c>
      <c r="AN10" s="59">
        <f ca="1">AVERAGE(OFFSET($AM$3,0,0,'Données projet'!$E$10+1,1))-AVERAGE(OFFSET($H$3,0,0,'Données projet'!$E$10+1,1))</f>
        <v>424.89201140676084</v>
      </c>
      <c r="AO10" s="59">
        <f t="shared" si="36"/>
        <v>253.0016648946303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2.9235042735042733</v>
      </c>
      <c r="BD10" s="12">
        <f>IF('Données projet'!$A$88&gt;35,BD9+BC10-BL9,IF(A10&lt;'Données projet'!$A$88,$BA$205^A10,IF(A10='Données projet'!$A$88,'Données projet'!$B$88,BD9+BC10-BL9)))</f>
        <v>2.8403541738035183</v>
      </c>
      <c r="BE10" s="13">
        <f>BD10*VLOOKUP('Données projet'!$B$11,Paramètres!$A$1:$I$89,3,0)*VLOOKUP('Données projet'!$B$11,Paramètres!$A$1:$I$89,5,0)</f>
        <v>2.7028810317914278</v>
      </c>
      <c r="BF10" s="13">
        <f t="shared" si="37"/>
        <v>1.1094668762592685</v>
      </c>
      <c r="BG10" s="20">
        <f t="shared" si="7"/>
        <v>6.6398392731882963</v>
      </c>
      <c r="BH10" s="59">
        <f t="shared" si="8"/>
        <v>190.76402020892453</v>
      </c>
      <c r="BI10" s="59">
        <f ca="1">AVERAGE(OFFSET($BH$3,0,0,'Données projet'!$E$11+1,1))-AVERAGE(OFFSET($H$3,0,0,'Données projet'!$E$11+1,1))</f>
        <v>403.89478276355294</v>
      </c>
      <c r="BJ10" s="59">
        <f t="shared" si="38"/>
        <v>241.1593989733278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1.1000000000000001</v>
      </c>
      <c r="BY10" s="12">
        <f>IF('Données projet'!$A$114&gt;35,BY9+BX10-CG9,IF(A10&lt;'Données projet'!$A$114,$BV$205^A10,IF(A10='Données projet'!$A$114,'Données projet'!$B$114,BY9+BX10-CG9)))</f>
        <v>5.3576566694841175</v>
      </c>
      <c r="BZ10" s="13">
        <f>BY10*VLOOKUP('Données projet'!$B$12,Paramètres!$A$1:$I$89,3,0)*VLOOKUP('Données projet'!$B$12,Paramètres!$A$1:$I$89,5,0)</f>
        <v>4.2625516462415645</v>
      </c>
      <c r="CA10" s="13">
        <f t="shared" si="39"/>
        <v>1.6593124478620722</v>
      </c>
      <c r="CB10" s="20">
        <f t="shared" si="10"/>
        <v>10.313913297230501</v>
      </c>
      <c r="CC10" s="59">
        <f t="shared" si="11"/>
        <v>194.43809423296673</v>
      </c>
      <c r="CD10" s="59">
        <f ca="1">AVERAGE(OFFSET($CC$3,0,0,'Données projet'!$E$12+1,1))-AVERAGE(OFFSET($H$3,0,0,'Données projet'!$E$12+1,1))</f>
        <v>377.27600411578322</v>
      </c>
      <c r="CE10" s="59">
        <f t="shared" si="40"/>
        <v>364.58250627635425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2.6666666666666665</v>
      </c>
      <c r="CT10" s="12">
        <f>IF('Données projet'!$A$140&gt;35,CT9+CS10-DB9,IF(A10&lt;'Données projet'!$A$140,$CQ$205^A10,IF(A10='Données projet'!$A$140,'Données projet'!$B$140,CT9+CS10-DB9)))</f>
        <v>5.5927833467405659</v>
      </c>
      <c r="CU10" s="17">
        <f>CT10*VLOOKUP('Données projet'!$B$13,Paramètres!$A$1:$I$89,3,0)*VLOOKUP('Données projet'!$B$13,Paramètres!$A$1:$I$89,5,0)</f>
        <v>4.3623710104576414</v>
      </c>
      <c r="CV10" s="13">
        <f t="shared" si="41"/>
        <v>1.6936004212396314</v>
      </c>
      <c r="CW10" s="20">
        <f t="shared" si="13"/>
        <v>10.54748357687275</v>
      </c>
      <c r="CX10" s="59">
        <f t="shared" si="14"/>
        <v>194.67166451260897</v>
      </c>
      <c r="CY10" s="59">
        <f ca="1">AVERAGE(OFFSET($CX$3,0,0,'Données projet'!$E$13+1,1))-AVERAGE(OFFSET($H$3,0,0,'Données projet'!$E$13+1,1))</f>
        <v>308.82719216177946</v>
      </c>
      <c r="CZ10" s="59">
        <f t="shared" si="42"/>
        <v>302.59481222418219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14.2</v>
      </c>
      <c r="DO10" s="12">
        <f>IF('Données projet'!$A$166&gt;35,DO9+DN10-DW9,IF(A10&lt;'Données projet'!$A$166,$DL$205^A10,IF(A10='Données projet'!$A$166,'Données projet'!$B$166,DO9+DN10-DW9)))</f>
        <v>56.400000000000006</v>
      </c>
      <c r="DP10" s="17">
        <f>DO10*VLOOKUP('Données projet'!$B$14,Paramètres!$A$1:$I$89,3,0)*VLOOKUP('Données projet'!$B$14,Paramètres!$A$1:$I$89,5,0)</f>
        <v>51.030720000000009</v>
      </c>
      <c r="DQ10" s="13">
        <f t="shared" si="43"/>
        <v>14.879630660597618</v>
      </c>
      <c r="DR10" s="20">
        <f t="shared" si="16"/>
        <v>114.79386073387418</v>
      </c>
      <c r="DS10" s="59">
        <f t="shared" si="17"/>
        <v>298.91804166961043</v>
      </c>
      <c r="DT10" s="59">
        <f ca="1">AVERAGE(OFFSET($DS$3,0,0,'Données projet'!$E$14+1,1))-AVERAGE(OFFSET($H$3,0,0,'Données projet'!$E$14+1,1))</f>
        <v>376.51107072413777</v>
      </c>
      <c r="DU10" s="59">
        <f t="shared" si="44"/>
        <v>532.90758914457615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9.4117948717948714</v>
      </c>
      <c r="EJ10" s="12">
        <f>IF('Données projet'!$A$192&gt;35,EJ9+EI10-ER9,IF(A10&lt;'Données projet'!$A$192,$EG$205^A10,IF(A10='Données projet'!$A$192,'Données projet'!$B$192,EJ9+EI10-ER9)))</f>
        <v>10.07448989842143</v>
      </c>
      <c r="EK10" s="17">
        <f>EJ10*VLOOKUP('Données projet'!$B$15,Paramètres!$A$1:$I$89,3,0)*VLOOKUP('Données projet'!$B$15,Paramètres!$A$1:$I$89,5,0)</f>
        <v>6.0245449592560147</v>
      </c>
      <c r="EL10" s="13">
        <f t="shared" si="45"/>
        <v>2.2526469522229675</v>
      </c>
      <c r="EM10" s="20">
        <f t="shared" si="19"/>
        <v>14.416109245825893</v>
      </c>
      <c r="EN10" s="59">
        <f t="shared" si="20"/>
        <v>198.54029018156211</v>
      </c>
      <c r="EO10" s="59">
        <f ca="1">AVERAGE(OFFSET($EN$3,0,0,'Données projet'!$E$15+1,1))-AVERAGE(OFFSET($H$3,0,0,'Données projet'!$E$15+1,1))</f>
        <v>337.99164391755608</v>
      </c>
      <c r="EP10" s="59">
        <f t="shared" si="46"/>
        <v>421.45428231923393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2.9235042735042733</v>
      </c>
      <c r="N11" s="13">
        <f>IF('Données projet'!$A$36&gt;35,N10+M11-V10,IF(A11&lt;'Données projet'!$A$36,$K$205^A11,IF(A11='Données projet'!$A$36,'Données projet'!$B$36,N10+M11-V10)))</f>
        <v>3.2971598043944974</v>
      </c>
      <c r="O11" s="13">
        <f>N11*VLOOKUP('Données projet'!$B$9,Paramètres!$A$1:$I$89,3,0)*VLOOKUP('Données projet'!$B$9,Paramètres!$A$1:$I$89,5,0)</f>
        <v>2.9832701910161412</v>
      </c>
      <c r="P11" s="13">
        <f t="shared" si="33"/>
        <v>1.2105714746948997</v>
      </c>
      <c r="Q11" s="20">
        <f t="shared" si="2"/>
        <v>7.3042742344467291</v>
      </c>
      <c r="R11" s="59">
        <f t="shared" si="0"/>
        <v>194.05754710066728</v>
      </c>
      <c r="S11" s="59">
        <f ca="1">AVERAGE(OFFSET($R$3,0,0,'Données projet'!$E$9+1,1))-AVERAGE(OFFSET($H$3,0,0,'Données projet'!$E$9+1,1))</f>
        <v>388.1278150896951</v>
      </c>
      <c r="T11" s="59">
        <f t="shared" si="34"/>
        <v>232.26614607059227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2.9235042735042733</v>
      </c>
      <c r="AI11" s="13">
        <f>IF('Données projet'!$A$62&gt;35,AI10+AH11-AQ10,IF(A11&lt;'Données projet'!$A$62,$AF$205^A11,IF(A11='Données projet'!$A$62,'Données projet'!$B$62,AI10+AH11-AQ10)))</f>
        <v>3.2971598043944974</v>
      </c>
      <c r="AJ11" s="13">
        <f>AI11*VLOOKUP('Données projet'!$B$10,Paramètres!$A$1:$I$89,3,0)*VLOOKUP('Données projet'!$B$10,Paramètres!$A$1:$I$89,5,0)</f>
        <v>3.3433200416560207</v>
      </c>
      <c r="AK11" s="13">
        <f t="shared" si="35"/>
        <v>1.3387999979323115</v>
      </c>
      <c r="AL11" s="20">
        <f t="shared" si="4"/>
        <v>8.1546924022830094</v>
      </c>
      <c r="AM11" s="59">
        <f t="shared" si="5"/>
        <v>194.90796526850357</v>
      </c>
      <c r="AN11" s="59">
        <f ca="1">AVERAGE(OFFSET($AM$3,0,0,'Données projet'!$E$10+1,1))-AVERAGE(OFFSET($H$3,0,0,'Données projet'!$E$10+1,1))</f>
        <v>424.89201140676084</v>
      </c>
      <c r="AO11" s="59">
        <f t="shared" si="36"/>
        <v>253.0016648946303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2.9235042735042733</v>
      </c>
      <c r="BD11" s="12">
        <f>IF('Données projet'!$A$88&gt;35,BD10+BC11-BL10,IF(A11&lt;'Données projet'!$A$88,$BA$205^A11,IF(A11='Données projet'!$A$88,'Données projet'!$B$88,BD10+BC11-BL10)))</f>
        <v>3.2971598043944974</v>
      </c>
      <c r="BE11" s="13">
        <f>BD11*VLOOKUP('Données projet'!$B$11,Paramètres!$A$1:$I$89,3,0)*VLOOKUP('Données projet'!$B$11,Paramètres!$A$1:$I$89,5,0)</f>
        <v>3.1375772698618039</v>
      </c>
      <c r="BF11" s="13">
        <f t="shared" si="37"/>
        <v>1.2657353321265099</v>
      </c>
      <c r="BG11" s="20">
        <f t="shared" si="7"/>
        <v>7.6691027817963127</v>
      </c>
      <c r="BH11" s="59">
        <f t="shared" si="8"/>
        <v>194.42237564801687</v>
      </c>
      <c r="BI11" s="59">
        <f ca="1">AVERAGE(OFFSET($BH$3,0,0,'Données projet'!$E$11+1,1))-AVERAGE(OFFSET($H$3,0,0,'Données projet'!$E$11+1,1))</f>
        <v>403.89478276355294</v>
      </c>
      <c r="BJ11" s="59">
        <f t="shared" si="38"/>
        <v>241.1593989733278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1.1000000000000001</v>
      </c>
      <c r="BY11" s="12">
        <f>IF('Données projet'!$A$114&gt;35,BY10+BX11-CG10,IF(A11&lt;'Données projet'!$A$114,$BV$205^A11,IF(A11='Données projet'!$A$114,'Données projet'!$B$114,BY10+BX11-CG10)))</f>
        <v>6.8094831275223076</v>
      </c>
      <c r="BZ11" s="13">
        <f>BY11*VLOOKUP('Données projet'!$B$12,Paramètres!$A$1:$I$89,3,0)*VLOOKUP('Données projet'!$B$12,Paramètres!$A$1:$I$89,5,0)</f>
        <v>5.4176247762567487</v>
      </c>
      <c r="CA11" s="13">
        <f t="shared" si="39"/>
        <v>2.0509054013412618</v>
      </c>
      <c r="CB11" s="20">
        <f t="shared" si="10"/>
        <v>13.007690059316532</v>
      </c>
      <c r="CC11" s="59">
        <f t="shared" si="11"/>
        <v>199.76096292553709</v>
      </c>
      <c r="CD11" s="59">
        <f ca="1">AVERAGE(OFFSET($CC$3,0,0,'Données projet'!$E$12+1,1))-AVERAGE(OFFSET($H$3,0,0,'Données projet'!$E$12+1,1))</f>
        <v>377.27600411578322</v>
      </c>
      <c r="CE11" s="59">
        <f t="shared" si="40"/>
        <v>364.58250627635425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2.6666666666666665</v>
      </c>
      <c r="CT11" s="12">
        <f>IF('Données projet'!$A$140&gt;35,CT10+CS11-DB10,IF(A11&lt;'Données projet'!$A$140,$CQ$205^A11,IF(A11='Données projet'!$A$140,'Données projet'!$B$140,CT10+CS11-DB10)))</f>
        <v>7.1520739352994367</v>
      </c>
      <c r="CU11" s="17">
        <f>CT11*VLOOKUP('Données projet'!$B$13,Paramètres!$A$1:$I$89,3,0)*VLOOKUP('Données projet'!$B$13,Paramètres!$A$1:$I$89,5,0)</f>
        <v>5.5786176695335605</v>
      </c>
      <c r="CV11" s="13">
        <f t="shared" si="41"/>
        <v>2.1046649418345189</v>
      </c>
      <c r="CW11" s="20">
        <f t="shared" si="13"/>
        <v>13.381717214799407</v>
      </c>
      <c r="CX11" s="59">
        <f t="shared" si="14"/>
        <v>200.13499008101996</v>
      </c>
      <c r="CY11" s="59">
        <f ca="1">AVERAGE(OFFSET($CX$3,0,0,'Données projet'!$E$13+1,1))-AVERAGE(OFFSET($H$3,0,0,'Données projet'!$E$13+1,1))</f>
        <v>308.82719216177946</v>
      </c>
      <c r="CZ11" s="59">
        <f t="shared" si="42"/>
        <v>302.59481222418219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14.2</v>
      </c>
      <c r="DO11" s="12">
        <f>IF('Données projet'!$A$166&gt;35,DO10+DN11-DW10,IF(A11&lt;'Données projet'!$A$166,$DL$205^A11,IF(A11='Données projet'!$A$166,'Données projet'!$B$166,DO10+DN11-DW10)))</f>
        <v>70.600000000000009</v>
      </c>
      <c r="DP11" s="17">
        <f>DO11*VLOOKUP('Données projet'!$B$14,Paramètres!$A$1:$I$89,3,0)*VLOOKUP('Données projet'!$B$14,Paramètres!$A$1:$I$89,5,0)</f>
        <v>63.878880000000002</v>
      </c>
      <c r="DQ11" s="13">
        <f t="shared" si="43"/>
        <v>18.145367520913332</v>
      </c>
      <c r="DR11" s="20">
        <f t="shared" si="16"/>
        <v>142.85889776559074</v>
      </c>
      <c r="DS11" s="59">
        <f t="shared" si="17"/>
        <v>329.6121706318113</v>
      </c>
      <c r="DT11" s="59">
        <f ca="1">AVERAGE(OFFSET($DS$3,0,0,'Données projet'!$E$14+1,1))-AVERAGE(OFFSET($H$3,0,0,'Données projet'!$E$14+1,1))</f>
        <v>376.51107072413777</v>
      </c>
      <c r="DU11" s="59">
        <f t="shared" si="44"/>
        <v>532.90758914457615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9.4117948717948714</v>
      </c>
      <c r="EJ11" s="12">
        <f>IF('Données projet'!$A$192&gt;35,EJ10+EI11-ER10,IF(A11&lt;'Données projet'!$A$192,$EG$205^A11,IF(A11='Données projet'!$A$192,'Données projet'!$B$192,EJ10+EI11-ER10)))</f>
        <v>14.01330732378262</v>
      </c>
      <c r="EK11" s="17">
        <f>EJ11*VLOOKUP('Données projet'!$B$15,Paramètres!$A$1:$I$89,3,0)*VLOOKUP('Données projet'!$B$15,Paramètres!$A$1:$I$89,5,0)</f>
        <v>8.3799577796220071</v>
      </c>
      <c r="EL11" s="13">
        <f t="shared" si="45"/>
        <v>3.0152862434423646</v>
      </c>
      <c r="EM11" s="20">
        <f t="shared" si="19"/>
        <v>19.846716673503781</v>
      </c>
      <c r="EN11" s="59">
        <f t="shared" si="20"/>
        <v>206.59998953972433</v>
      </c>
      <c r="EO11" s="59">
        <f ca="1">AVERAGE(OFFSET($EN$3,0,0,'Données projet'!$E$15+1,1))-AVERAGE(OFFSET($H$3,0,0,'Données projet'!$E$15+1,1))</f>
        <v>337.99164391755608</v>
      </c>
      <c r="EP11" s="59">
        <f t="shared" si="46"/>
        <v>421.45428231923393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2.9235042735042733</v>
      </c>
      <c r="N12" s="13">
        <f>IF('Données projet'!$A$36&gt;35,N11+M12-V11,IF(A12&lt;'Données projet'!$A$36,$K$205^A12,IF(A12='Données projet'!$A$36,'Données projet'!$B$36,N11+M12-V11)))</f>
        <v>3.8274321125090722</v>
      </c>
      <c r="O12" s="13">
        <f>N12*VLOOKUP('Données projet'!$B$9,Paramètres!$A$1:$I$89,3,0)*VLOOKUP('Données projet'!$B$9,Paramètres!$A$1:$I$89,5,0)</f>
        <v>3.4630605753982087</v>
      </c>
      <c r="P12" s="13">
        <f t="shared" si="33"/>
        <v>1.3810805174752749</v>
      </c>
      <c r="Q12" s="20">
        <f t="shared" si="2"/>
        <v>8.4368790700879845</v>
      </c>
      <c r="R12" s="59">
        <f t="shared" si="0"/>
        <v>197.79483782264407</v>
      </c>
      <c r="S12" s="59">
        <f ca="1">AVERAGE(OFFSET($R$3,0,0,'Données projet'!$E$9+1,1))-AVERAGE(OFFSET($H$3,0,0,'Données projet'!$E$9+1,1))</f>
        <v>388.1278150896951</v>
      </c>
      <c r="T12" s="59">
        <f t="shared" si="34"/>
        <v>232.26614607059227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2.9235042735042733</v>
      </c>
      <c r="AI12" s="13">
        <f>IF('Données projet'!$A$62&gt;35,AI11+AH12-AQ11,IF(A12&lt;'Données projet'!$A$62,$AF$205^A12,IF(A12='Données projet'!$A$62,'Données projet'!$B$62,AI11+AH12-AQ11)))</f>
        <v>3.8274321125090722</v>
      </c>
      <c r="AJ12" s="13">
        <f>AI12*VLOOKUP('Données projet'!$B$10,Paramètres!$A$1:$I$89,3,0)*VLOOKUP('Données projet'!$B$10,Paramètres!$A$1:$I$89,5,0)</f>
        <v>3.8810161620841996</v>
      </c>
      <c r="AK12" s="13">
        <f t="shared" si="35"/>
        <v>1.5273700335672085</v>
      </c>
      <c r="AL12" s="20">
        <f t="shared" si="4"/>
        <v>9.4196059574262012</v>
      </c>
      <c r="AM12" s="59">
        <f t="shared" si="5"/>
        <v>198.77756470998227</v>
      </c>
      <c r="AN12" s="59">
        <f ca="1">AVERAGE(OFFSET($AM$3,0,0,'Données projet'!$E$10+1,1))-AVERAGE(OFFSET($H$3,0,0,'Données projet'!$E$10+1,1))</f>
        <v>424.89201140676084</v>
      </c>
      <c r="AO12" s="59">
        <f t="shared" si="36"/>
        <v>253.0016648946303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2.9235042735042733</v>
      </c>
      <c r="BD12" s="12">
        <f>IF('Données projet'!$A$88&gt;35,BD11+BC12-BL11,IF(A12&lt;'Données projet'!$A$88,$BA$205^A12,IF(A12='Données projet'!$A$88,'Données projet'!$B$88,BD11+BC12-BL11)))</f>
        <v>3.8274321125090722</v>
      </c>
      <c r="BE12" s="13">
        <f>BD12*VLOOKUP('Données projet'!$B$11,Paramètres!$A$1:$I$89,3,0)*VLOOKUP('Données projet'!$B$11,Paramètres!$A$1:$I$89,5,0)</f>
        <v>3.642184398263633</v>
      </c>
      <c r="BF12" s="13">
        <f t="shared" si="37"/>
        <v>1.4440142065305053</v>
      </c>
      <c r="BG12" s="20">
        <f t="shared" si="7"/>
        <v>8.8584625700164565</v>
      </c>
      <c r="BH12" s="59">
        <f t="shared" si="8"/>
        <v>198.21642132257253</v>
      </c>
      <c r="BI12" s="59">
        <f ca="1">AVERAGE(OFFSET($BH$3,0,0,'Données projet'!$E$11+1,1))-AVERAGE(OFFSET($H$3,0,0,'Données projet'!$E$11+1,1))</f>
        <v>403.89478276355294</v>
      </c>
      <c r="BJ12" s="59">
        <f t="shared" si="38"/>
        <v>241.1593989733278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1.1000000000000001</v>
      </c>
      <c r="BY12" s="12">
        <f>IF('Données projet'!$A$114&gt;35,BY11+BX12-CG11,IF(A12&lt;'Données projet'!$A$114,$BV$205^A12,IF(A12='Données projet'!$A$114,'Données projet'!$B$114,BY11+BX12-CG11)))</f>
        <v>8.6547278641645029</v>
      </c>
      <c r="BZ12" s="13">
        <f>BY12*VLOOKUP('Données projet'!$B$12,Paramètres!$A$1:$I$89,3,0)*VLOOKUP('Données projet'!$B$12,Paramètres!$A$1:$I$89,5,0)</f>
        <v>6.8857014887292793</v>
      </c>
      <c r="CA12" s="13">
        <f t="shared" si="39"/>
        <v>2.5349131627802968</v>
      </c>
      <c r="CB12" s="20">
        <f t="shared" si="10"/>
        <v>16.407570518045844</v>
      </c>
      <c r="CC12" s="59">
        <f t="shared" si="11"/>
        <v>205.76552927060192</v>
      </c>
      <c r="CD12" s="59">
        <f ca="1">AVERAGE(OFFSET($CC$3,0,0,'Données projet'!$E$12+1,1))-AVERAGE(OFFSET($H$3,0,0,'Données projet'!$E$12+1,1))</f>
        <v>377.27600411578322</v>
      </c>
      <c r="CE12" s="59">
        <f t="shared" si="40"/>
        <v>364.58250627635425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2.6666666666666665</v>
      </c>
      <c r="CT12" s="12">
        <f>IF('Données projet'!$A$140&gt;35,CT11+CS12-DB11,IF(A12&lt;'Données projet'!$A$140,$CQ$205^A12,IF(A12='Données projet'!$A$140,'Données projet'!$B$140,CT11+CS12-DB11)))</f>
        <v>9.1461010385465205</v>
      </c>
      <c r="CU12" s="17">
        <f>CT12*VLOOKUP('Données projet'!$B$13,Paramètres!$A$1:$I$89,3,0)*VLOOKUP('Données projet'!$B$13,Paramètres!$A$1:$I$89,5,0)</f>
        <v>7.1339588100662858</v>
      </c>
      <c r="CV12" s="13">
        <f t="shared" si="41"/>
        <v>2.6155015444227643</v>
      </c>
      <c r="CW12" s="20">
        <f t="shared" si="13"/>
        <v>16.980310117401761</v>
      </c>
      <c r="CX12" s="59">
        <f t="shared" si="14"/>
        <v>206.33826886995783</v>
      </c>
      <c r="CY12" s="59">
        <f ca="1">AVERAGE(OFFSET($CX$3,0,0,'Données projet'!$E$13+1,1))-AVERAGE(OFFSET($H$3,0,0,'Données projet'!$E$13+1,1))</f>
        <v>308.82719216177946</v>
      </c>
      <c r="CZ12" s="59">
        <f t="shared" si="42"/>
        <v>302.59481222418219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14.2</v>
      </c>
      <c r="DO12" s="12">
        <f>IF('Données projet'!$A$166&gt;35,DO11+DN12-DW11,IF(A12&lt;'Données projet'!$A$166,$DL$205^A12,IF(A12='Données projet'!$A$166,'Données projet'!$B$166,DO11+DN12-DW11)))</f>
        <v>84.800000000000011</v>
      </c>
      <c r="DP12" s="17">
        <f>DO12*VLOOKUP('Données projet'!$B$14,Paramètres!$A$1:$I$89,3,0)*VLOOKUP('Données projet'!$B$14,Paramètres!$A$1:$I$89,5,0)</f>
        <v>76.727040000000017</v>
      </c>
      <c r="DQ12" s="13">
        <f t="shared" si="43"/>
        <v>21.334993267156719</v>
      </c>
      <c r="DR12" s="20">
        <f t="shared" si="16"/>
        <v>170.79137460696464</v>
      </c>
      <c r="DS12" s="59">
        <f t="shared" si="17"/>
        <v>360.14933335952071</v>
      </c>
      <c r="DT12" s="59">
        <f ca="1">AVERAGE(OFFSET($DS$3,0,0,'Données projet'!$E$14+1,1))-AVERAGE(OFFSET($H$3,0,0,'Données projet'!$E$14+1,1))</f>
        <v>376.51107072413777</v>
      </c>
      <c r="DU12" s="59">
        <f t="shared" si="44"/>
        <v>532.90758914457615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9.4117948717948714</v>
      </c>
      <c r="EJ12" s="12">
        <f>IF('Données projet'!$A$192&gt;35,EJ11+EI12-ER11,IF(A12&lt;'Données projet'!$A$192,$EG$205^A12,IF(A12='Données projet'!$A$192,'Données projet'!$B$192,EJ11+EI12-ER11)))</f>
        <v>19.492081895039593</v>
      </c>
      <c r="EK12" s="17">
        <f>EJ12*VLOOKUP('Données projet'!$B$15,Paramètres!$A$1:$I$89,3,0)*VLOOKUP('Données projet'!$B$15,Paramètres!$A$1:$I$89,5,0)</f>
        <v>11.656264973233679</v>
      </c>
      <c r="EL12" s="13">
        <f t="shared" si="45"/>
        <v>4.0361189847883647</v>
      </c>
      <c r="EM12" s="20">
        <f t="shared" si="19"/>
        <v>27.330902060221728</v>
      </c>
      <c r="EN12" s="59">
        <f t="shared" si="20"/>
        <v>216.68886081277779</v>
      </c>
      <c r="EO12" s="59">
        <f ca="1">AVERAGE(OFFSET($EN$3,0,0,'Données projet'!$E$15+1,1))-AVERAGE(OFFSET($H$3,0,0,'Données projet'!$E$15+1,1))</f>
        <v>337.99164391755608</v>
      </c>
      <c r="EP12" s="59">
        <f t="shared" si="46"/>
        <v>421.45428231923393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2.9235042735042733</v>
      </c>
      <c r="N13" s="13">
        <f>IF('Données projet'!$A$36&gt;35,N12+M13-V12,IF(A13&lt;'Données projet'!$A$36,$K$205^A13,IF(A13='Données projet'!$A$36,'Données projet'!$B$36,N12+M13-V12)))</f>
        <v>4.4429865232315908</v>
      </c>
      <c r="O13" s="13">
        <f>N13*VLOOKUP('Données projet'!$B$9,Paramètres!$A$1:$I$89,3,0)*VLOOKUP('Données projet'!$B$9,Paramètres!$A$1:$I$89,5,0)</f>
        <v>4.0200142062199431</v>
      </c>
      <c r="P13" s="13">
        <f t="shared" si="33"/>
        <v>1.5756057660539962</v>
      </c>
      <c r="Q13" s="20">
        <f t="shared" si="2"/>
        <v>9.7457047850437757</v>
      </c>
      <c r="R13" s="59">
        <f t="shared" si="0"/>
        <v>201.68436677008867</v>
      </c>
      <c r="S13" s="59">
        <f ca="1">AVERAGE(OFFSET($R$3,0,0,'Données projet'!$E$9+1,1))-AVERAGE(OFFSET($H$3,0,0,'Données projet'!$E$9+1,1))</f>
        <v>388.1278150896951</v>
      </c>
      <c r="T13" s="59">
        <f t="shared" si="34"/>
        <v>232.26614607059227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2.9235042735042733</v>
      </c>
      <c r="AI13" s="13">
        <f>IF('Données projet'!$A$62&gt;35,AI12+AH13-AQ12,IF(A13&lt;'Données projet'!$A$62,$AF$205^A13,IF(A13='Données projet'!$A$62,'Données projet'!$B$62,AI12+AH13-AQ12)))</f>
        <v>4.4429865232315908</v>
      </c>
      <c r="AJ13" s="13">
        <f>AI13*VLOOKUP('Données projet'!$B$10,Paramètres!$A$1:$I$89,3,0)*VLOOKUP('Données projet'!$B$10,Paramètres!$A$1:$I$89,5,0)</f>
        <v>4.5051883345568333</v>
      </c>
      <c r="AK13" s="13">
        <f t="shared" si="35"/>
        <v>1.7425001665984783</v>
      </c>
      <c r="AL13" s="20">
        <f t="shared" si="4"/>
        <v>10.881390806178834</v>
      </c>
      <c r="AM13" s="59">
        <f t="shared" si="5"/>
        <v>202.82005279122373</v>
      </c>
      <c r="AN13" s="59">
        <f ca="1">AVERAGE(OFFSET($AM$3,0,0,'Données projet'!$E$10+1,1))-AVERAGE(OFFSET($H$3,0,0,'Données projet'!$E$10+1,1))</f>
        <v>424.89201140676084</v>
      </c>
      <c r="AO13" s="59">
        <f t="shared" si="36"/>
        <v>253.0016648946303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2.9235042735042733</v>
      </c>
      <c r="BD13" s="12">
        <f>IF('Données projet'!$A$88&gt;35,BD12+BC13-BL12,IF(A13&lt;'Données projet'!$A$88,$BA$205^A13,IF(A13='Données projet'!$A$88,'Données projet'!$B$88,BD12+BC13-BL12)))</f>
        <v>4.4429865232315908</v>
      </c>
      <c r="BE13" s="13">
        <f>BD13*VLOOKUP('Données projet'!$B$11,Paramètres!$A$1:$I$89,3,0)*VLOOKUP('Données projet'!$B$11,Paramètres!$A$1:$I$89,5,0)</f>
        <v>4.2279459755071818</v>
      </c>
      <c r="BF13" s="13">
        <f t="shared" si="37"/>
        <v>1.6474036678416053</v>
      </c>
      <c r="BG13" s="20">
        <f t="shared" si="7"/>
        <v>10.232900628832473</v>
      </c>
      <c r="BH13" s="59">
        <f t="shared" si="8"/>
        <v>202.17156261387737</v>
      </c>
      <c r="BI13" s="59">
        <f ca="1">AVERAGE(OFFSET($BH$3,0,0,'Données projet'!$E$11+1,1))-AVERAGE(OFFSET($H$3,0,0,'Données projet'!$E$11+1,1))</f>
        <v>403.89478276355294</v>
      </c>
      <c r="BJ13" s="59">
        <f t="shared" si="38"/>
        <v>241.1593989733278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11</v>
      </c>
      <c r="BW13" s="12">
        <f>VLOOKUP(A13,'Données projet'!$A$113:$I$133,9,0)</f>
        <v>1.1000000000000001</v>
      </c>
      <c r="BX13" s="12">
        <f t="array" ref="BX13">INDEX(BW:BW,MIN(IF(ISNUMBER(BW13:BW209),ROW(BW13:BW209),"")))</f>
        <v>1.1000000000000001</v>
      </c>
      <c r="BY13" s="12">
        <f>IF('Données projet'!$A$114&gt;35,BY12+BX13-CG12,IF(A13&lt;'Données projet'!$A$114,$BV$205^A13,IF(A13='Données projet'!$A$114,'Données projet'!$B$114,BY12+BX13-CG12)))</f>
        <v>11</v>
      </c>
      <c r="BZ13" s="13">
        <f>BY13*VLOOKUP('Données projet'!$B$12,Paramètres!$A$1:$I$89,3,0)*VLOOKUP('Données projet'!$B$12,Paramètres!$A$1:$I$89,5,0)</f>
        <v>8.7516000000000016</v>
      </c>
      <c r="CA13" s="13">
        <f t="shared" si="39"/>
        <v>3.1331453604025001</v>
      </c>
      <c r="CB13" s="20">
        <f t="shared" si="10"/>
        <v>20.699264836034356</v>
      </c>
      <c r="CC13" s="59">
        <f t="shared" si="11"/>
        <v>212.63792682107925</v>
      </c>
      <c r="CD13" s="59">
        <f ca="1">AVERAGE(OFFSET($CC$3,0,0,'Données projet'!$E$12+1,1))-AVERAGE(OFFSET($H$3,0,0,'Données projet'!$E$12+1,1))</f>
        <v>377.27600411578322</v>
      </c>
      <c r="CE13" s="59">
        <f t="shared" si="40"/>
        <v>364.58250627635425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2.6666666666666665</v>
      </c>
      <c r="CT13" s="12">
        <f>IF('Données projet'!$A$140&gt;35,CT12+CS13-DB12,IF(A13&lt;'Données projet'!$A$140,$CQ$205^A13,IF(A13='Données projet'!$A$140,'Données projet'!$B$140,CT12+CS13-DB12)))</f>
        <v>11.696070952851455</v>
      </c>
      <c r="CU13" s="17">
        <f>CT13*VLOOKUP('Données projet'!$B$13,Paramètres!$A$1:$I$89,3,0)*VLOOKUP('Données projet'!$B$13,Paramètres!$A$1:$I$89,5,0)</f>
        <v>9.1229353432241354</v>
      </c>
      <c r="CV13" s="13">
        <f t="shared" si="41"/>
        <v>3.2503265450485803</v>
      </c>
      <c r="CW13" s="20">
        <f t="shared" si="13"/>
        <v>21.550097788741649</v>
      </c>
      <c r="CX13" s="59">
        <f t="shared" si="14"/>
        <v>213.48875977378654</v>
      </c>
      <c r="CY13" s="59">
        <f ca="1">AVERAGE(OFFSET($CX$3,0,0,'Données projet'!$E$13+1,1))-AVERAGE(OFFSET($H$3,0,0,'Données projet'!$E$13+1,1))</f>
        <v>308.82719216177946</v>
      </c>
      <c r="CZ13" s="59">
        <f t="shared" si="42"/>
        <v>302.59481222418219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>
        <f>VLOOKUP(A13,'Données projet'!$A$165:$I$185,2,0)</f>
        <v>99</v>
      </c>
      <c r="DM13" s="12">
        <f>VLOOKUP(A13,'Données projet'!$A$165:$I$185,9,0)</f>
        <v>14.2</v>
      </c>
      <c r="DN13" s="12">
        <f t="array" ref="DN13">INDEX(DM:DM,MIN(IF(ISNUMBER(DM13:DM209),ROW(DM13:DM209),"")))</f>
        <v>14.2</v>
      </c>
      <c r="DO13" s="12">
        <f>IF('Données projet'!$A$166&gt;35,DO12+DN13-DW12,IF(A13&lt;'Données projet'!$A$166,$DL$205^A13,IF(A13='Données projet'!$A$166,'Données projet'!$B$166,DO12+DN13-DW12)))</f>
        <v>99.000000000000014</v>
      </c>
      <c r="DP13" s="17">
        <f>DO13*VLOOKUP('Données projet'!$B$14,Paramètres!$A$1:$I$89,3,0)*VLOOKUP('Données projet'!$B$14,Paramètres!$A$1:$I$89,5,0)</f>
        <v>89.575200000000009</v>
      </c>
      <c r="DQ13" s="13">
        <f t="shared" si="43"/>
        <v>24.462745269668691</v>
      </c>
      <c r="DR13" s="20">
        <f t="shared" si="16"/>
        <v>198.61608801133966</v>
      </c>
      <c r="DS13" s="59">
        <f t="shared" si="17"/>
        <v>390.55474999638454</v>
      </c>
      <c r="DT13" s="59">
        <f ca="1">AVERAGE(OFFSET($DS$3,0,0,'Données projet'!$E$14+1,1))-AVERAGE(OFFSET($H$3,0,0,'Données projet'!$E$14+1,1))</f>
        <v>376.51107072413777</v>
      </c>
      <c r="DU13" s="59">
        <f t="shared" si="44"/>
        <v>532.90758914457615</v>
      </c>
      <c r="DV13" s="15">
        <f>IF(ISNA(VLOOKUP(A13,'Données projet'!$A$165:$I$185,3,0)),0,VLOOKUP(A13,'Données projet'!$A$165:$I$185,3,0))</f>
        <v>2</v>
      </c>
      <c r="DW13" s="15">
        <f>IF(ISNA(VLOOKUP(A13,'Données projet'!$A$165:$I$185,4,0)),0,VLOOKUP(A13,'Données projet'!$A$165:$I$185,4,0))</f>
        <v>29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9.4117948717948714</v>
      </c>
      <c r="EJ13" s="12">
        <f>IF('Données projet'!$A$192&gt;35,EJ12+EI13-ER12,IF(A13&lt;'Données projet'!$A$192,$EG$205^A13,IF(A13='Données projet'!$A$192,'Données projet'!$B$192,EJ12+EI13-ER12)))</f>
        <v>27.112889757160666</v>
      </c>
      <c r="EK13" s="17">
        <f>EJ13*VLOOKUP('Données projet'!$B$15,Paramètres!$A$1:$I$89,3,0)*VLOOKUP('Données projet'!$B$15,Paramètres!$A$1:$I$89,5,0)</f>
        <v>16.21350807478208</v>
      </c>
      <c r="EL13" s="13">
        <f t="shared" si="45"/>
        <v>5.4025572181735821</v>
      </c>
      <c r="EM13" s="20">
        <f t="shared" si="19"/>
        <v>37.647980385231108</v>
      </c>
      <c r="EN13" s="59">
        <f t="shared" si="20"/>
        <v>229.586642370276</v>
      </c>
      <c r="EO13" s="59">
        <f ca="1">AVERAGE(OFFSET($EN$3,0,0,'Données projet'!$E$15+1,1))-AVERAGE(OFFSET($H$3,0,0,'Données projet'!$E$15+1,1))</f>
        <v>337.99164391755608</v>
      </c>
      <c r="EP13" s="59">
        <f t="shared" si="46"/>
        <v>421.45428231923393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2.9235042735042733</v>
      </c>
      <c r="N14" s="13">
        <f>IF('Données projet'!$A$36&gt;35,N13+M14-V13,IF(A14&lt;'Données projet'!$A$36,$K$205^A14,IF(A14='Données projet'!$A$36,'Données projet'!$B$36,N13+M14-V13)))</f>
        <v>5.1575387009743459</v>
      </c>
      <c r="O14" s="13">
        <f>N14*VLOOKUP('Données projet'!$B$9,Paramètres!$A$1:$I$89,3,0)*VLOOKUP('Données projet'!$B$9,Paramètres!$A$1:$I$89,5,0)</f>
        <v>4.6665410166415882</v>
      </c>
      <c r="P14" s="13">
        <f t="shared" si="33"/>
        <v>1.7975299040209971</v>
      </c>
      <c r="Q14" s="20">
        <f t="shared" si="2"/>
        <v>11.258256853487337</v>
      </c>
      <c r="R14" s="59">
        <f t="shared" si="0"/>
        <v>205.75405546260146</v>
      </c>
      <c r="S14" s="59">
        <f ca="1">AVERAGE(OFFSET($R$3,0,0,'Données projet'!$E$9+1,1))-AVERAGE(OFFSET($H$3,0,0,'Données projet'!$E$9+1,1))</f>
        <v>388.1278150896951</v>
      </c>
      <c r="T14" s="59">
        <f t="shared" si="34"/>
        <v>232.26614607059227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2.9235042735042733</v>
      </c>
      <c r="AI14" s="13">
        <f>IF('Données projet'!$A$62&gt;35,AI13+AH14-AQ13,IF(A14&lt;'Données projet'!$A$62,$AF$205^A14,IF(A14='Données projet'!$A$62,'Données projet'!$B$62,AI13+AH14-AQ13)))</f>
        <v>5.1575387009743459</v>
      </c>
      <c r="AJ14" s="13">
        <f>AI14*VLOOKUP('Données projet'!$B$10,Paramètres!$A$1:$I$89,3,0)*VLOOKUP('Données projet'!$B$10,Paramètres!$A$1:$I$89,5,0)</f>
        <v>5.2297442427879863</v>
      </c>
      <c r="AK14" s="13">
        <f t="shared" si="35"/>
        <v>1.9879313878539038</v>
      </c>
      <c r="AL14" s="20">
        <f t="shared" si="4"/>
        <v>12.570785056701292</v>
      </c>
      <c r="AM14" s="59">
        <f t="shared" si="5"/>
        <v>207.06658366581541</v>
      </c>
      <c r="AN14" s="59">
        <f ca="1">AVERAGE(OFFSET($AM$3,0,0,'Données projet'!$E$10+1,1))-AVERAGE(OFFSET($H$3,0,0,'Données projet'!$E$10+1,1))</f>
        <v>424.89201140676084</v>
      </c>
      <c r="AO14" s="59">
        <f t="shared" si="36"/>
        <v>253.0016648946303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2.9235042735042733</v>
      </c>
      <c r="BD14" s="12">
        <f>IF('Données projet'!$A$88&gt;35,BD13+BC14-BL13,IF(A14&lt;'Données projet'!$A$88,$BA$205^A14,IF(A14='Données projet'!$A$88,'Données projet'!$B$88,BD13+BC14-BL13)))</f>
        <v>5.1575387009743459</v>
      </c>
      <c r="BE14" s="13">
        <f>BD14*VLOOKUP('Données projet'!$B$11,Paramètres!$A$1:$I$89,3,0)*VLOOKUP('Données projet'!$B$11,Paramètres!$A$1:$I$89,5,0)</f>
        <v>4.9079138278471879</v>
      </c>
      <c r="BF14" s="13">
        <f t="shared" si="37"/>
        <v>1.8794405432746286</v>
      </c>
      <c r="BG14" s="20">
        <f t="shared" si="7"/>
        <v>11.821308863037162</v>
      </c>
      <c r="BH14" s="59">
        <f t="shared" si="8"/>
        <v>206.31710747215129</v>
      </c>
      <c r="BI14" s="59">
        <f ca="1">AVERAGE(OFFSET($BH$3,0,0,'Données projet'!$E$11+1,1))-AVERAGE(OFFSET($H$3,0,0,'Données projet'!$E$11+1,1))</f>
        <v>403.89478276355294</v>
      </c>
      <c r="BJ14" s="59">
        <f t="shared" si="38"/>
        <v>241.1593989733278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10.8</v>
      </c>
      <c r="BY14" s="12">
        <f>IF('Données projet'!$A$114&gt;35,BY13+BX14-CG13,IF(A14&lt;'Données projet'!$A$114,$BV$205^A14,IF(A14='Données projet'!$A$114,'Données projet'!$B$114,BY13+BX14-CG13)))</f>
        <v>21.8</v>
      </c>
      <c r="BZ14" s="13">
        <f>BY14*VLOOKUP('Données projet'!$B$12,Paramètres!$A$1:$I$89,3,0)*VLOOKUP('Données projet'!$B$12,Paramètres!$A$1:$I$89,5,0)</f>
        <v>17.344080000000002</v>
      </c>
      <c r="CA14" s="13">
        <f t="shared" si="39"/>
        <v>5.7341113912136308</v>
      </c>
      <c r="CB14" s="20">
        <f t="shared" si="10"/>
        <v>40.194516673030414</v>
      </c>
      <c r="CC14" s="59">
        <f t="shared" si="11"/>
        <v>234.69031528214455</v>
      </c>
      <c r="CD14" s="59">
        <f ca="1">AVERAGE(OFFSET($CC$3,0,0,'Données projet'!$E$12+1,1))-AVERAGE(OFFSET($H$3,0,0,'Données projet'!$E$12+1,1))</f>
        <v>377.27600411578322</v>
      </c>
      <c r="CE14" s="59">
        <f t="shared" si="40"/>
        <v>364.58250627635425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2.6666666666666665</v>
      </c>
      <c r="CT14" s="12">
        <f>IF('Données projet'!$A$140&gt;35,CT13+CS14-DB13,IF(A14&lt;'Données projet'!$A$140,$CQ$205^A14,IF(A14='Données projet'!$A$140,'Données projet'!$B$140,CT13+CS14-DB13)))</f>
        <v>14.956982779612416</v>
      </c>
      <c r="CU14" s="17">
        <f>CT14*VLOOKUP('Données projet'!$B$13,Paramètres!$A$1:$I$89,3,0)*VLOOKUP('Données projet'!$B$13,Paramètres!$A$1:$I$89,5,0)</f>
        <v>11.666446568097685</v>
      </c>
      <c r="CV14" s="13">
        <f t="shared" si="41"/>
        <v>4.0392339557111736</v>
      </c>
      <c r="CW14" s="20">
        <f t="shared" si="13"/>
        <v>27.354060245633761</v>
      </c>
      <c r="CX14" s="59">
        <f t="shared" si="14"/>
        <v>221.84985885474788</v>
      </c>
      <c r="CY14" s="59">
        <f ca="1">AVERAGE(OFFSET($CX$3,0,0,'Données projet'!$E$13+1,1))-AVERAGE(OFFSET($H$3,0,0,'Données projet'!$E$13+1,1))</f>
        <v>308.82719216177946</v>
      </c>
      <c r="CZ14" s="59">
        <f t="shared" si="42"/>
        <v>302.59481222418219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14</v>
      </c>
      <c r="DO14" s="12">
        <f>IF('Données projet'!$A$166&gt;35,DO13+DN14-DW13,IF(A14&lt;'Données projet'!$A$166,$DL$205^A14,IF(A14='Données projet'!$A$166,'Données projet'!$B$166,DO13+DN14-DW13)))</f>
        <v>84.000000000000014</v>
      </c>
      <c r="DP14" s="17">
        <f>DO14*VLOOKUP('Données projet'!$B$14,Paramètres!$A$1:$I$89,3,0)*VLOOKUP('Données projet'!$B$14,Paramètres!$A$1:$I$89,5,0)</f>
        <v>76.003200000000007</v>
      </c>
      <c r="DQ14" s="13">
        <f t="shared" si="43"/>
        <v>21.157049992000456</v>
      </c>
      <c r="DR14" s="20">
        <f t="shared" si="16"/>
        <v>169.22076873606747</v>
      </c>
      <c r="DS14" s="59">
        <f t="shared" si="17"/>
        <v>363.7165673451816</v>
      </c>
      <c r="DT14" s="59">
        <f ca="1">AVERAGE(OFFSET($DS$3,0,0,'Données projet'!$E$14+1,1))-AVERAGE(OFFSET($H$3,0,0,'Données projet'!$E$14+1,1))</f>
        <v>376.51107072413777</v>
      </c>
      <c r="DU14" s="59">
        <f t="shared" si="44"/>
        <v>532.90758914457615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9.4117948717948714</v>
      </c>
      <c r="EJ14" s="12">
        <f>IF('Données projet'!$A$192&gt;35,EJ13+EI14-ER13,IF(A14&lt;'Données projet'!$A$192,$EG$205^A14,IF(A14='Données projet'!$A$192,'Données projet'!$B$192,EJ13+EI14-ER13)))</f>
        <v>37.713200413498193</v>
      </c>
      <c r="EK14" s="17">
        <f>EJ14*VLOOKUP('Données projet'!$B$15,Paramètres!$A$1:$I$89,3,0)*VLOOKUP('Données projet'!$B$15,Paramètres!$A$1:$I$89,5,0)</f>
        <v>22.552493847271922</v>
      </c>
      <c r="EL14" s="13">
        <f t="shared" si="45"/>
        <v>7.2316065521467667</v>
      </c>
      <c r="EM14" s="20">
        <f t="shared" si="19"/>
        <v>51.873974862320885</v>
      </c>
      <c r="EN14" s="59">
        <f t="shared" si="20"/>
        <v>246.36977347143502</v>
      </c>
      <c r="EO14" s="59">
        <f ca="1">AVERAGE(OFFSET($EN$3,0,0,'Données projet'!$E$15+1,1))-AVERAGE(OFFSET($H$3,0,0,'Données projet'!$E$15+1,1))</f>
        <v>337.99164391755608</v>
      </c>
      <c r="EP14" s="59">
        <f t="shared" si="46"/>
        <v>421.45428231923393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2.9235042735042733</v>
      </c>
      <c r="N15" s="13">
        <f>IF('Données projet'!$A$36&gt;35,N14+M15-V14,IF(A15&lt;'Données projet'!$A$36,$K$205^A15,IF(A15='Données projet'!$A$36,'Données projet'!$B$36,N14+M15-V14)))</f>
        <v>5.9870101592612031</v>
      </c>
      <c r="O15" s="13">
        <f>N15*VLOOKUP('Données projet'!$B$9,Paramètres!$A$1:$I$89,3,0)*VLOOKUP('Données projet'!$B$9,Paramètres!$A$1:$I$89,5,0)</f>
        <v>5.4170467920995362</v>
      </c>
      <c r="P15" s="13">
        <f t="shared" si="33"/>
        <v>2.05071206609116</v>
      </c>
      <c r="Q15" s="20">
        <f t="shared" si="2"/>
        <v>13.006346678015461</v>
      </c>
      <c r="R15" s="59">
        <f t="shared" si="0"/>
        <v>210.03612413074833</v>
      </c>
      <c r="S15" s="59">
        <f ca="1">AVERAGE(OFFSET($R$3,0,0,'Données projet'!$E$9+1,1))-AVERAGE(OFFSET($H$3,0,0,'Données projet'!$E$9+1,1))</f>
        <v>388.1278150896951</v>
      </c>
      <c r="T15" s="59">
        <f t="shared" si="34"/>
        <v>232.26614607059227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2.9235042735042733</v>
      </c>
      <c r="AI15" s="13">
        <f>IF('Données projet'!$A$62&gt;35,AI14+AH15-AQ14,IF(A15&lt;'Données projet'!$A$62,$AF$205^A15,IF(A15='Données projet'!$A$62,'Données projet'!$B$62,AI14+AH15-AQ14)))</f>
        <v>5.9870101592612031</v>
      </c>
      <c r="AJ15" s="13">
        <f>AI15*VLOOKUP('Données projet'!$B$10,Paramètres!$A$1:$I$89,3,0)*VLOOKUP('Données projet'!$B$10,Paramètres!$A$1:$I$89,5,0)</f>
        <v>6.0708283014908604</v>
      </c>
      <c r="AK15" s="13">
        <f t="shared" si="35"/>
        <v>2.2679316068756354</v>
      </c>
      <c r="AL15" s="20">
        <f t="shared" si="4"/>
        <v>14.523340173738314</v>
      </c>
      <c r="AM15" s="59">
        <f t="shared" si="5"/>
        <v>211.55311762647119</v>
      </c>
      <c r="AN15" s="59">
        <f ca="1">AVERAGE(OFFSET($AM$3,0,0,'Données projet'!$E$10+1,1))-AVERAGE(OFFSET($H$3,0,0,'Données projet'!$E$10+1,1))</f>
        <v>424.89201140676084</v>
      </c>
      <c r="AO15" s="59">
        <f t="shared" si="36"/>
        <v>253.0016648946303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2.9235042735042733</v>
      </c>
      <c r="BD15" s="12">
        <f>IF('Données projet'!$A$88&gt;35,BD14+BC15-BL14,IF(A15&lt;'Données projet'!$A$88,$BA$205^A15,IF(A15='Données projet'!$A$88,'Données projet'!$B$88,BD14+BC15-BL14)))</f>
        <v>5.9870101592612031</v>
      </c>
      <c r="BE15" s="13">
        <f>BD15*VLOOKUP('Données projet'!$B$11,Paramètres!$A$1:$I$89,3,0)*VLOOKUP('Données projet'!$B$11,Paramètres!$A$1:$I$89,5,0)</f>
        <v>5.6972388675529606</v>
      </c>
      <c r="BF15" s="13">
        <f t="shared" si="37"/>
        <v>2.1441598223053449</v>
      </c>
      <c r="BG15" s="20">
        <f t="shared" si="7"/>
        <v>13.657102718169881</v>
      </c>
      <c r="BH15" s="59">
        <f t="shared" si="8"/>
        <v>210.68688017090275</v>
      </c>
      <c r="BI15" s="59">
        <f ca="1">AVERAGE(OFFSET($BH$3,0,0,'Données projet'!$E$11+1,1))-AVERAGE(OFFSET($H$3,0,0,'Données projet'!$E$11+1,1))</f>
        <v>403.89478276355294</v>
      </c>
      <c r="BJ15" s="59">
        <f t="shared" si="38"/>
        <v>241.1593989733278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10.8</v>
      </c>
      <c r="BY15" s="12">
        <f>IF('Données projet'!$A$114&gt;35,BY14+BX15-CG14,IF(A15&lt;'Données projet'!$A$114,$BV$205^A15,IF(A15='Données projet'!$A$114,'Données projet'!$B$114,BY14+BX15-CG14)))</f>
        <v>32.6</v>
      </c>
      <c r="BZ15" s="13">
        <f>BY15*VLOOKUP('Données projet'!$B$12,Paramètres!$A$1:$I$89,3,0)*VLOOKUP('Données projet'!$B$12,Paramètres!$A$1:$I$89,5,0)</f>
        <v>25.936560000000004</v>
      </c>
      <c r="CA15" s="13">
        <f t="shared" si="39"/>
        <v>8.1824816304360635</v>
      </c>
      <c r="CB15" s="20">
        <f t="shared" si="10"/>
        <v>59.423997506342801</v>
      </c>
      <c r="CC15" s="59">
        <f t="shared" si="11"/>
        <v>256.45377495907564</v>
      </c>
      <c r="CD15" s="59">
        <f ca="1">AVERAGE(OFFSET($CC$3,0,0,'Données projet'!$E$12+1,1))-AVERAGE(OFFSET($H$3,0,0,'Données projet'!$E$12+1,1))</f>
        <v>377.27600411578322</v>
      </c>
      <c r="CE15" s="59">
        <f t="shared" si="40"/>
        <v>364.58250627635425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2.6666666666666665</v>
      </c>
      <c r="CT15" s="12">
        <f>IF('Données projet'!$A$140&gt;35,CT14+CS15-DB14,IF(A15&lt;'Données projet'!$A$140,$CQ$205^A15,IF(A15='Données projet'!$A$140,'Données projet'!$B$140,CT14+CS15-DB14)))</f>
        <v>19.127049995800721</v>
      </c>
      <c r="CU15" s="17">
        <f>CT15*VLOOKUP('Données projet'!$B$13,Paramètres!$A$1:$I$89,3,0)*VLOOKUP('Données projet'!$B$13,Paramètres!$A$1:$I$89,5,0)</f>
        <v>14.919098996724562</v>
      </c>
      <c r="CV15" s="13">
        <f t="shared" si="41"/>
        <v>5.019622097301081</v>
      </c>
      <c r="CW15" s="20">
        <f t="shared" si="13"/>
        <v>34.726605905427995</v>
      </c>
      <c r="CX15" s="59">
        <f t="shared" si="14"/>
        <v>231.75638335816086</v>
      </c>
      <c r="CY15" s="59">
        <f ca="1">AVERAGE(OFFSET($CX$3,0,0,'Données projet'!$E$13+1,1))-AVERAGE(OFFSET($H$3,0,0,'Données projet'!$E$13+1,1))</f>
        <v>308.82719216177946</v>
      </c>
      <c r="CZ15" s="59">
        <f t="shared" si="42"/>
        <v>302.59481222418219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14</v>
      </c>
      <c r="DO15" s="12">
        <f>IF('Données projet'!$A$166&gt;35,DO14+DN15-DW14,IF(A15&lt;'Données projet'!$A$166,$DL$205^A15,IF(A15='Données projet'!$A$166,'Données projet'!$B$166,DO14+DN15-DW14)))</f>
        <v>98.000000000000014</v>
      </c>
      <c r="DP15" s="17">
        <f>DO15*VLOOKUP('Données projet'!$B$14,Paramètres!$A$1:$I$89,3,0)*VLOOKUP('Données projet'!$B$14,Paramètres!$A$1:$I$89,5,0)</f>
        <v>88.670400000000015</v>
      </c>
      <c r="DQ15" s="13">
        <f t="shared" si="43"/>
        <v>24.244280250395512</v>
      </c>
      <c r="DR15" s="20">
        <f t="shared" si="16"/>
        <v>196.65973476943884</v>
      </c>
      <c r="DS15" s="59">
        <f t="shared" si="17"/>
        <v>393.68951222217174</v>
      </c>
      <c r="DT15" s="59">
        <f ca="1">AVERAGE(OFFSET($DS$3,0,0,'Données projet'!$E$14+1,1))-AVERAGE(OFFSET($H$3,0,0,'Données projet'!$E$14+1,1))</f>
        <v>376.51107072413777</v>
      </c>
      <c r="DU15" s="59">
        <f t="shared" si="44"/>
        <v>532.90758914457615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9.4117948717948714</v>
      </c>
      <c r="EJ15" s="12">
        <f>IF('Données projet'!$A$192&gt;35,EJ14+EI15-ER14,IF(A15&lt;'Données projet'!$A$192,$EG$205^A15,IF(A15='Données projet'!$A$192,'Données projet'!$B$192,EJ14+EI15-ER14)))</f>
        <v>52.457908329489165</v>
      </c>
      <c r="EK15" s="17">
        <f>EJ15*VLOOKUP('Données projet'!$B$15,Paramètres!$A$1:$I$89,3,0)*VLOOKUP('Données projet'!$B$15,Paramètres!$A$1:$I$89,5,0)</f>
        <v>31.369829181034525</v>
      </c>
      <c r="EL15" s="13">
        <f t="shared" si="45"/>
        <v>9.6798851383070676</v>
      </c>
      <c r="EM15" s="20">
        <f t="shared" si="19"/>
        <v>71.4949191061866</v>
      </c>
      <c r="EN15" s="59">
        <f t="shared" si="20"/>
        <v>268.52469655891946</v>
      </c>
      <c r="EO15" s="59">
        <f ca="1">AVERAGE(OFFSET($EN$3,0,0,'Données projet'!$E$15+1,1))-AVERAGE(OFFSET($H$3,0,0,'Données projet'!$E$15+1,1))</f>
        <v>337.99164391755608</v>
      </c>
      <c r="EP15" s="59">
        <f t="shared" si="46"/>
        <v>421.45428231923393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2.9235042735042733</v>
      </c>
      <c r="N16" s="13">
        <f>IF('Données projet'!$A$36&gt;35,N15+M16-V15,IF(A16&lt;'Données projet'!$A$36,$K$205^A16,IF(A16='Données projet'!$A$36,'Données projet'!$B$36,N15+M16-V15)))</f>
        <v>6.9498830208148057</v>
      </c>
      <c r="O16" s="13">
        <f>N16*VLOOKUP('Données projet'!$B$9,Paramètres!$A$1:$I$89,3,0)*VLOOKUP('Données projet'!$B$9,Paramètres!$A$1:$I$89,5,0)</f>
        <v>6.2882541572332364</v>
      </c>
      <c r="P16" s="13">
        <f t="shared" si="33"/>
        <v>2.3395549462651668</v>
      </c>
      <c r="Q16" s="20">
        <f t="shared" si="2"/>
        <v>15.026767521926386</v>
      </c>
      <c r="R16" s="59">
        <f t="shared" si="0"/>
        <v>214.5677677735452</v>
      </c>
      <c r="S16" s="59">
        <f ca="1">AVERAGE(OFFSET($R$3,0,0,'Données projet'!$E$9+1,1))-AVERAGE(OFFSET($H$3,0,0,'Données projet'!$E$9+1,1))</f>
        <v>388.1278150896951</v>
      </c>
      <c r="T16" s="59">
        <f t="shared" si="34"/>
        <v>232.26614607059227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2.9235042735042733</v>
      </c>
      <c r="AI16" s="13">
        <f>IF('Données projet'!$A$62&gt;35,AI15+AH16-AQ15,IF(A16&lt;'Données projet'!$A$62,$AF$205^A16,IF(A16='Données projet'!$A$62,'Données projet'!$B$62,AI15+AH16-AQ15)))</f>
        <v>6.9498830208148057</v>
      </c>
      <c r="AJ16" s="13">
        <f>AI16*VLOOKUP('Données projet'!$B$10,Paramètres!$A$1:$I$89,3,0)*VLOOKUP('Données projet'!$B$10,Paramètres!$A$1:$I$89,5,0)</f>
        <v>7.0471813831062136</v>
      </c>
      <c r="AK16" s="13">
        <f t="shared" si="35"/>
        <v>2.5873698684431186</v>
      </c>
      <c r="AL16" s="20">
        <f t="shared" si="4"/>
        <v>16.780176763115087</v>
      </c>
      <c r="AM16" s="59">
        <f t="shared" si="5"/>
        <v>216.32117701473391</v>
      </c>
      <c r="AN16" s="59">
        <f ca="1">AVERAGE(OFFSET($AM$3,0,0,'Données projet'!$E$10+1,1))-AVERAGE(OFFSET($H$3,0,0,'Données projet'!$E$10+1,1))</f>
        <v>424.89201140676084</v>
      </c>
      <c r="AO16" s="59">
        <f t="shared" si="36"/>
        <v>253.0016648946303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2.9235042735042733</v>
      </c>
      <c r="BD16" s="12">
        <f>IF('Données projet'!$A$88&gt;35,BD15+BC16-BL15,IF(A16&lt;'Données projet'!$A$88,$BA$205^A16,IF(A16='Données projet'!$A$88,'Données projet'!$B$88,BD15+BC16-BL15)))</f>
        <v>6.9498830208148057</v>
      </c>
      <c r="BE16" s="13">
        <f>BD16*VLOOKUP('Données projet'!$B$11,Paramètres!$A$1:$I$89,3,0)*VLOOKUP('Données projet'!$B$11,Paramètres!$A$1:$I$89,5,0)</f>
        <v>6.6135086826073701</v>
      </c>
      <c r="BF16" s="13">
        <f t="shared" si="37"/>
        <v>2.446164822845744</v>
      </c>
      <c r="BG16" s="20">
        <f t="shared" si="7"/>
        <v>15.77893135533084</v>
      </c>
      <c r="BH16" s="59">
        <f t="shared" si="8"/>
        <v>215.31993160694964</v>
      </c>
      <c r="BI16" s="59">
        <f ca="1">AVERAGE(OFFSET($BH$3,0,0,'Données projet'!$E$11+1,1))-AVERAGE(OFFSET($H$3,0,0,'Données projet'!$E$11+1,1))</f>
        <v>403.89478276355294</v>
      </c>
      <c r="BJ16" s="59">
        <f t="shared" si="38"/>
        <v>241.1593989733278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10.8</v>
      </c>
      <c r="BY16" s="12">
        <f>IF('Données projet'!$A$114&gt;35,BY15+BX16-CG15,IF(A16&lt;'Données projet'!$A$114,$BV$205^A16,IF(A16='Données projet'!$A$114,'Données projet'!$B$114,BY15+BX16-CG15)))</f>
        <v>43.400000000000006</v>
      </c>
      <c r="BZ16" s="13">
        <f>BY16*VLOOKUP('Données projet'!$B$12,Paramètres!$A$1:$I$89,3,0)*VLOOKUP('Données projet'!$B$12,Paramètres!$A$1:$I$89,5,0)</f>
        <v>34.529040000000009</v>
      </c>
      <c r="CA16" s="13">
        <f t="shared" si="39"/>
        <v>10.536391336679102</v>
      </c>
      <c r="CB16" s="20">
        <f t="shared" si="10"/>
        <v>78.488959578049446</v>
      </c>
      <c r="CC16" s="59">
        <f t="shared" si="11"/>
        <v>278.02995982966826</v>
      </c>
      <c r="CD16" s="59">
        <f ca="1">AVERAGE(OFFSET($CC$3,0,0,'Données projet'!$E$12+1,1))-AVERAGE(OFFSET($H$3,0,0,'Données projet'!$E$12+1,1))</f>
        <v>377.27600411578322</v>
      </c>
      <c r="CE16" s="59">
        <f t="shared" si="40"/>
        <v>364.58250627635425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2.6666666666666665</v>
      </c>
      <c r="CT16" s="12">
        <f>IF('Données projet'!$A$140&gt;35,CT15+CS16-DB15,IF(A16&lt;'Données projet'!$A$140,$CQ$205^A16,IF(A16='Données projet'!$A$140,'Données projet'!$B$140,CT15+CS16-DB15)))</f>
        <v>24.459748796430759</v>
      </c>
      <c r="CU16" s="17">
        <f>CT16*VLOOKUP('Données projet'!$B$13,Paramètres!$A$1:$I$89,3,0)*VLOOKUP('Données projet'!$B$13,Paramètres!$A$1:$I$89,5,0)</f>
        <v>19.078604061215994</v>
      </c>
      <c r="CV16" s="13">
        <f t="shared" si="41"/>
        <v>6.2379664748280286</v>
      </c>
      <c r="CW16" s="20">
        <f t="shared" si="13"/>
        <v>44.093027016943331</v>
      </c>
      <c r="CX16" s="59">
        <f t="shared" si="14"/>
        <v>243.63402726856214</v>
      </c>
      <c r="CY16" s="59">
        <f ca="1">AVERAGE(OFFSET($CX$3,0,0,'Données projet'!$E$13+1,1))-AVERAGE(OFFSET($H$3,0,0,'Données projet'!$E$13+1,1))</f>
        <v>308.82719216177946</v>
      </c>
      <c r="CZ16" s="59">
        <f t="shared" si="42"/>
        <v>302.59481222418219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14</v>
      </c>
      <c r="DO16" s="12">
        <f>IF('Données projet'!$A$166&gt;35,DO15+DN16-DW15,IF(A16&lt;'Données projet'!$A$166,$DL$205^A16,IF(A16='Données projet'!$A$166,'Données projet'!$B$166,DO15+DN16-DW15)))</f>
        <v>112.00000000000001</v>
      </c>
      <c r="DP16" s="17">
        <f>DO16*VLOOKUP('Données projet'!$B$14,Paramètres!$A$1:$I$89,3,0)*VLOOKUP('Données projet'!$B$14,Paramètres!$A$1:$I$89,5,0)</f>
        <v>101.33760000000001</v>
      </c>
      <c r="DQ16" s="13">
        <f t="shared" si="43"/>
        <v>27.280415454305565</v>
      </c>
      <c r="DR16" s="20">
        <f t="shared" si="16"/>
        <v>224.00971024958221</v>
      </c>
      <c r="DS16" s="59">
        <f t="shared" si="17"/>
        <v>423.55071050120102</v>
      </c>
      <c r="DT16" s="59">
        <f ca="1">AVERAGE(OFFSET($DS$3,0,0,'Données projet'!$E$14+1,1))-AVERAGE(OFFSET($H$3,0,0,'Données projet'!$E$14+1,1))</f>
        <v>376.51107072413777</v>
      </c>
      <c r="DU16" s="59">
        <f t="shared" si="44"/>
        <v>532.90758914457615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9.4117948717948714</v>
      </c>
      <c r="EJ16" s="12">
        <f>IF('Données projet'!$A$192&gt;35,EJ15+EI16-ER15,IF(A16&lt;'Données projet'!$A$192,$EG$205^A16,IF(A16='Données projet'!$A$192,'Données projet'!$B$192,EJ15+EI16-ER15)))</f>
        <v>72.967346078646827</v>
      </c>
      <c r="EK16" s="17">
        <f>EJ16*VLOOKUP('Données projet'!$B$15,Paramètres!$A$1:$I$89,3,0)*VLOOKUP('Données projet'!$B$15,Paramètres!$A$1:$I$89,5,0)</f>
        <v>43.634472955030802</v>
      </c>
      <c r="EL16" s="13">
        <f t="shared" si="45"/>
        <v>12.957034597381723</v>
      </c>
      <c r="EM16" s="20">
        <f t="shared" si="19"/>
        <v>98.563542320451802</v>
      </c>
      <c r="EN16" s="59">
        <f t="shared" si="20"/>
        <v>298.10454257207061</v>
      </c>
      <c r="EO16" s="59">
        <f ca="1">AVERAGE(OFFSET($EN$3,0,0,'Données projet'!$E$15+1,1))-AVERAGE(OFFSET($H$3,0,0,'Données projet'!$E$15+1,1))</f>
        <v>337.99164391755608</v>
      </c>
      <c r="EP16" s="59">
        <f t="shared" si="46"/>
        <v>421.45428231923393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2.9235042735042733</v>
      </c>
      <c r="N17" s="13">
        <f>IF('Données projet'!$A$36&gt;35,N16+M17-V16,IF(A17&lt;'Données projet'!$A$36,$K$205^A17,IF(A17='Données projet'!$A$36,'Données projet'!$B$36,N16+M17-V16)))</f>
        <v>8.0676118326430668</v>
      </c>
      <c r="O17" s="13">
        <f>N17*VLOOKUP('Données projet'!$B$9,Paramètres!$A$1:$I$89,3,0)*VLOOKUP('Données projet'!$B$9,Paramètres!$A$1:$I$89,5,0)</f>
        <v>7.2995751861754465</v>
      </c>
      <c r="P17" s="13">
        <f t="shared" si="33"/>
        <v>2.6690813581776105</v>
      </c>
      <c r="Q17" s="20">
        <f t="shared" si="2"/>
        <v>17.362076814748239</v>
      </c>
      <c r="R17" s="59">
        <f t="shared" si="0"/>
        <v>219.39193858702143</v>
      </c>
      <c r="S17" s="59">
        <f ca="1">AVERAGE(OFFSET($R$3,0,0,'Données projet'!$E$9+1,1))-AVERAGE(OFFSET($H$3,0,0,'Données projet'!$E$9+1,1))</f>
        <v>388.1278150896951</v>
      </c>
      <c r="T17" s="59">
        <f t="shared" si="34"/>
        <v>232.26614607059227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2.9235042735042733</v>
      </c>
      <c r="AI17" s="13">
        <f>IF('Données projet'!$A$62&gt;35,AI16+AH17-AQ16,IF(A17&lt;'Données projet'!$A$62,$AF$205^A17,IF(A17='Données projet'!$A$62,'Données projet'!$B$62,AI16+AH17-AQ16)))</f>
        <v>8.0676118326430668</v>
      </c>
      <c r="AJ17" s="13">
        <f>AI17*VLOOKUP('Données projet'!$B$10,Paramètres!$A$1:$I$89,3,0)*VLOOKUP('Données projet'!$B$10,Paramètres!$A$1:$I$89,5,0)</f>
        <v>8.1805583983000698</v>
      </c>
      <c r="AK17" s="13">
        <f t="shared" si="35"/>
        <v>2.9518010224963804</v>
      </c>
      <c r="AL17" s="20">
        <f t="shared" si="4"/>
        <v>19.388859324553817</v>
      </c>
      <c r="AM17" s="59">
        <f t="shared" si="5"/>
        <v>221.418721096827</v>
      </c>
      <c r="AN17" s="59">
        <f ca="1">AVERAGE(OFFSET($AM$3,0,0,'Données projet'!$E$10+1,1))-AVERAGE(OFFSET($H$3,0,0,'Données projet'!$E$10+1,1))</f>
        <v>424.89201140676084</v>
      </c>
      <c r="AO17" s="59">
        <f t="shared" si="36"/>
        <v>253.0016648946303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2.9235042735042733</v>
      </c>
      <c r="BD17" s="12">
        <f>IF('Données projet'!$A$88&gt;35,BD16+BC17-BL16,IF(A17&lt;'Données projet'!$A$88,$BA$205^A17,IF(A17='Données projet'!$A$88,'Données projet'!$B$88,BD16+BC17-BL16)))</f>
        <v>8.0676118326430668</v>
      </c>
      <c r="BE17" s="13">
        <f>BD17*VLOOKUP('Données projet'!$B$11,Paramètres!$A$1:$I$89,3,0)*VLOOKUP('Données projet'!$B$11,Paramètres!$A$1:$I$89,5,0)</f>
        <v>7.6771394199431429</v>
      </c>
      <c r="BF17" s="13">
        <f t="shared" si="37"/>
        <v>2.7907072403280107</v>
      </c>
      <c r="BG17" s="20">
        <f t="shared" si="7"/>
        <v>18.231499599972256</v>
      </c>
      <c r="BH17" s="59">
        <f t="shared" si="8"/>
        <v>220.26136137224546</v>
      </c>
      <c r="BI17" s="59">
        <f ca="1">AVERAGE(OFFSET($BH$3,0,0,'Données projet'!$E$11+1,1))-AVERAGE(OFFSET($H$3,0,0,'Données projet'!$E$11+1,1))</f>
        <v>403.89478276355294</v>
      </c>
      <c r="BJ17" s="59">
        <f t="shared" si="38"/>
        <v>241.1593989733278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10.8</v>
      </c>
      <c r="BY17" s="12">
        <f>IF('Données projet'!$A$114&gt;35,BY16+BX17-CG16,IF(A17&lt;'Données projet'!$A$114,$BV$205^A17,IF(A17='Données projet'!$A$114,'Données projet'!$B$114,BY16+BX17-CG16)))</f>
        <v>54.2</v>
      </c>
      <c r="BZ17" s="13">
        <f>BY17*VLOOKUP('Données projet'!$B$12,Paramètres!$A$1:$I$89,3,0)*VLOOKUP('Données projet'!$B$12,Paramètres!$A$1:$I$89,5,0)</f>
        <v>43.121520000000004</v>
      </c>
      <c r="CA17" s="13">
        <f t="shared" si="39"/>
        <v>12.822353245070515</v>
      </c>
      <c r="CB17" s="20">
        <f t="shared" si="10"/>
        <v>97.435579235164482</v>
      </c>
      <c r="CC17" s="59">
        <f t="shared" si="11"/>
        <v>299.46544100743768</v>
      </c>
      <c r="CD17" s="59">
        <f ca="1">AVERAGE(OFFSET($CC$3,0,0,'Données projet'!$E$12+1,1))-AVERAGE(OFFSET($H$3,0,0,'Données projet'!$E$12+1,1))</f>
        <v>377.27600411578322</v>
      </c>
      <c r="CE17" s="59">
        <f t="shared" si="40"/>
        <v>364.58250627635425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2.6666666666666665</v>
      </c>
      <c r="CT17" s="12">
        <f>IF('Données projet'!$A$140&gt;35,CT16+CS17-DB16,IF(A17&lt;'Données projet'!$A$140,$CQ$205^A17,IF(A17='Données projet'!$A$140,'Données projet'!$B$140,CT16+CS17-DB16)))</f>
        <v>31.279225563578599</v>
      </c>
      <c r="CU17" s="17">
        <f>CT17*VLOOKUP('Données projet'!$B$13,Paramètres!$A$1:$I$89,3,0)*VLOOKUP('Données projet'!$B$13,Paramètres!$A$1:$I$89,5,0)</f>
        <v>24.397795939591308</v>
      </c>
      <c r="CV17" s="13">
        <f t="shared" si="41"/>
        <v>7.75202295846145</v>
      </c>
      <c r="CW17" s="20">
        <f t="shared" si="13"/>
        <v>55.994267914108548</v>
      </c>
      <c r="CX17" s="59">
        <f t="shared" si="14"/>
        <v>258.02412968638174</v>
      </c>
      <c r="CY17" s="59">
        <f ca="1">AVERAGE(OFFSET($CX$3,0,0,'Données projet'!$E$13+1,1))-AVERAGE(OFFSET($H$3,0,0,'Données projet'!$E$13+1,1))</f>
        <v>308.82719216177946</v>
      </c>
      <c r="CZ17" s="59">
        <f t="shared" si="42"/>
        <v>302.59481222418219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14</v>
      </c>
      <c r="DO17" s="12">
        <f>IF('Données projet'!$A$166&gt;35,DO16+DN17-DW16,IF(A17&lt;'Données projet'!$A$166,$DL$205^A17,IF(A17='Données projet'!$A$166,'Données projet'!$B$166,DO16+DN17-DW16)))</f>
        <v>126.00000000000001</v>
      </c>
      <c r="DP17" s="17">
        <f>DO17*VLOOKUP('Données projet'!$B$14,Paramètres!$A$1:$I$89,3,0)*VLOOKUP('Données projet'!$B$14,Paramètres!$A$1:$I$89,5,0)</f>
        <v>114.0048</v>
      </c>
      <c r="DQ17" s="13">
        <f t="shared" si="43"/>
        <v>30.272573949217303</v>
      </c>
      <c r="DR17" s="20">
        <f t="shared" si="16"/>
        <v>251.28309296155342</v>
      </c>
      <c r="DS17" s="59">
        <f t="shared" si="17"/>
        <v>453.31295473382659</v>
      </c>
      <c r="DT17" s="59">
        <f ca="1">AVERAGE(OFFSET($DS$3,0,0,'Données projet'!$E$14+1,1))-AVERAGE(OFFSET($H$3,0,0,'Données projet'!$E$14+1,1))</f>
        <v>376.51107072413777</v>
      </c>
      <c r="DU17" s="59">
        <f t="shared" si="44"/>
        <v>532.90758914457615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9.4117948717948714</v>
      </c>
      <c r="EJ17" s="12">
        <f>IF('Données projet'!$A$192&gt;35,EJ16+EI17-ER16,IF(A17&lt;'Données projet'!$A$192,$EG$205^A17,IF(A17='Données projet'!$A$192,'Données projet'!$B$192,EJ16+EI17-ER16)))</f>
        <v>101.49534671339541</v>
      </c>
      <c r="EK17" s="17">
        <f>EJ17*VLOOKUP('Données projet'!$B$15,Paramètres!$A$1:$I$89,3,0)*VLOOKUP('Données projet'!$B$15,Paramètres!$A$1:$I$89,5,0)</f>
        <v>60.694217334610457</v>
      </c>
      <c r="EL17" s="13">
        <f t="shared" si="45"/>
        <v>17.343671248056637</v>
      </c>
      <c r="EM17" s="20">
        <f t="shared" si="19"/>
        <v>135.91598928147849</v>
      </c>
      <c r="EN17" s="59">
        <f t="shared" si="20"/>
        <v>337.94585105375165</v>
      </c>
      <c r="EO17" s="59">
        <f ca="1">AVERAGE(OFFSET($EN$3,0,0,'Données projet'!$E$15+1,1))-AVERAGE(OFFSET($H$3,0,0,'Données projet'!$E$15+1,1))</f>
        <v>337.99164391755608</v>
      </c>
      <c r="EP17" s="59">
        <f t="shared" si="46"/>
        <v>421.45428231923393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2.9235042735042733</v>
      </c>
      <c r="N18" s="13">
        <f>IF('Données projet'!$A$36&gt;35,N17+M18-V17,IF(A18&lt;'Données projet'!$A$36,$K$205^A18,IF(A18='Données projet'!$A$36,'Données projet'!$B$36,N17+M18-V17)))</f>
        <v>9.3651016121091022</v>
      </c>
      <c r="O18" s="13">
        <f>N18*VLOOKUP('Données projet'!$B$9,Paramètres!$A$1:$I$89,3,0)*VLOOKUP('Données projet'!$B$9,Paramètres!$A$1:$I$89,5,0)</f>
        <v>8.4735439386363147</v>
      </c>
      <c r="P18" s="13">
        <f t="shared" si="33"/>
        <v>3.045021578973337</v>
      </c>
      <c r="Q18" s="20">
        <f t="shared" si="2"/>
        <v>20.06150160983681</v>
      </c>
      <c r="R18" s="59">
        <f t="shared" si="0"/>
        <v>224.55825154271787</v>
      </c>
      <c r="S18" s="59">
        <f ca="1">AVERAGE(OFFSET($R$3,0,0,'Données projet'!$E$9+1,1))-AVERAGE(OFFSET($H$3,0,0,'Données projet'!$E$9+1,1))</f>
        <v>388.1278150896951</v>
      </c>
      <c r="T18" s="59">
        <f t="shared" si="34"/>
        <v>232.26614607059227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2.9235042735042733</v>
      </c>
      <c r="AI18" s="13">
        <f>IF('Données projet'!$A$62&gt;35,AI17+AH18-AQ17,IF(A18&lt;'Données projet'!$A$62,$AF$205^A18,IF(A18='Données projet'!$A$62,'Données projet'!$B$62,AI17+AH18-AQ17)))</f>
        <v>9.3651016121091022</v>
      </c>
      <c r="AJ18" s="13">
        <f>AI18*VLOOKUP('Données projet'!$B$10,Paramètres!$A$1:$I$89,3,0)*VLOOKUP('Données projet'!$B$10,Paramètres!$A$1:$I$89,5,0)</f>
        <v>9.4962130346786306</v>
      </c>
      <c r="AK18" s="13">
        <f t="shared" si="35"/>
        <v>3.3675623198215465</v>
      </c>
      <c r="AL18" s="20">
        <f t="shared" si="4"/>
        <v>22.40440874242114</v>
      </c>
      <c r="AM18" s="59">
        <f t="shared" si="5"/>
        <v>226.90115867530218</v>
      </c>
      <c r="AN18" s="59">
        <f ca="1">AVERAGE(OFFSET($AM$3,0,0,'Données projet'!$E$10+1,1))-AVERAGE(OFFSET($H$3,0,0,'Données projet'!$E$10+1,1))</f>
        <v>424.89201140676084</v>
      </c>
      <c r="AO18" s="59">
        <f t="shared" si="36"/>
        <v>253.0016648946303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2.9235042735042733</v>
      </c>
      <c r="BD18" s="12">
        <f>IF('Données projet'!$A$88&gt;35,BD17+BC18-BL17,IF(A18&lt;'Données projet'!$A$88,$BA$205^A18,IF(A18='Données projet'!$A$88,'Données projet'!$B$88,BD17+BC18-BL17)))</f>
        <v>9.3651016121091022</v>
      </c>
      <c r="BE18" s="13">
        <f>BD18*VLOOKUP('Données projet'!$B$11,Paramètres!$A$1:$I$89,3,0)*VLOOKUP('Données projet'!$B$11,Paramètres!$A$1:$I$89,5,0)</f>
        <v>8.9118306940830223</v>
      </c>
      <c r="BF18" s="13">
        <f t="shared" si="37"/>
        <v>3.183778471705339</v>
      </c>
      <c r="BG18" s="20">
        <f t="shared" si="7"/>
        <v>21.066519297081395</v>
      </c>
      <c r="BH18" s="59">
        <f t="shared" si="8"/>
        <v>225.56326922996243</v>
      </c>
      <c r="BI18" s="59">
        <f ca="1">AVERAGE(OFFSET($BH$3,0,0,'Données projet'!$E$11+1,1))-AVERAGE(OFFSET($H$3,0,0,'Données projet'!$E$11+1,1))</f>
        <v>403.89478276355294</v>
      </c>
      <c r="BJ18" s="59">
        <f t="shared" si="38"/>
        <v>241.1593989733278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65</v>
      </c>
      <c r="BW18" s="12">
        <f>VLOOKUP(A18,'Données projet'!$A$113:$I$133,9,0)</f>
        <v>10.8</v>
      </c>
      <c r="BX18" s="12">
        <f t="array" ref="BX18">INDEX(BW:BW,MIN(IF(ISNUMBER(BW18:BW214),ROW(BW18:BW214),"")))</f>
        <v>10.8</v>
      </c>
      <c r="BY18" s="12">
        <f>IF('Données projet'!$A$114&gt;35,BY17+BX18-CG17,IF(A18&lt;'Données projet'!$A$114,$BV$205^A18,IF(A18='Données projet'!$A$114,'Données projet'!$B$114,BY17+BX18-CG17)))</f>
        <v>65</v>
      </c>
      <c r="BZ18" s="13">
        <f>BY18*VLOOKUP('Données projet'!$B$12,Paramètres!$A$1:$I$89,3,0)*VLOOKUP('Données projet'!$B$12,Paramètres!$A$1:$I$89,5,0)</f>
        <v>51.713999999999999</v>
      </c>
      <c r="CA18" s="13">
        <f t="shared" si="39"/>
        <v>15.055535578337075</v>
      </c>
      <c r="CB18" s="20">
        <f t="shared" si="10"/>
        <v>116.29027446560372</v>
      </c>
      <c r="CC18" s="59">
        <f t="shared" si="11"/>
        <v>320.78702439848473</v>
      </c>
      <c r="CD18" s="59">
        <f ca="1">AVERAGE(OFFSET($CC$3,0,0,'Données projet'!$E$12+1,1))-AVERAGE(OFFSET($H$3,0,0,'Données projet'!$E$12+1,1))</f>
        <v>377.27600411578322</v>
      </c>
      <c r="CE18" s="59">
        <f t="shared" si="40"/>
        <v>364.58250627635425</v>
      </c>
      <c r="CF18" s="15">
        <f>IF(ISNA(VLOOKUP(A18,'Données projet'!$A$113:$I$133,3,0)),0,VLOOKUP(A18,'Données projet'!$A$113:$I$133,3,0))</f>
        <v>1</v>
      </c>
      <c r="CG18" s="15">
        <f>IF(ISNA(VLOOKUP(A18,'Données projet'!$A$113:$I$133,4,0)),0,VLOOKUP(A18,'Données projet'!$A$113:$I$133,4,0))</f>
        <v>32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40</v>
      </c>
      <c r="CR18" s="12">
        <f>VLOOKUP(A18,'Données projet'!$A$139:$I$159,9,0)</f>
        <v>2.6666666666666665</v>
      </c>
      <c r="CS18" s="12">
        <f t="array" ref="CS18">INDEX(CR:CR,MIN(IF(ISNUMBER(CR18:CR214),ROW(CR18:CR214),"")))</f>
        <v>2.6666666666666665</v>
      </c>
      <c r="CT18" s="12">
        <f>IF('Données projet'!$A$140&gt;35,CT17+CS18-DB17,IF(A18&lt;'Données projet'!$A$140,$CQ$205^A18,IF(A18='Données projet'!$A$140,'Données projet'!$B$140,CT17+CS18-DB17)))</f>
        <v>40</v>
      </c>
      <c r="CU18" s="17">
        <f>CT18*VLOOKUP('Données projet'!$B$13,Paramètres!$A$1:$I$89,3,0)*VLOOKUP('Données projet'!$B$13,Paramètres!$A$1:$I$89,5,0)</f>
        <v>31.200000000000003</v>
      </c>
      <c r="CV18" s="13">
        <f t="shared" si="41"/>
        <v>9.6335657126419925</v>
      </c>
      <c r="CW18" s="20">
        <f t="shared" si="13"/>
        <v>71.118460282851473</v>
      </c>
      <c r="CX18" s="59">
        <f t="shared" si="14"/>
        <v>275.61521021573253</v>
      </c>
      <c r="CY18" s="59">
        <f ca="1">AVERAGE(OFFSET($CX$3,0,0,'Données projet'!$E$13+1,1))-AVERAGE(OFFSET($H$3,0,0,'Données projet'!$E$13+1,1))</f>
        <v>308.82719216177946</v>
      </c>
      <c r="CZ18" s="59">
        <f t="shared" si="42"/>
        <v>302.59481222418219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3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140</v>
      </c>
      <c r="DM18" s="12">
        <f>VLOOKUP(A18,'Données projet'!$A$165:$I$185,9,0)</f>
        <v>14</v>
      </c>
      <c r="DN18" s="12">
        <f t="array" ref="DN18">INDEX(DM:DM,MIN(IF(ISNUMBER(DM18:DM214),ROW(DM18:DM214),"")))</f>
        <v>14</v>
      </c>
      <c r="DO18" s="12">
        <f>IF('Données projet'!$A$166&gt;35,DO17+DN18-DW17,IF(A18&lt;'Données projet'!$A$166,$DL$205^A18,IF(A18='Données projet'!$A$166,'Données projet'!$B$166,DO17+DN18-DW17)))</f>
        <v>140</v>
      </c>
      <c r="DP18" s="17">
        <f>DO18*VLOOKUP('Données projet'!$B$14,Paramètres!$A$1:$I$89,3,0)*VLOOKUP('Données projet'!$B$14,Paramètres!$A$1:$I$89,5,0)</f>
        <v>126.67199999999998</v>
      </c>
      <c r="DQ18" s="13">
        <f t="shared" si="43"/>
        <v>33.226199426361347</v>
      </c>
      <c r="DR18" s="20">
        <f t="shared" si="16"/>
        <v>278.48936400091264</v>
      </c>
      <c r="DS18" s="59">
        <f t="shared" si="17"/>
        <v>482.98611393379372</v>
      </c>
      <c r="DT18" s="59">
        <f ca="1">AVERAGE(OFFSET($DS$3,0,0,'Données projet'!$E$14+1,1))-AVERAGE(OFFSET($H$3,0,0,'Données projet'!$E$14+1,1))</f>
        <v>376.51107072413777</v>
      </c>
      <c r="DU18" s="59">
        <f t="shared" si="44"/>
        <v>532.90758914457615</v>
      </c>
      <c r="DV18" s="15">
        <f>IF(ISNA(VLOOKUP(A18,'Données projet'!$A$165:$I$185,3,0)),0,VLOOKUP(A18,'Données projet'!$A$165:$I$185,3,0))</f>
        <v>3</v>
      </c>
      <c r="DW18" s="15">
        <f>IF(ISNA(VLOOKUP(A18,'Données projet'!$A$165:$I$185,4,0)),0,VLOOKUP(A18,'Données projet'!$A$165:$I$185,4,0))</f>
        <v>23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>
        <f>VLOOKUP(A18,'Données projet'!$A$191:$I$211,2,0)</f>
        <v>141.17692307692306</v>
      </c>
      <c r="EH18" s="12">
        <f>VLOOKUP(A18,'Données projet'!$A$191:$I$211,9,0)</f>
        <v>9.4117948717948714</v>
      </c>
      <c r="EI18" s="12">
        <f t="array" ref="EI18">INDEX(EH:EH,MIN(IF(ISNUMBER(EH18:EH214),ROW(EH18:EH214),"")))</f>
        <v>9.4117948717948714</v>
      </c>
      <c r="EJ18" s="12">
        <f>IF('Données projet'!$A$192&gt;35,EJ17+EI18-ER17,IF(A18&lt;'Données projet'!$A$192,$EG$205^A18,IF(A18='Données projet'!$A$192,'Données projet'!$B$192,EJ17+EI18-ER17)))</f>
        <v>141.17692307692306</v>
      </c>
      <c r="EK18" s="17">
        <f>EJ18*VLOOKUP('Données projet'!$B$15,Paramètres!$A$1:$I$89,3,0)*VLOOKUP('Données projet'!$B$15,Paramètres!$A$1:$I$89,5,0)</f>
        <v>84.423799999999986</v>
      </c>
      <c r="EL18" s="13">
        <f t="shared" si="45"/>
        <v>23.215414769475935</v>
      </c>
      <c r="EM18" s="20">
        <f t="shared" si="19"/>
        <v>187.47163239017053</v>
      </c>
      <c r="EN18" s="59">
        <f t="shared" si="20"/>
        <v>391.96838232305157</v>
      </c>
      <c r="EO18" s="59">
        <f ca="1">AVERAGE(OFFSET($EN$3,0,0,'Données projet'!$E$15+1,1))-AVERAGE(OFFSET($H$3,0,0,'Données projet'!$E$15+1,1))</f>
        <v>337.99164391755608</v>
      </c>
      <c r="EP18" s="59">
        <f t="shared" si="46"/>
        <v>421.45428231923393</v>
      </c>
      <c r="EQ18" s="15">
        <f>IF(ISNA(VLOOKUP(A18,'Données projet'!$A$191:$I$211,3,0)),0,VLOOKUP(A18,'Données projet'!$A$191:$I$211,3,0))</f>
        <v>1</v>
      </c>
      <c r="ER18" s="15">
        <f>IF(ISNA(VLOOKUP(A18,'Données projet'!$A$191:$I$211,4,0)),0,VLOOKUP(A18,'Données projet'!$A$191:$I$211,4,0))</f>
        <v>49.784615384615385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0.25200000000000006</v>
      </c>
      <c r="EU18" s="16">
        <f>IF(ISNA(VLOOKUP(A18,'Données projet'!$A$191:$I$211,7,0)),0%,VLOOKUP(A18,'Données projet'!$A$191:$I$211,7,0))</f>
        <v>0.44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9.9131546026642408</v>
      </c>
      <c r="EX18" s="21">
        <f>EXP(-LN(2)/2)*EX17+(1-EXP(-LN(2)/2))/(LN(2)/2)*ER18*EU18*VLOOKUP('Données projet'!$B$15,Paramètres!$A$1:$I$89,3,0)*0.475*44/12</f>
        <v>14.831482237492764</v>
      </c>
      <c r="EY18" s="22">
        <f t="shared" si="21"/>
        <v>24.744636840157007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2.9235042735042733</v>
      </c>
      <c r="N19" s="13">
        <f>IF('Données projet'!$A$36&gt;35,N18+M19-V18,IF(A19&lt;'Données projet'!$A$36,$K$205^A19,IF(A19='Données projet'!$A$36,'Données projet'!$B$36,N18+M19-V18)))</f>
        <v>10.87126277571476</v>
      </c>
      <c r="O19" s="13">
        <f>N19*VLOOKUP('Données projet'!$B$9,Paramètres!$A$1:$I$89,3,0)*VLOOKUP('Données projet'!$B$9,Paramètres!$A$1:$I$89,5,0)</f>
        <v>9.8363185594667133</v>
      </c>
      <c r="P19" s="13">
        <f t="shared" si="33"/>
        <v>3.4739129955724146</v>
      </c>
      <c r="Q19" s="20">
        <f t="shared" si="2"/>
        <v>23.181986625026479</v>
      </c>
      <c r="R19" s="59">
        <f t="shared" si="0"/>
        <v>230.12403254714053</v>
      </c>
      <c r="S19" s="59">
        <f ca="1">AVERAGE(OFFSET($R$3,0,0,'Données projet'!$E$9+1,1))-AVERAGE(OFFSET($H$3,0,0,'Données projet'!$E$9+1,1))</f>
        <v>388.1278150896951</v>
      </c>
      <c r="T19" s="59">
        <f t="shared" si="34"/>
        <v>232.26614607059227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2.9235042735042733</v>
      </c>
      <c r="AI19" s="13">
        <f>IF('Données projet'!$A$62&gt;35,AI18+AH19-AQ18,IF(A19&lt;'Données projet'!$A$62,$AF$205^A19,IF(A19='Données projet'!$A$62,'Données projet'!$B$62,AI18+AH19-AQ18)))</f>
        <v>10.87126277571476</v>
      </c>
      <c r="AJ19" s="13">
        <f>AI19*VLOOKUP('Données projet'!$B$10,Paramètres!$A$1:$I$89,3,0)*VLOOKUP('Données projet'!$B$10,Paramètres!$A$1:$I$89,5,0)</f>
        <v>11.023460454574767</v>
      </c>
      <c r="AK19" s="13">
        <f t="shared" si="35"/>
        <v>3.8418836132426954</v>
      </c>
      <c r="AL19" s="20">
        <f t="shared" si="4"/>
        <v>25.890474251448747</v>
      </c>
      <c r="AM19" s="59">
        <f t="shared" si="5"/>
        <v>232.83252017356281</v>
      </c>
      <c r="AN19" s="59">
        <f ca="1">AVERAGE(OFFSET($AM$3,0,0,'Données projet'!$E$10+1,1))-AVERAGE(OFFSET($H$3,0,0,'Données projet'!$E$10+1,1))</f>
        <v>424.89201140676084</v>
      </c>
      <c r="AO19" s="59">
        <f t="shared" si="36"/>
        <v>253.0016648946303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2.9235042735042733</v>
      </c>
      <c r="BD19" s="12">
        <f>IF('Données projet'!$A$88&gt;35,BD18+BC19-BL18,IF(A19&lt;'Données projet'!$A$88,$BA$205^A19,IF(A19='Données projet'!$A$88,'Données projet'!$B$88,BD18+BC19-BL18)))</f>
        <v>10.87126277571476</v>
      </c>
      <c r="BE19" s="13">
        <f>BD19*VLOOKUP('Données projet'!$B$11,Paramètres!$A$1:$I$89,3,0)*VLOOKUP('Données projet'!$B$11,Paramètres!$A$1:$I$89,5,0)</f>
        <v>10.345093657370166</v>
      </c>
      <c r="BF19" s="13">
        <f t="shared" si="37"/>
        <v>3.6322138024420574</v>
      </c>
      <c r="BG19" s="20">
        <f t="shared" si="7"/>
        <v>24.343810492506289</v>
      </c>
      <c r="BH19" s="59">
        <f t="shared" si="8"/>
        <v>231.28585641462035</v>
      </c>
      <c r="BI19" s="59">
        <f ca="1">AVERAGE(OFFSET($BH$3,0,0,'Données projet'!$E$11+1,1))-AVERAGE(OFFSET($H$3,0,0,'Données projet'!$E$11+1,1))</f>
        <v>403.89478276355294</v>
      </c>
      <c r="BJ19" s="59">
        <f t="shared" si="38"/>
        <v>241.1593989733278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13.8</v>
      </c>
      <c r="BY19" s="12">
        <f>IF('Données projet'!$A$114&gt;35,BY18+BX19-CG18,IF(A19&lt;'Données projet'!$A$114,$BV$205^A19,IF(A19='Données projet'!$A$114,'Données projet'!$B$114,BY18+BX19-CG18)))</f>
        <v>46.8</v>
      </c>
      <c r="BZ19" s="13">
        <f>BY19*VLOOKUP('Données projet'!$B$12,Paramètres!$A$1:$I$89,3,0)*VLOOKUP('Données projet'!$B$12,Paramètres!$A$1:$I$89,5,0)</f>
        <v>37.234079999999999</v>
      </c>
      <c r="CA19" s="13">
        <f t="shared" si="39"/>
        <v>11.262510356679771</v>
      </c>
      <c r="CB19" s="20">
        <f t="shared" si="10"/>
        <v>84.464894871217254</v>
      </c>
      <c r="CC19" s="59">
        <f t="shared" si="11"/>
        <v>291.40694079333133</v>
      </c>
      <c r="CD19" s="59">
        <f ca="1">AVERAGE(OFFSET($CC$3,0,0,'Données projet'!$E$12+1,1))-AVERAGE(OFFSET($H$3,0,0,'Données projet'!$E$12+1,1))</f>
        <v>377.27600411578322</v>
      </c>
      <c r="CE19" s="59">
        <f t="shared" si="40"/>
        <v>364.58250627635425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9.6</v>
      </c>
      <c r="CT19" s="12">
        <f>IF('Données projet'!$A$140&gt;35,CT18+CS19-DB18,IF(A19&lt;'Données projet'!$A$140,$CQ$205^A19,IF(A19='Données projet'!$A$140,'Données projet'!$B$140,CT18+CS19-DB18)))</f>
        <v>46.6</v>
      </c>
      <c r="CU19" s="17">
        <f>CT19*VLOOKUP('Données projet'!$B$13,Paramètres!$A$1:$I$89,3,0)*VLOOKUP('Données projet'!$B$13,Paramètres!$A$1:$I$89,5,0)</f>
        <v>36.347999999999999</v>
      </c>
      <c r="CV19" s="13">
        <f t="shared" si="41"/>
        <v>11.025356771848859</v>
      </c>
      <c r="CW19" s="20">
        <f t="shared" si="13"/>
        <v>82.508596377636763</v>
      </c>
      <c r="CX19" s="59">
        <f t="shared" si="14"/>
        <v>289.45064229975083</v>
      </c>
      <c r="CY19" s="59">
        <f ca="1">AVERAGE(OFFSET($CX$3,0,0,'Données projet'!$E$13+1,1))-AVERAGE(OFFSET($H$3,0,0,'Données projet'!$E$13+1,1))</f>
        <v>308.82719216177946</v>
      </c>
      <c r="CZ19" s="59">
        <f t="shared" si="42"/>
        <v>302.59481222418219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12.6</v>
      </c>
      <c r="DO19" s="12">
        <f>IF('Données projet'!$A$166&gt;35,DO18+DN19-DW18,IF(A19&lt;'Données projet'!$A$166,$DL$205^A19,IF(A19='Données projet'!$A$166,'Données projet'!$B$166,DO18+DN19-DW18)))</f>
        <v>129.6</v>
      </c>
      <c r="DP19" s="17">
        <f>DO19*VLOOKUP('Données projet'!$B$14,Paramètres!$A$1:$I$89,3,0)*VLOOKUP('Données projet'!$B$14,Paramètres!$A$1:$I$89,5,0)</f>
        <v>117.26208</v>
      </c>
      <c r="DQ19" s="13">
        <f t="shared" si="43"/>
        <v>31.035569170075775</v>
      </c>
      <c r="DR19" s="20">
        <f t="shared" si="16"/>
        <v>258.28507230454863</v>
      </c>
      <c r="DS19" s="59">
        <f t="shared" si="17"/>
        <v>465.2271182266627</v>
      </c>
      <c r="DT19" s="59">
        <f ca="1">AVERAGE(OFFSET($DS$3,0,0,'Données projet'!$E$14+1,1))-AVERAGE(OFFSET($H$3,0,0,'Données projet'!$E$14+1,1))</f>
        <v>376.51107072413777</v>
      </c>
      <c r="DU19" s="59">
        <f t="shared" si="44"/>
        <v>532.90758914457615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18.463076923076926</v>
      </c>
      <c r="EJ19" s="12">
        <f>IF('Données projet'!$A$192&gt;35,EJ18+EI19-ER18,IF(A19&lt;'Données projet'!$A$192,$EG$205^A19,IF(A19='Données projet'!$A$192,'Données projet'!$B$192,EJ18+EI19-ER18)))</f>
        <v>109.85538461538459</v>
      </c>
      <c r="EK19" s="17">
        <f>EJ19*VLOOKUP('Données projet'!$B$15,Paramètres!$A$1:$I$89,3,0)*VLOOKUP('Données projet'!$B$15,Paramètres!$A$1:$I$89,5,0)</f>
        <v>65.693519999999992</v>
      </c>
      <c r="EL19" s="13">
        <f t="shared" si="45"/>
        <v>18.600086973007183</v>
      </c>
      <c r="EM19" s="20">
        <f t="shared" si="19"/>
        <v>146.81136547798749</v>
      </c>
      <c r="EN19" s="59">
        <f t="shared" si="20"/>
        <v>353.75341140010153</v>
      </c>
      <c r="EO19" s="59">
        <f ca="1">AVERAGE(OFFSET($EN$3,0,0,'Données projet'!$E$15+1,1))-AVERAGE(OFFSET($H$3,0,0,'Données projet'!$E$15+1,1))</f>
        <v>337.99164391755608</v>
      </c>
      <c r="EP19" s="59">
        <f t="shared" si="46"/>
        <v>421.45428231923393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9.6420788687442442</v>
      </c>
      <c r="EX19" s="21">
        <f>EXP(-LN(2)/2)*EX18+(1-EXP(-LN(2)/2))/(LN(2)/2)*ER19*EU19*VLOOKUP('Données projet'!$B$15,Paramètres!$A$1:$I$89,3,0)*0.475*44/12</f>
        <v>10.487441665178963</v>
      </c>
      <c r="EY19" s="22">
        <f t="shared" si="21"/>
        <v>20.129520533923206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2.9235042735042733</v>
      </c>
      <c r="N20" s="13">
        <f>IF('Données projet'!$A$36&gt;35,N19+M20-V19,IF(A20&lt;'Données projet'!$A$36,$K$205^A20,IF(A20='Données projet'!$A$36,'Données projet'!$B$36,N19+M20-V19)))</f>
        <v>12.619655315413629</v>
      </c>
      <c r="O20" s="13">
        <f>N20*VLOOKUP('Données projet'!$B$9,Paramètres!$A$1:$I$89,3,0)*VLOOKUP('Données projet'!$B$9,Paramètres!$A$1:$I$89,5,0)</f>
        <v>11.418264129386252</v>
      </c>
      <c r="P20" s="13">
        <f t="shared" si="33"/>
        <v>3.9632137861156949</v>
      </c>
      <c r="Q20" s="20">
        <f t="shared" si="2"/>
        <v>26.789407369499227</v>
      </c>
      <c r="R20" s="59">
        <f t="shared" si="0"/>
        <v>236.15553168537195</v>
      </c>
      <c r="S20" s="59">
        <f ca="1">AVERAGE(OFFSET($R$3,0,0,'Données projet'!$E$9+1,1))-AVERAGE(OFFSET($H$3,0,0,'Données projet'!$E$9+1,1))</f>
        <v>388.1278150896951</v>
      </c>
      <c r="T20" s="59">
        <f t="shared" si="34"/>
        <v>232.26614607059227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2.9235042735042733</v>
      </c>
      <c r="AI20" s="13">
        <f>IF('Données projet'!$A$62&gt;35,AI19+AH20-AQ19,IF(A20&lt;'Données projet'!$A$62,$AF$205^A20,IF(A20='Données projet'!$A$62,'Données projet'!$B$62,AI19+AH20-AQ19)))</f>
        <v>12.619655315413629</v>
      </c>
      <c r="AJ20" s="13">
        <f>AI20*VLOOKUP('Données projet'!$B$10,Paramètres!$A$1:$I$89,3,0)*VLOOKUP('Données projet'!$B$10,Paramètres!$A$1:$I$89,5,0)</f>
        <v>12.796330489829421</v>
      </c>
      <c r="AK20" s="13">
        <f t="shared" si="35"/>
        <v>4.383013080656192</v>
      </c>
      <c r="AL20" s="20">
        <f t="shared" si="4"/>
        <v>29.92069005192911</v>
      </c>
      <c r="AM20" s="59">
        <f t="shared" si="5"/>
        <v>239.28681436780184</v>
      </c>
      <c r="AN20" s="59">
        <f ca="1">AVERAGE(OFFSET($AM$3,0,0,'Données projet'!$E$10+1,1))-AVERAGE(OFFSET($H$3,0,0,'Données projet'!$E$10+1,1))</f>
        <v>424.89201140676084</v>
      </c>
      <c r="AO20" s="59">
        <f t="shared" si="36"/>
        <v>253.0016648946303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2.9235042735042733</v>
      </c>
      <c r="BD20" s="12">
        <f>IF('Données projet'!$A$88&gt;35,BD19+BC20-BL19,IF(A20&lt;'Données projet'!$A$88,$BA$205^A20,IF(A20='Données projet'!$A$88,'Données projet'!$B$88,BD19+BC20-BL19)))</f>
        <v>12.619655315413629</v>
      </c>
      <c r="BE20" s="13">
        <f>BD20*VLOOKUP('Données projet'!$B$11,Paramètres!$A$1:$I$89,3,0)*VLOOKUP('Données projet'!$B$11,Paramètres!$A$1:$I$89,5,0)</f>
        <v>12.008863998147609</v>
      </c>
      <c r="BF20" s="13">
        <f t="shared" si="37"/>
        <v>4.1438112682456767</v>
      </c>
      <c r="BG20" s="20">
        <f t="shared" si="7"/>
        <v>28.132576088968303</v>
      </c>
      <c r="BH20" s="59">
        <f t="shared" si="8"/>
        <v>237.49870040484103</v>
      </c>
      <c r="BI20" s="59">
        <f ca="1">AVERAGE(OFFSET($BH$3,0,0,'Données projet'!$E$11+1,1))-AVERAGE(OFFSET($H$3,0,0,'Données projet'!$E$11+1,1))</f>
        <v>403.89478276355294</v>
      </c>
      <c r="BJ20" s="59">
        <f t="shared" si="38"/>
        <v>241.1593989733278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13.8</v>
      </c>
      <c r="BY20" s="12">
        <f>IF('Données projet'!$A$114&gt;35,BY19+BX20-CG19,IF(A20&lt;'Données projet'!$A$114,$BV$205^A20,IF(A20='Données projet'!$A$114,'Données projet'!$B$114,BY19+BX20-CG19)))</f>
        <v>60.599999999999994</v>
      </c>
      <c r="BZ20" s="13">
        <f>BY20*VLOOKUP('Données projet'!$B$12,Paramètres!$A$1:$I$89,3,0)*VLOOKUP('Données projet'!$B$12,Paramètres!$A$1:$I$89,5,0)</f>
        <v>48.213360000000002</v>
      </c>
      <c r="CA20" s="13">
        <f t="shared" si="39"/>
        <v>14.151379520104694</v>
      </c>
      <c r="CB20" s="20">
        <f t="shared" si="10"/>
        <v>108.61858799751566</v>
      </c>
      <c r="CC20" s="59">
        <f t="shared" si="11"/>
        <v>317.9847123133884</v>
      </c>
      <c r="CD20" s="59">
        <f ca="1">AVERAGE(OFFSET($CC$3,0,0,'Données projet'!$E$12+1,1))-AVERAGE(OFFSET($H$3,0,0,'Données projet'!$E$12+1,1))</f>
        <v>377.27600411578322</v>
      </c>
      <c r="CE20" s="59">
        <f t="shared" si="40"/>
        <v>364.58250627635425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9.6</v>
      </c>
      <c r="CT20" s="12">
        <f>IF('Données projet'!$A$140&gt;35,CT19+CS20-DB19,IF(A20&lt;'Données projet'!$A$140,$CQ$205^A20,IF(A20='Données projet'!$A$140,'Données projet'!$B$140,CT19+CS20-DB19)))</f>
        <v>56.2</v>
      </c>
      <c r="CU20" s="17">
        <f>CT20*VLOOKUP('Données projet'!$B$13,Paramètres!$A$1:$I$89,3,0)*VLOOKUP('Données projet'!$B$13,Paramètres!$A$1:$I$89,5,0)</f>
        <v>43.836000000000006</v>
      </c>
      <c r="CV20" s="13">
        <f t="shared" si="41"/>
        <v>13.009897179721728</v>
      </c>
      <c r="CW20" s="20">
        <f t="shared" si="13"/>
        <v>99.006604254682017</v>
      </c>
      <c r="CX20" s="59">
        <f t="shared" si="14"/>
        <v>308.37272857055473</v>
      </c>
      <c r="CY20" s="59">
        <f ca="1">AVERAGE(OFFSET($CX$3,0,0,'Données projet'!$E$13+1,1))-AVERAGE(OFFSET($H$3,0,0,'Données projet'!$E$13+1,1))</f>
        <v>308.82719216177946</v>
      </c>
      <c r="CZ20" s="59">
        <f t="shared" si="42"/>
        <v>302.59481222418219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12.6</v>
      </c>
      <c r="DO20" s="12">
        <f>IF('Données projet'!$A$166&gt;35,DO19+DN20-DW19,IF(A20&lt;'Données projet'!$A$166,$DL$205^A20,IF(A20='Données projet'!$A$166,'Données projet'!$B$166,DO19+DN20-DW19)))</f>
        <v>142.19999999999999</v>
      </c>
      <c r="DP20" s="17">
        <f>DO20*VLOOKUP('Données projet'!$B$14,Paramètres!$A$1:$I$89,3,0)*VLOOKUP('Données projet'!$B$14,Paramètres!$A$1:$I$89,5,0)</f>
        <v>128.66255999999998</v>
      </c>
      <c r="DQ20" s="13">
        <f t="shared" si="43"/>
        <v>33.687130461083775</v>
      </c>
      <c r="DR20" s="20">
        <f t="shared" si="16"/>
        <v>282.75904421972086</v>
      </c>
      <c r="DS20" s="59">
        <f t="shared" si="17"/>
        <v>492.12516853559362</v>
      </c>
      <c r="DT20" s="59">
        <f ca="1">AVERAGE(OFFSET($DS$3,0,0,'Données projet'!$E$14+1,1))-AVERAGE(OFFSET($H$3,0,0,'Données projet'!$E$14+1,1))</f>
        <v>376.51107072413777</v>
      </c>
      <c r="DU20" s="59">
        <f t="shared" si="44"/>
        <v>532.90758914457615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18.463076923076926</v>
      </c>
      <c r="EJ20" s="12">
        <f>IF('Données projet'!$A$192&gt;35,EJ19+EI20-ER19,IF(A20&lt;'Données projet'!$A$192,$EG$205^A20,IF(A20='Données projet'!$A$192,'Données projet'!$B$192,EJ19+EI20-ER19)))</f>
        <v>128.31846153846152</v>
      </c>
      <c r="EK20" s="17">
        <f>EJ20*VLOOKUP('Données projet'!$B$15,Paramètres!$A$1:$I$89,3,0)*VLOOKUP('Données projet'!$B$15,Paramètres!$A$1:$I$89,5,0)</f>
        <v>76.734439999999992</v>
      </c>
      <c r="EL20" s="13">
        <f t="shared" si="45"/>
        <v>21.336811414414317</v>
      </c>
      <c r="EM20" s="20">
        <f t="shared" si="19"/>
        <v>170.80742954677157</v>
      </c>
      <c r="EN20" s="59">
        <f t="shared" si="20"/>
        <v>380.17355386264433</v>
      </c>
      <c r="EO20" s="59">
        <f ca="1">AVERAGE(OFFSET($EN$3,0,0,'Données projet'!$E$15+1,1))-AVERAGE(OFFSET($H$3,0,0,'Données projet'!$E$15+1,1))</f>
        <v>337.99164391755608</v>
      </c>
      <c r="EP20" s="59">
        <f t="shared" si="46"/>
        <v>421.45428231923393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9.378415715023543</v>
      </c>
      <c r="EX20" s="21">
        <f>EXP(-LN(2)/2)*EX19+(1-EXP(-LN(2)/2))/(LN(2)/2)*ER20*EU20*VLOOKUP('Données projet'!$B$15,Paramètres!$A$1:$I$89,3,0)*0.475*44/12</f>
        <v>7.4157411187463831</v>
      </c>
      <c r="EY20" s="22">
        <f t="shared" si="21"/>
        <v>16.794156833769925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2.9235042735042733</v>
      </c>
      <c r="N21" s="13">
        <f>IF('Données projet'!$A$36&gt;35,N20+M21-V20,IF(A21&lt;'Données projet'!$A$36,$K$205^A21,IF(A21='Données projet'!$A$36,'Données projet'!$B$36,N20+M21-V20)))</f>
        <v>14.649236575865659</v>
      </c>
      <c r="O21" s="13">
        <f>N21*VLOOKUP('Données projet'!$B$9,Paramètres!$A$1:$I$89,3,0)*VLOOKUP('Données projet'!$B$9,Paramètres!$A$1:$I$89,5,0)</f>
        <v>13.254629253843246</v>
      </c>
      <c r="P21" s="13">
        <f t="shared" si="33"/>
        <v>4.5214326134467182</v>
      </c>
      <c r="Q21" s="20">
        <f t="shared" si="2"/>
        <v>30.959974418863357</v>
      </c>
      <c r="R21" s="59">
        <f t="shared" si="0"/>
        <v>242.72932761086648</v>
      </c>
      <c r="S21" s="59">
        <f ca="1">AVERAGE(OFFSET($R$3,0,0,'Données projet'!$E$9+1,1))-AVERAGE(OFFSET($H$3,0,0,'Données projet'!$E$9+1,1))</f>
        <v>388.1278150896951</v>
      </c>
      <c r="T21" s="59">
        <f t="shared" si="34"/>
        <v>232.26614607059227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2.9235042735042733</v>
      </c>
      <c r="AI21" s="13">
        <f>IF('Données projet'!$A$62&gt;35,AI20+AH21-AQ20,IF(A21&lt;'Données projet'!$A$62,$AF$205^A21,IF(A21='Données projet'!$A$62,'Données projet'!$B$62,AI20+AH21-AQ20)))</f>
        <v>14.649236575865659</v>
      </c>
      <c r="AJ21" s="13">
        <f>AI21*VLOOKUP('Données projet'!$B$10,Paramètres!$A$1:$I$89,3,0)*VLOOKUP('Données projet'!$B$10,Paramètres!$A$1:$I$89,5,0)</f>
        <v>14.85432588792778</v>
      </c>
      <c r="AK21" s="13">
        <f t="shared" si="35"/>
        <v>5.000360656159657</v>
      </c>
      <c r="AL21" s="20">
        <f t="shared" si="4"/>
        <v>34.580245730952278</v>
      </c>
      <c r="AM21" s="59">
        <f t="shared" si="5"/>
        <v>246.34959892295538</v>
      </c>
      <c r="AN21" s="59">
        <f ca="1">AVERAGE(OFFSET($AM$3,0,0,'Données projet'!$E$10+1,1))-AVERAGE(OFFSET($H$3,0,0,'Données projet'!$E$10+1,1))</f>
        <v>424.89201140676084</v>
      </c>
      <c r="AO21" s="59">
        <f t="shared" si="36"/>
        <v>253.0016648946303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2.9235042735042733</v>
      </c>
      <c r="BD21" s="12">
        <f>IF('Données projet'!$A$88&gt;35,BD20+BC21-BL20,IF(A21&lt;'Données projet'!$A$88,$BA$205^A21,IF(A21='Données projet'!$A$88,'Données projet'!$B$88,BD20+BC21-BL20)))</f>
        <v>14.649236575865659</v>
      </c>
      <c r="BE21" s="13">
        <f>BD21*VLOOKUP('Données projet'!$B$11,Paramètres!$A$1:$I$89,3,0)*VLOOKUP('Données projet'!$B$11,Paramètres!$A$1:$I$89,5,0)</f>
        <v>13.94021352559376</v>
      </c>
      <c r="BF21" s="13">
        <f t="shared" si="37"/>
        <v>4.7274672584788675</v>
      </c>
      <c r="BG21" s="20">
        <f t="shared" si="7"/>
        <v>32.512877365593162</v>
      </c>
      <c r="BH21" s="59">
        <f t="shared" si="8"/>
        <v>244.28223055759628</v>
      </c>
      <c r="BI21" s="59">
        <f ca="1">AVERAGE(OFFSET($BH$3,0,0,'Données projet'!$E$11+1,1))-AVERAGE(OFFSET($H$3,0,0,'Données projet'!$E$11+1,1))</f>
        <v>403.89478276355294</v>
      </c>
      <c r="BJ21" s="59">
        <f t="shared" si="38"/>
        <v>241.1593989733278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13.8</v>
      </c>
      <c r="BY21" s="12">
        <f>IF('Données projet'!$A$114&gt;35,BY20+BX21-CG20,IF(A21&lt;'Données projet'!$A$114,$BV$205^A21,IF(A21='Données projet'!$A$114,'Données projet'!$B$114,BY20+BX21-CG20)))</f>
        <v>74.399999999999991</v>
      </c>
      <c r="BZ21" s="13">
        <f>BY21*VLOOKUP('Données projet'!$B$12,Paramètres!$A$1:$I$89,3,0)*VLOOKUP('Données projet'!$B$12,Paramètres!$A$1:$I$89,5,0)</f>
        <v>59.192639999999997</v>
      </c>
      <c r="CA21" s="13">
        <f t="shared" si="39"/>
        <v>16.963982408330725</v>
      </c>
      <c r="CB21" s="20">
        <f t="shared" si="10"/>
        <v>132.63945069450935</v>
      </c>
      <c r="CC21" s="59">
        <f t="shared" si="11"/>
        <v>344.40880388651249</v>
      </c>
      <c r="CD21" s="59">
        <f ca="1">AVERAGE(OFFSET($CC$3,0,0,'Données projet'!$E$12+1,1))-AVERAGE(OFFSET($H$3,0,0,'Données projet'!$E$12+1,1))</f>
        <v>377.27600411578322</v>
      </c>
      <c r="CE21" s="59">
        <f t="shared" si="40"/>
        <v>364.58250627635425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9.6</v>
      </c>
      <c r="CT21" s="12">
        <f>IF('Données projet'!$A$140&gt;35,CT20+CS21-DB20,IF(A21&lt;'Données projet'!$A$140,$CQ$205^A21,IF(A21='Données projet'!$A$140,'Données projet'!$B$140,CT20+CS21-DB20)))</f>
        <v>65.8</v>
      </c>
      <c r="CU21" s="17">
        <f>CT21*VLOOKUP('Données projet'!$B$13,Paramètres!$A$1:$I$89,3,0)*VLOOKUP('Données projet'!$B$13,Paramètres!$A$1:$I$89,5,0)</f>
        <v>51.323999999999998</v>
      </c>
      <c r="CV21" s="13">
        <f t="shared" si="41"/>
        <v>14.95516659950003</v>
      </c>
      <c r="CW21" s="20">
        <f t="shared" si="13"/>
        <v>115.43621516079588</v>
      </c>
      <c r="CX21" s="59">
        <f t="shared" si="14"/>
        <v>327.20556835279899</v>
      </c>
      <c r="CY21" s="59">
        <f ca="1">AVERAGE(OFFSET($CX$3,0,0,'Données projet'!$E$13+1,1))-AVERAGE(OFFSET($H$3,0,0,'Données projet'!$E$13+1,1))</f>
        <v>308.82719216177946</v>
      </c>
      <c r="CZ21" s="59">
        <f t="shared" si="42"/>
        <v>302.59481222418219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12.6</v>
      </c>
      <c r="DO21" s="12">
        <f>IF('Données projet'!$A$166&gt;35,DO20+DN21-DW20,IF(A21&lt;'Données projet'!$A$166,$DL$205^A21,IF(A21='Données projet'!$A$166,'Données projet'!$B$166,DO20+DN21-DW20)))</f>
        <v>154.79999999999998</v>
      </c>
      <c r="DP21" s="17">
        <f>DO21*VLOOKUP('Données projet'!$B$14,Paramètres!$A$1:$I$89,3,0)*VLOOKUP('Données projet'!$B$14,Paramètres!$A$1:$I$89,5,0)</f>
        <v>140.06303999999997</v>
      </c>
      <c r="DQ21" s="13">
        <f t="shared" si="43"/>
        <v>36.31144669536954</v>
      </c>
      <c r="DR21" s="20">
        <f t="shared" si="16"/>
        <v>307.18556432776853</v>
      </c>
      <c r="DS21" s="59">
        <f t="shared" si="17"/>
        <v>518.9549175197717</v>
      </c>
      <c r="DT21" s="59">
        <f ca="1">AVERAGE(OFFSET($DS$3,0,0,'Données projet'!$E$14+1,1))-AVERAGE(OFFSET($H$3,0,0,'Données projet'!$E$14+1,1))</f>
        <v>376.51107072413777</v>
      </c>
      <c r="DU21" s="59">
        <f t="shared" si="44"/>
        <v>532.90758914457615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18.463076923076926</v>
      </c>
      <c r="EJ21" s="12">
        <f>IF('Données projet'!$A$192&gt;35,EJ20+EI21-ER20,IF(A21&lt;'Données projet'!$A$192,$EG$205^A21,IF(A21='Données projet'!$A$192,'Données projet'!$B$192,EJ20+EI21-ER20)))</f>
        <v>146.78153846153845</v>
      </c>
      <c r="EK21" s="17">
        <f>EJ21*VLOOKUP('Données projet'!$B$15,Paramètres!$A$1:$I$89,3,0)*VLOOKUP('Données projet'!$B$15,Paramètres!$A$1:$I$89,5,0)</f>
        <v>87.775359999999992</v>
      </c>
      <c r="EL21" s="13">
        <f t="shared" si="45"/>
        <v>24.02791634919064</v>
      </c>
      <c r="EM21" s="20">
        <f t="shared" si="19"/>
        <v>194.72403964150703</v>
      </c>
      <c r="EN21" s="59">
        <f t="shared" si="20"/>
        <v>406.49339283351014</v>
      </c>
      <c r="EO21" s="59">
        <f ca="1">AVERAGE(OFFSET($EN$3,0,0,'Données projet'!$E$15+1,1))-AVERAGE(OFFSET($H$3,0,0,'Données projet'!$E$15+1,1))</f>
        <v>337.99164391755608</v>
      </c>
      <c r="EP21" s="59">
        <f t="shared" si="46"/>
        <v>421.45428231923393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9.1219624441067761</v>
      </c>
      <c r="EX21" s="21">
        <f>EXP(-LN(2)/2)*EX20+(1-EXP(-LN(2)/2))/(LN(2)/2)*ER21*EU21*VLOOKUP('Données projet'!$B$15,Paramètres!$A$1:$I$89,3,0)*0.475*44/12</f>
        <v>5.2437208325894824</v>
      </c>
      <c r="EY21" s="22">
        <f t="shared" si="21"/>
        <v>14.365683276696259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2.9235042735042733</v>
      </c>
      <c r="N22" s="13">
        <f>IF('Données projet'!$A$36&gt;35,N21+M22-V21,IF(A22&lt;'Données projet'!$A$36,$K$205^A22,IF(A22='Données projet'!$A$36,'Données projet'!$B$36,N21+M22-V21)))</f>
        <v>17.005229294461625</v>
      </c>
      <c r="O22" s="13">
        <f>N22*VLOOKUP('Données projet'!$B$9,Paramètres!$A$1:$I$89,3,0)*VLOOKUP('Données projet'!$B$9,Paramètres!$A$1:$I$89,5,0)</f>
        <v>15.386331465628878</v>
      </c>
      <c r="P22" s="13">
        <f t="shared" si="33"/>
        <v>5.1582765859259734</v>
      </c>
      <c r="Q22" s="20">
        <f t="shared" si="2"/>
        <v>35.781859023124703</v>
      </c>
      <c r="R22" s="59">
        <f t="shared" si="0"/>
        <v>249.93395326614822</v>
      </c>
      <c r="S22" s="59">
        <f ca="1">AVERAGE(OFFSET($R$3,0,0,'Données projet'!$E$9+1,1))-AVERAGE(OFFSET($H$3,0,0,'Données projet'!$E$9+1,1))</f>
        <v>388.1278150896951</v>
      </c>
      <c r="T22" s="59">
        <f t="shared" si="34"/>
        <v>232.26614607059227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2.9235042735042733</v>
      </c>
      <c r="AI22" s="13">
        <f>IF('Données projet'!$A$62&gt;35,AI21+AH22-AQ21,IF(A22&lt;'Données projet'!$A$62,$AF$205^A22,IF(A22='Données projet'!$A$62,'Données projet'!$B$62,AI21+AH22-AQ21)))</f>
        <v>17.005229294461625</v>
      </c>
      <c r="AJ22" s="13">
        <f>AI22*VLOOKUP('Données projet'!$B$10,Paramètres!$A$1:$I$89,3,0)*VLOOKUP('Données projet'!$B$10,Paramètres!$A$1:$I$89,5,0)</f>
        <v>17.24330250458409</v>
      </c>
      <c r="AK22" s="13">
        <f t="shared" si="35"/>
        <v>5.7046616634614491</v>
      </c>
      <c r="AL22" s="20">
        <f t="shared" si="4"/>
        <v>39.967704259345972</v>
      </c>
      <c r="AM22" s="59">
        <f t="shared" si="5"/>
        <v>254.11979850236949</v>
      </c>
      <c r="AN22" s="59">
        <f ca="1">AVERAGE(OFFSET($AM$3,0,0,'Données projet'!$E$10+1,1))-AVERAGE(OFFSET($H$3,0,0,'Données projet'!$E$10+1,1))</f>
        <v>424.89201140676084</v>
      </c>
      <c r="AO22" s="59">
        <f t="shared" si="36"/>
        <v>253.0016648946303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2.9235042735042733</v>
      </c>
      <c r="BD22" s="12">
        <f>IF('Données projet'!$A$88&gt;35,BD21+BC22-BL21,IF(A22&lt;'Données projet'!$A$88,$BA$205^A22,IF(A22='Données projet'!$A$88,'Données projet'!$B$88,BD21+BC22-BL21)))</f>
        <v>17.005229294461625</v>
      </c>
      <c r="BE22" s="13">
        <f>BD22*VLOOKUP('Données projet'!$B$11,Paramètres!$A$1:$I$89,3,0)*VLOOKUP('Données projet'!$B$11,Paramètres!$A$1:$I$89,5,0)</f>
        <v>16.182176196609682</v>
      </c>
      <c r="BF22" s="13">
        <f t="shared" si="37"/>
        <v>5.3933312193176546</v>
      </c>
      <c r="BG22" s="20">
        <f t="shared" si="7"/>
        <v>37.57734208274011</v>
      </c>
      <c r="BH22" s="59">
        <f t="shared" si="8"/>
        <v>251.72943632576363</v>
      </c>
      <c r="BI22" s="59">
        <f ca="1">AVERAGE(OFFSET($BH$3,0,0,'Données projet'!$E$11+1,1))-AVERAGE(OFFSET($H$3,0,0,'Données projet'!$E$11+1,1))</f>
        <v>403.89478276355294</v>
      </c>
      <c r="BJ22" s="59">
        <f t="shared" si="38"/>
        <v>241.1593989733278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13.8</v>
      </c>
      <c r="BY22" s="12">
        <f>IF('Données projet'!$A$114&gt;35,BY21+BX22-CG21,IF(A22&lt;'Données projet'!$A$114,$BV$205^A22,IF(A22='Données projet'!$A$114,'Données projet'!$B$114,BY21+BX22-CG21)))</f>
        <v>88.199999999999989</v>
      </c>
      <c r="BZ22" s="13">
        <f>BY22*VLOOKUP('Données projet'!$B$12,Paramètres!$A$1:$I$89,3,0)*VLOOKUP('Données projet'!$B$12,Paramètres!$A$1:$I$89,5,0)</f>
        <v>70.171919999999986</v>
      </c>
      <c r="CA22" s="13">
        <f t="shared" si="39"/>
        <v>19.716145269554726</v>
      </c>
      <c r="CB22" s="20">
        <f t="shared" si="10"/>
        <v>156.55504701114111</v>
      </c>
      <c r="CC22" s="59">
        <f t="shared" si="11"/>
        <v>370.70714125416464</v>
      </c>
      <c r="CD22" s="59">
        <f ca="1">AVERAGE(OFFSET($CC$3,0,0,'Données projet'!$E$12+1,1))-AVERAGE(OFFSET($H$3,0,0,'Données projet'!$E$12+1,1))</f>
        <v>377.27600411578322</v>
      </c>
      <c r="CE22" s="59">
        <f t="shared" si="40"/>
        <v>364.58250627635425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9.6</v>
      </c>
      <c r="CT22" s="12">
        <f>IF('Données projet'!$A$140&gt;35,CT21+CS22-DB21,IF(A22&lt;'Données projet'!$A$140,$CQ$205^A22,IF(A22='Données projet'!$A$140,'Données projet'!$B$140,CT21+CS22-DB21)))</f>
        <v>75.399999999999991</v>
      </c>
      <c r="CU22" s="17">
        <f>CT22*VLOOKUP('Données projet'!$B$13,Paramètres!$A$1:$I$89,3,0)*VLOOKUP('Données projet'!$B$13,Paramètres!$A$1:$I$89,5,0)</f>
        <v>58.811999999999998</v>
      </c>
      <c r="CV22" s="13">
        <f t="shared" si="41"/>
        <v>16.86755663452599</v>
      </c>
      <c r="CW22" s="20">
        <f t="shared" si="13"/>
        <v>131.8085611384661</v>
      </c>
      <c r="CX22" s="59">
        <f t="shared" si="14"/>
        <v>345.96065538148963</v>
      </c>
      <c r="CY22" s="59">
        <f ca="1">AVERAGE(OFFSET($CX$3,0,0,'Données projet'!$E$13+1,1))-AVERAGE(OFFSET($H$3,0,0,'Données projet'!$E$13+1,1))</f>
        <v>308.82719216177946</v>
      </c>
      <c r="CZ22" s="59">
        <f t="shared" si="42"/>
        <v>302.59481222418219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12.6</v>
      </c>
      <c r="DO22" s="12">
        <f>IF('Données projet'!$A$166&gt;35,DO21+DN22-DW21,IF(A22&lt;'Données projet'!$A$166,$DL$205^A22,IF(A22='Données projet'!$A$166,'Données projet'!$B$166,DO21+DN22-DW21)))</f>
        <v>167.39999999999998</v>
      </c>
      <c r="DP22" s="17">
        <f>DO22*VLOOKUP('Données projet'!$B$14,Paramètres!$A$1:$I$89,3,0)*VLOOKUP('Données projet'!$B$14,Paramètres!$A$1:$I$89,5,0)</f>
        <v>151.46351999999999</v>
      </c>
      <c r="DQ22" s="13">
        <f t="shared" si="43"/>
        <v>38.910987614777085</v>
      </c>
      <c r="DR22" s="20">
        <f t="shared" si="16"/>
        <v>331.56893409573678</v>
      </c>
      <c r="DS22" s="59">
        <f t="shared" si="17"/>
        <v>545.72102833876033</v>
      </c>
      <c r="DT22" s="59">
        <f ca="1">AVERAGE(OFFSET($DS$3,0,0,'Données projet'!$E$14+1,1))-AVERAGE(OFFSET($H$3,0,0,'Données projet'!$E$14+1,1))</f>
        <v>376.51107072413777</v>
      </c>
      <c r="DU22" s="59">
        <f t="shared" si="44"/>
        <v>532.90758914457615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18.463076923076926</v>
      </c>
      <c r="EJ22" s="12">
        <f>IF('Données projet'!$A$192&gt;35,EJ21+EI22-ER21,IF(A22&lt;'Données projet'!$A$192,$EG$205^A22,IF(A22='Données projet'!$A$192,'Données projet'!$B$192,EJ21+EI22-ER21)))</f>
        <v>165.24461538461537</v>
      </c>
      <c r="EK22" s="17">
        <f>EJ22*VLOOKUP('Données projet'!$B$15,Paramètres!$A$1:$I$89,3,0)*VLOOKUP('Données projet'!$B$15,Paramètres!$A$1:$I$89,5,0)</f>
        <v>98.816280000000006</v>
      </c>
      <c r="EL22" s="13">
        <f t="shared" si="45"/>
        <v>26.679797439959771</v>
      </c>
      <c r="EM22" s="20">
        <f t="shared" si="19"/>
        <v>218.57233487459663</v>
      </c>
      <c r="EN22" s="59">
        <f t="shared" si="20"/>
        <v>432.72442911762016</v>
      </c>
      <c r="EO22" s="59">
        <f ca="1">AVERAGE(OFFSET($EN$3,0,0,'Données projet'!$E$15+1,1))-AVERAGE(OFFSET($H$3,0,0,'Données projet'!$E$15+1,1))</f>
        <v>337.99164391755608</v>
      </c>
      <c r="EP22" s="59">
        <f t="shared" si="46"/>
        <v>421.45428231923393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8.8725219013695202</v>
      </c>
      <c r="EX22" s="21">
        <f>EXP(-LN(2)/2)*EX21+(1-EXP(-LN(2)/2))/(LN(2)/2)*ER22*EU22*VLOOKUP('Données projet'!$B$15,Paramètres!$A$1:$I$89,3,0)*0.475*44/12</f>
        <v>3.707870559373192</v>
      </c>
      <c r="EY22" s="22">
        <f t="shared" si="21"/>
        <v>12.580392460742711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2.9235042735042733</v>
      </c>
      <c r="N23" s="13">
        <f>IF('Données projet'!$A$36&gt;35,N22+M23-V22,IF(A23&lt;'Données projet'!$A$36,$K$205^A23,IF(A23='Données projet'!$A$36,'Données projet'!$B$36,N22+M23-V22)))</f>
        <v>19.740129245617538</v>
      </c>
      <c r="O23" s="13">
        <f>N23*VLOOKUP('Données projet'!$B$9,Paramètres!$A$1:$I$89,3,0)*VLOOKUP('Données projet'!$B$9,Paramètres!$A$1:$I$89,5,0)</f>
        <v>17.860868941434749</v>
      </c>
      <c r="P23" s="13">
        <f t="shared" si="33"/>
        <v>5.8848200585320249</v>
      </c>
      <c r="Q23" s="20">
        <f t="shared" si="2"/>
        <v>41.357075008275459</v>
      </c>
      <c r="R23" s="59">
        <f t="shared" si="0"/>
        <v>257.87177789517119</v>
      </c>
      <c r="S23" s="59">
        <f ca="1">AVERAGE(OFFSET($R$3,0,0,'Données projet'!$E$9+1,1))-AVERAGE(OFFSET($H$3,0,0,'Données projet'!$E$9+1,1))</f>
        <v>388.1278150896951</v>
      </c>
      <c r="T23" s="59">
        <f t="shared" si="34"/>
        <v>232.26614607059227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2.9235042735042733</v>
      </c>
      <c r="AI23" s="13">
        <f>IF('Données projet'!$A$62&gt;35,AI22+AH23-AQ22,IF(A23&lt;'Données projet'!$A$62,$AF$205^A23,IF(A23='Données projet'!$A$62,'Données projet'!$B$62,AI22+AH23-AQ22)))</f>
        <v>19.740129245617538</v>
      </c>
      <c r="AJ23" s="13">
        <f>AI23*VLOOKUP('Données projet'!$B$10,Paramètres!$A$1:$I$89,3,0)*VLOOKUP('Données projet'!$B$10,Paramètres!$A$1:$I$89,5,0)</f>
        <v>20.016491055056186</v>
      </c>
      <c r="AK23" s="13">
        <f t="shared" si="35"/>
        <v>6.5081634970626938</v>
      </c>
      <c r="AL23" s="20">
        <f t="shared" si="4"/>
        <v>46.197106678273713</v>
      </c>
      <c r="AM23" s="59">
        <f t="shared" si="5"/>
        <v>262.71180956516946</v>
      </c>
      <c r="AN23" s="59">
        <f ca="1">AVERAGE(OFFSET($AM$3,0,0,'Données projet'!$E$10+1,1))-AVERAGE(OFFSET($H$3,0,0,'Données projet'!$E$10+1,1))</f>
        <v>424.89201140676084</v>
      </c>
      <c r="AO23" s="59">
        <f t="shared" si="36"/>
        <v>253.0016648946303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2.9235042735042733</v>
      </c>
      <c r="BD23" s="12">
        <f>IF('Données projet'!$A$88&gt;35,BD22+BC23-BL22,IF(A23&lt;'Données projet'!$A$88,$BA$205^A23,IF(A23='Données projet'!$A$88,'Données projet'!$B$88,BD22+BC23-BL22)))</f>
        <v>19.740129245617538</v>
      </c>
      <c r="BE23" s="13">
        <f>BD23*VLOOKUP('Données projet'!$B$11,Paramètres!$A$1:$I$89,3,0)*VLOOKUP('Données projet'!$B$11,Paramètres!$A$1:$I$89,5,0)</f>
        <v>18.784706990129649</v>
      </c>
      <c r="BF23" s="13">
        <f t="shared" si="37"/>
        <v>6.1529821468559378</v>
      </c>
      <c r="BG23" s="20">
        <f t="shared" si="7"/>
        <v>43.433141913583228</v>
      </c>
      <c r="BH23" s="59">
        <f t="shared" si="8"/>
        <v>259.94784480047895</v>
      </c>
      <c r="BI23" s="59">
        <f ca="1">AVERAGE(OFFSET($BH$3,0,0,'Données projet'!$E$11+1,1))-AVERAGE(OFFSET($H$3,0,0,'Données projet'!$E$11+1,1))</f>
        <v>403.89478276355294</v>
      </c>
      <c r="BJ23" s="59">
        <f t="shared" si="38"/>
        <v>241.1593989733278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102</v>
      </c>
      <c r="BW23" s="12">
        <f>VLOOKUP(A23,'Données projet'!$A$113:$I$133,9,0)</f>
        <v>13.8</v>
      </c>
      <c r="BX23" s="12">
        <f t="array" ref="BX23">INDEX(BW:BW,MIN(IF(ISNUMBER(BW23:BW219),ROW(BW23:BW219),"")))</f>
        <v>13.8</v>
      </c>
      <c r="BY23" s="12">
        <f>IF('Données projet'!$A$114&gt;35,BY22+BX23-CG22,IF(A23&lt;'Données projet'!$A$114,$BV$205^A23,IF(A23='Données projet'!$A$114,'Données projet'!$B$114,BY22+BX23-CG22)))</f>
        <v>101.99999999999999</v>
      </c>
      <c r="BZ23" s="13">
        <f>BY23*VLOOKUP('Données projet'!$B$12,Paramètres!$A$1:$I$89,3,0)*VLOOKUP('Données projet'!$B$12,Paramètres!$A$1:$I$89,5,0)</f>
        <v>81.151200000000003</v>
      </c>
      <c r="CA23" s="13">
        <f t="shared" si="39"/>
        <v>22.418424032002342</v>
      </c>
      <c r="CB23" s="20">
        <f t="shared" si="10"/>
        <v>180.38376185573739</v>
      </c>
      <c r="CC23" s="59">
        <f t="shared" si="11"/>
        <v>396.89846474263311</v>
      </c>
      <c r="CD23" s="59">
        <f ca="1">AVERAGE(OFFSET($CC$3,0,0,'Données projet'!$E$12+1,1))-AVERAGE(OFFSET($H$3,0,0,'Données projet'!$E$12+1,1))</f>
        <v>377.27600411578322</v>
      </c>
      <c r="CE23" s="59">
        <f t="shared" si="40"/>
        <v>364.58250627635425</v>
      </c>
      <c r="CF23" s="15">
        <f>IF(ISNA(VLOOKUP(A23,'Données projet'!$A$113:$I$133,3,0)),0,VLOOKUP(A23,'Données projet'!$A$113:$I$133,3,0))</f>
        <v>2</v>
      </c>
      <c r="CG23" s="15">
        <f>IF(ISNA(VLOOKUP(A23,'Données projet'!$A$113:$I$133,4,0)),0,VLOOKUP(A23,'Données projet'!$A$113:$I$133,4,0))</f>
        <v>35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1.5900000000000001E-2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0.48752141272860278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0.48752141272860278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85</v>
      </c>
      <c r="CR23" s="12">
        <f>VLOOKUP(A23,'Données projet'!$A$139:$I$159,9,0)</f>
        <v>9.6</v>
      </c>
      <c r="CS23" s="12">
        <f t="array" ref="CS23">INDEX(CR:CR,MIN(IF(ISNUMBER(CR23:CR219),ROW(CR23:CR219),"")))</f>
        <v>9.6</v>
      </c>
      <c r="CT23" s="12">
        <f>IF('Données projet'!$A$140&gt;35,CT22+CS23-DB22,IF(A23&lt;'Données projet'!$A$140,$CQ$205^A23,IF(A23='Données projet'!$A$140,'Données projet'!$B$140,CT22+CS23-DB22)))</f>
        <v>84.999999999999986</v>
      </c>
      <c r="CU23" s="17">
        <f>CT23*VLOOKUP('Données projet'!$B$13,Paramètres!$A$1:$I$89,3,0)*VLOOKUP('Données projet'!$B$13,Paramètres!$A$1:$I$89,5,0)</f>
        <v>66.3</v>
      </c>
      <c r="CV23" s="13">
        <f t="shared" si="41"/>
        <v>18.751733344032118</v>
      </c>
      <c r="CW23" s="20">
        <f t="shared" si="13"/>
        <v>148.13176890752257</v>
      </c>
      <c r="CX23" s="59">
        <f t="shared" si="14"/>
        <v>364.64647179441829</v>
      </c>
      <c r="CY23" s="59">
        <f ca="1">AVERAGE(OFFSET($CX$3,0,0,'Données projet'!$E$13+1,1))-AVERAGE(OFFSET($H$3,0,0,'Données projet'!$E$13+1,1))</f>
        <v>308.82719216177946</v>
      </c>
      <c r="CZ23" s="59">
        <f t="shared" si="42"/>
        <v>302.59481222418219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25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0.215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4.6164360471015273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4.6164360471015273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180</v>
      </c>
      <c r="DM23" s="12">
        <f>VLOOKUP(A23,'Données projet'!$A$165:$I$185,9,0)</f>
        <v>12.6</v>
      </c>
      <c r="DN23" s="12">
        <f t="array" ref="DN23">INDEX(DM:DM,MIN(IF(ISNUMBER(DM23:DM219),ROW(DM23:DM219),"")))</f>
        <v>12.6</v>
      </c>
      <c r="DO23" s="12">
        <f>IF('Données projet'!$A$166&gt;35,DO22+DN23-DW22,IF(A23&lt;'Données projet'!$A$166,$DL$205^A23,IF(A23='Données projet'!$A$166,'Données projet'!$B$166,DO22+DN23-DW22)))</f>
        <v>179.99999999999997</v>
      </c>
      <c r="DP23" s="17">
        <f>DO23*VLOOKUP('Données projet'!$B$14,Paramètres!$A$1:$I$89,3,0)*VLOOKUP('Données projet'!$B$14,Paramètres!$A$1:$I$89,5,0)</f>
        <v>162.86399999999998</v>
      </c>
      <c r="DQ23" s="13">
        <f t="shared" si="43"/>
        <v>41.487830069509123</v>
      </c>
      <c r="DR23" s="20">
        <f t="shared" si="16"/>
        <v>355.91277070439497</v>
      </c>
      <c r="DS23" s="59">
        <f t="shared" si="17"/>
        <v>572.42747359129066</v>
      </c>
      <c r="DT23" s="59">
        <f ca="1">AVERAGE(OFFSET($DS$3,0,0,'Données projet'!$E$14+1,1))-AVERAGE(OFFSET($H$3,0,0,'Données projet'!$E$14+1,1))</f>
        <v>376.51107072413777</v>
      </c>
      <c r="DU23" s="59">
        <f t="shared" si="44"/>
        <v>532.90758914457615</v>
      </c>
      <c r="DV23" s="15">
        <f>IF(ISNA(VLOOKUP(A23,'Données projet'!$A$165:$I$185,3,0)),0,VLOOKUP(A23,'Données projet'!$A$165:$I$185,3,0))</f>
        <v>4</v>
      </c>
      <c r="DW23" s="15">
        <f>IF(ISNA(VLOOKUP(A23,'Données projet'!$A$165:$I$185,4,0)),0,VLOOKUP(A23,'Données projet'!$A$165:$I$185,4,0))</f>
        <v>19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>
        <f>VLOOKUP(A23,'Données projet'!$A$191:$I$211,2,0)</f>
        <v>183.7076923076923</v>
      </c>
      <c r="EH23" s="12">
        <f>VLOOKUP(A23,'Données projet'!$A$191:$I$211,9,0)</f>
        <v>18.463076923076926</v>
      </c>
      <c r="EI23" s="12">
        <f t="array" ref="EI23">INDEX(EH:EH,MIN(IF(ISNUMBER(EH23:EH219),ROW(EH23:EH219),"")))</f>
        <v>18.463076923076926</v>
      </c>
      <c r="EJ23" s="12">
        <f>IF('Données projet'!$A$192&gt;35,EJ22+EI23-ER22,IF(A23&lt;'Données projet'!$A$192,$EG$205^A23,IF(A23='Données projet'!$A$192,'Données projet'!$B$192,EJ22+EI23-ER22)))</f>
        <v>183.7076923076923</v>
      </c>
      <c r="EK23" s="17">
        <f>EJ23*VLOOKUP('Données projet'!$B$15,Paramètres!$A$1:$I$89,3,0)*VLOOKUP('Données projet'!$B$15,Paramètres!$A$1:$I$89,5,0)</f>
        <v>109.85720000000001</v>
      </c>
      <c r="EL23" s="13">
        <f t="shared" si="45"/>
        <v>29.297337235526424</v>
      </c>
      <c r="EM23" s="20">
        <f t="shared" si="19"/>
        <v>242.36081901854183</v>
      </c>
      <c r="EN23" s="59">
        <f t="shared" si="20"/>
        <v>458.87552190543755</v>
      </c>
      <c r="EO23" s="59">
        <f ca="1">AVERAGE(OFFSET($EN$3,0,0,'Données projet'!$E$15+1,1))-AVERAGE(OFFSET($H$3,0,0,'Données projet'!$E$15+1,1))</f>
        <v>337.99164391755608</v>
      </c>
      <c r="EP23" s="59">
        <f t="shared" si="46"/>
        <v>421.45428231923393</v>
      </c>
      <c r="EQ23" s="15">
        <f>IF(ISNA(VLOOKUP(A23,'Données projet'!$A$191:$I$211,3,0)),0,VLOOKUP(A23,'Données projet'!$A$191:$I$211,3,0))</f>
        <v>2</v>
      </c>
      <c r="ER23" s="15">
        <f>IF(ISNA(VLOOKUP(A23,'Données projet'!$A$191:$I$211,4,0)),0,VLOOKUP(A23,'Données projet'!$A$191:$I$211,4,0))</f>
        <v>48.723076923076924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0.25200000000000006</v>
      </c>
      <c r="EU23" s="16">
        <f>IF(ISNA(VLOOKUP(A23,'Données projet'!$A$191:$I$211,7,0)),0%,VLOOKUP(A23,'Données projet'!$A$191:$I$211,7,0))</f>
        <v>0.44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18.331682492314798</v>
      </c>
      <c r="EX23" s="21">
        <f>EXP(-LN(2)/2)*EX22+(1-EXP(-LN(2)/2))/(LN(2)/2)*ER23*EU23*VLOOKUP('Données projet'!$B$15,Paramètres!$A$1:$I$89,3,0)*0.475*44/12</f>
        <v>17.137096586300796</v>
      </c>
      <c r="EY23" s="22">
        <f t="shared" si="21"/>
        <v>35.468779078615597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2.9235042735042733</v>
      </c>
      <c r="N24" s="13">
        <f>IF('Données projet'!$A$36&gt;35,N23+M24-V23,IF(A24&lt;'Données projet'!$A$36,$K$205^A24,IF(A24='Données projet'!$A$36,'Données projet'!$B$36,N23+M24-V23)))</f>
        <v>22.91487494147438</v>
      </c>
      <c r="O24" s="13">
        <f>N24*VLOOKUP('Données projet'!$B$9,Paramètres!$A$1:$I$89,3,0)*VLOOKUP('Données projet'!$B$9,Paramètres!$A$1:$I$89,5,0)</f>
        <v>20.733378847046019</v>
      </c>
      <c r="P24" s="13">
        <f t="shared" si="33"/>
        <v>6.713697209604776</v>
      </c>
      <c r="Q24" s="20">
        <f t="shared" si="2"/>
        <v>47.803657465333458</v>
      </c>
      <c r="R24" s="59">
        <f t="shared" si="0"/>
        <v>266.66118584120784</v>
      </c>
      <c r="S24" s="59">
        <f ca="1">AVERAGE(OFFSET($R$3,0,0,'Données projet'!$E$9+1,1))-AVERAGE(OFFSET($H$3,0,0,'Données projet'!$E$9+1,1))</f>
        <v>388.1278150896951</v>
      </c>
      <c r="T24" s="59">
        <f t="shared" si="34"/>
        <v>232.26614607059227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2.9235042735042733</v>
      </c>
      <c r="AI24" s="13">
        <f>IF('Données projet'!$A$62&gt;35,AI23+AH24-AQ23,IF(A24&lt;'Données projet'!$A$62,$AF$205^A24,IF(A24='Données projet'!$A$62,'Données projet'!$B$62,AI23+AH24-AQ23)))</f>
        <v>22.91487494147438</v>
      </c>
      <c r="AJ24" s="13">
        <f>AI24*VLOOKUP('Données projet'!$B$10,Paramètres!$A$1:$I$89,3,0)*VLOOKUP('Données projet'!$B$10,Paramètres!$A$1:$I$89,5,0)</f>
        <v>23.235683190655024</v>
      </c>
      <c r="AK24" s="13">
        <f t="shared" si="35"/>
        <v>7.4248385974916156</v>
      </c>
      <c r="AL24" s="20">
        <f t="shared" si="4"/>
        <v>53.400408781022065</v>
      </c>
      <c r="AM24" s="59">
        <f t="shared" si="5"/>
        <v>272.25793715689645</v>
      </c>
      <c r="AN24" s="59">
        <f ca="1">AVERAGE(OFFSET($AM$3,0,0,'Données projet'!$E$10+1,1))-AVERAGE(OFFSET($H$3,0,0,'Données projet'!$E$10+1,1))</f>
        <v>424.89201140676084</v>
      </c>
      <c r="AO24" s="59">
        <f t="shared" si="36"/>
        <v>253.0016648946303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2.9235042735042733</v>
      </c>
      <c r="BD24" s="12">
        <f>IF('Données projet'!$A$88&gt;35,BD23+BC24-BL23,IF(A24&lt;'Données projet'!$A$88,$BA$205^A24,IF(A24='Données projet'!$A$88,'Données projet'!$B$88,BD23+BC24-BL23)))</f>
        <v>22.91487494147438</v>
      </c>
      <c r="BE24" s="13">
        <f>BD24*VLOOKUP('Données projet'!$B$11,Paramètres!$A$1:$I$89,3,0)*VLOOKUP('Données projet'!$B$11,Paramètres!$A$1:$I$89,5,0)</f>
        <v>21.805794994307021</v>
      </c>
      <c r="BF24" s="13">
        <f t="shared" si="37"/>
        <v>7.0196299392711321</v>
      </c>
      <c r="BG24" s="20">
        <f t="shared" si="7"/>
        <v>50.204281759315286</v>
      </c>
      <c r="BH24" s="59">
        <f t="shared" si="8"/>
        <v>269.06181013518966</v>
      </c>
      <c r="BI24" s="59">
        <f ca="1">AVERAGE(OFFSET($BH$3,0,0,'Données projet'!$E$11+1,1))-AVERAGE(OFFSET($H$3,0,0,'Données projet'!$E$11+1,1))</f>
        <v>403.89478276355294</v>
      </c>
      <c r="BJ24" s="59">
        <f t="shared" si="38"/>
        <v>241.1593989733278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14.8</v>
      </c>
      <c r="BY24" s="12">
        <f>IF('Données projet'!$A$114&gt;35,BY23+BX24-CG23,IF(A24&lt;'Données projet'!$A$114,$BV$205^A24,IF(A24='Données projet'!$A$114,'Données projet'!$B$114,BY23+BX24-CG23)))</f>
        <v>81.799999999999983</v>
      </c>
      <c r="BZ24" s="13">
        <f>BY24*VLOOKUP('Données projet'!$B$12,Paramètres!$A$1:$I$89,3,0)*VLOOKUP('Données projet'!$B$12,Paramètres!$A$1:$I$89,5,0)</f>
        <v>65.080079999999981</v>
      </c>
      <c r="CA24" s="13">
        <f t="shared" si="39"/>
        <v>18.44653442602603</v>
      </c>
      <c r="CB24" s="20">
        <f t="shared" si="10"/>
        <v>145.47552012532864</v>
      </c>
      <c r="CC24" s="59">
        <f t="shared" si="11"/>
        <v>364.33304850120305</v>
      </c>
      <c r="CD24" s="59">
        <f ca="1">AVERAGE(OFFSET($CC$3,0,0,'Données projet'!$E$12+1,1))-AVERAGE(OFFSET($H$3,0,0,'Données projet'!$E$12+1,1))</f>
        <v>377.27600411578322</v>
      </c>
      <c r="CE24" s="59">
        <f t="shared" si="40"/>
        <v>364.58250627635425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0.4741901140599023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0.4741901140599023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10.6</v>
      </c>
      <c r="CT24" s="12">
        <f>IF('Données projet'!$A$140&gt;35,CT23+CS24-DB23,IF(A24&lt;'Données projet'!$A$140,$CQ$205^A24,IF(A24='Données projet'!$A$140,'Données projet'!$B$140,CT23+CS24-DB23)))</f>
        <v>70.59999999999998</v>
      </c>
      <c r="CU24" s="17">
        <f>CT24*VLOOKUP('Données projet'!$B$13,Paramètres!$A$1:$I$89,3,0)*VLOOKUP('Données projet'!$B$13,Paramètres!$A$1:$I$89,5,0)</f>
        <v>55.067999999999984</v>
      </c>
      <c r="CV24" s="13">
        <f t="shared" si="41"/>
        <v>15.915148294580479</v>
      </c>
      <c r="CW24" s="20">
        <f t="shared" si="13"/>
        <v>123.62898327972762</v>
      </c>
      <c r="CX24" s="59">
        <f t="shared" si="14"/>
        <v>342.48651165560199</v>
      </c>
      <c r="CY24" s="59">
        <f ca="1">AVERAGE(OFFSET($CX$3,0,0,'Données projet'!$E$13+1,1))-AVERAGE(OFFSET($H$3,0,0,'Données projet'!$E$13+1,1))</f>
        <v>308.82719216177946</v>
      </c>
      <c r="CZ24" s="59">
        <f t="shared" si="42"/>
        <v>302.59481222418219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4.4901993606257156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4.4901993606257156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10.6</v>
      </c>
      <c r="DO24" s="12">
        <f>IF('Données projet'!$A$166&gt;35,DO23+DN24-DW23,IF(A24&lt;'Données projet'!$A$166,$DL$205^A24,IF(A24='Données projet'!$A$166,'Données projet'!$B$166,DO23+DN24-DW23)))</f>
        <v>171.59999999999997</v>
      </c>
      <c r="DP24" s="17">
        <f>DO24*VLOOKUP('Données projet'!$B$14,Paramètres!$A$1:$I$89,3,0)*VLOOKUP('Données projet'!$B$14,Paramètres!$A$1:$I$89,5,0)</f>
        <v>155.26367999999997</v>
      </c>
      <c r="DQ24" s="13">
        <f t="shared" si="43"/>
        <v>39.77236412265178</v>
      </c>
      <c r="DR24" s="20">
        <f t="shared" si="16"/>
        <v>339.68777684695175</v>
      </c>
      <c r="DS24" s="59">
        <f t="shared" si="17"/>
        <v>558.54530522282607</v>
      </c>
      <c r="DT24" s="59">
        <f ca="1">AVERAGE(OFFSET($DS$3,0,0,'Données projet'!$E$14+1,1))-AVERAGE(OFFSET($H$3,0,0,'Données projet'!$E$14+1,1))</f>
        <v>376.51107072413777</v>
      </c>
      <c r="DU24" s="59">
        <f t="shared" si="44"/>
        <v>532.90758914457615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19.071794871794875</v>
      </c>
      <c r="EJ24" s="12">
        <f>IF('Données projet'!$A$192&gt;35,EJ23+EI24-ER23,IF(A24&lt;'Données projet'!$A$192,$EG$205^A24,IF(A24='Données projet'!$A$192,'Données projet'!$B$192,EJ23+EI24-ER23)))</f>
        <v>154.05641025641026</v>
      </c>
      <c r="EK24" s="17">
        <f>EJ24*VLOOKUP('Données projet'!$B$15,Paramètres!$A$1:$I$89,3,0)*VLOOKUP('Données projet'!$B$15,Paramètres!$A$1:$I$89,5,0)</f>
        <v>92.125733333333343</v>
      </c>
      <c r="EL24" s="13">
        <f t="shared" si="45"/>
        <v>25.077202059466597</v>
      </c>
      <c r="EM24" s="20">
        <f t="shared" si="19"/>
        <v>204.12844580912656</v>
      </c>
      <c r="EN24" s="59">
        <f t="shared" si="20"/>
        <v>422.98597418500094</v>
      </c>
      <c r="EO24" s="59">
        <f ca="1">AVERAGE(OFFSET($EN$3,0,0,'Données projet'!$E$15+1,1))-AVERAGE(OFFSET($H$3,0,0,'Données projet'!$E$15+1,1))</f>
        <v>337.99164391755608</v>
      </c>
      <c r="EP24" s="59">
        <f t="shared" si="46"/>
        <v>421.45428231923393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17.830401670541164</v>
      </c>
      <c r="EX24" s="21">
        <f>EXP(-LN(2)/2)*EX23+(1-EXP(-LN(2)/2))/(LN(2)/2)*ER24*EU24*VLOOKUP('Données projet'!$B$15,Paramètres!$A$1:$I$89,3,0)*0.475*44/12</f>
        <v>12.117757206022128</v>
      </c>
      <c r="EY24" s="22">
        <f t="shared" si="21"/>
        <v>29.948158876563291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2.9235042735042733</v>
      </c>
      <c r="N25" s="13">
        <f>IF('Données projet'!$A$36&gt;35,N24+M25-V24,IF(A25&lt;'Données projet'!$A$36,$K$205^A25,IF(A25='Données projet'!$A$36,'Données projet'!$B$36,N24+M25-V24)))</f>
        <v>26.600205452048144</v>
      </c>
      <c r="O25" s="13">
        <f>N25*VLOOKUP('Données projet'!$B$9,Paramètres!$A$1:$I$89,3,0)*VLOOKUP('Données projet'!$B$9,Paramètres!$A$1:$I$89,5,0)</f>
        <v>24.06786589301316</v>
      </c>
      <c r="P25" s="13">
        <f t="shared" si="33"/>
        <v>7.6593217420310804</v>
      </c>
      <c r="Q25" s="20">
        <f t="shared" si="2"/>
        <v>55.258185131035383</v>
      </c>
      <c r="R25" s="59">
        <f t="shared" si="0"/>
        <v>276.43909903450378</v>
      </c>
      <c r="S25" s="59">
        <f ca="1">AVERAGE(OFFSET($R$3,0,0,'Données projet'!$E$9+1,1))-AVERAGE(OFFSET($H$3,0,0,'Données projet'!$E$9+1,1))</f>
        <v>388.1278150896951</v>
      </c>
      <c r="T25" s="59">
        <f t="shared" si="34"/>
        <v>232.26614607059227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2.9235042735042733</v>
      </c>
      <c r="AI25" s="13">
        <f>IF('Données projet'!$A$62&gt;35,AI24+AH25-AQ24,IF(A25&lt;'Données projet'!$A$62,$AF$205^A25,IF(A25='Données projet'!$A$62,'Données projet'!$B$62,AI24+AH25-AQ24)))</f>
        <v>26.600205452048144</v>
      </c>
      <c r="AJ25" s="13">
        <f>AI25*VLOOKUP('Données projet'!$B$10,Paramètres!$A$1:$I$89,3,0)*VLOOKUP('Données projet'!$B$10,Paramètres!$A$1:$I$89,5,0)</f>
        <v>26.972608328376822</v>
      </c>
      <c r="AK25" s="13">
        <f t="shared" si="35"/>
        <v>8.4706274241085247</v>
      </c>
      <c r="AL25" s="20">
        <f t="shared" si="4"/>
        <v>61.730302268911977</v>
      </c>
      <c r="AM25" s="59">
        <f t="shared" si="5"/>
        <v>282.91121617238036</v>
      </c>
      <c r="AN25" s="59">
        <f ca="1">AVERAGE(OFFSET($AM$3,0,0,'Données projet'!$E$10+1,1))-AVERAGE(OFFSET($H$3,0,0,'Données projet'!$E$10+1,1))</f>
        <v>424.89201140676084</v>
      </c>
      <c r="AO25" s="59">
        <f t="shared" si="36"/>
        <v>253.0016648946303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2.9235042735042733</v>
      </c>
      <c r="BD25" s="12">
        <f>IF('Données projet'!$A$88&gt;35,BD24+BC25-BL24,IF(A25&lt;'Données projet'!$A$88,$BA$205^A25,IF(A25='Données projet'!$A$88,'Données projet'!$B$88,BD24+BC25-BL24)))</f>
        <v>26.600205452048144</v>
      </c>
      <c r="BE25" s="13">
        <f>BD25*VLOOKUP('Données projet'!$B$11,Paramètres!$A$1:$I$89,3,0)*VLOOKUP('Données projet'!$B$11,Paramètres!$A$1:$I$89,5,0)</f>
        <v>25.312755508169015</v>
      </c>
      <c r="BF25" s="13">
        <f t="shared" si="37"/>
        <v>8.0083451094507705</v>
      </c>
      <c r="BG25" s="20">
        <f t="shared" si="7"/>
        <v>58.03425024235446</v>
      </c>
      <c r="BH25" s="59">
        <f t="shared" si="8"/>
        <v>279.21516414582288</v>
      </c>
      <c r="BI25" s="59">
        <f ca="1">AVERAGE(OFFSET($BH$3,0,0,'Données projet'!$E$11+1,1))-AVERAGE(OFFSET($H$3,0,0,'Données projet'!$E$11+1,1))</f>
        <v>403.89478276355294</v>
      </c>
      <c r="BJ25" s="59">
        <f t="shared" si="38"/>
        <v>241.1593989733278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14.8</v>
      </c>
      <c r="BY25" s="12">
        <f>IF('Données projet'!$A$114&gt;35,BY24+BX25-CG24,IF(A25&lt;'Données projet'!$A$114,$BV$205^A25,IF(A25='Données projet'!$A$114,'Données projet'!$B$114,BY24+BX25-CG24)))</f>
        <v>96.59999999999998</v>
      </c>
      <c r="BZ25" s="13">
        <f>BY25*VLOOKUP('Données projet'!$B$12,Paramètres!$A$1:$I$89,3,0)*VLOOKUP('Données projet'!$B$12,Paramètres!$A$1:$I$89,5,0)</f>
        <v>76.854959999999991</v>
      </c>
      <c r="CA25" s="13">
        <f t="shared" si="39"/>
        <v>21.366419773799993</v>
      </c>
      <c r="CB25" s="20">
        <f t="shared" si="10"/>
        <v>171.06890310603498</v>
      </c>
      <c r="CC25" s="59">
        <f t="shared" si="11"/>
        <v>392.24981700950337</v>
      </c>
      <c r="CD25" s="59">
        <f ca="1">AVERAGE(OFFSET($CC$3,0,0,'Données projet'!$E$12+1,1))-AVERAGE(OFFSET($H$3,0,0,'Données projet'!$E$12+1,1))</f>
        <v>377.27600411578322</v>
      </c>
      <c r="CE25" s="59">
        <f t="shared" si="40"/>
        <v>364.58250627635425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0.46122336045435997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0.46122336045435997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10.6</v>
      </c>
      <c r="CT25" s="12">
        <f>IF('Données projet'!$A$140&gt;35,CT24+CS25-DB24,IF(A25&lt;'Données projet'!$A$140,$CQ$205^A25,IF(A25='Données projet'!$A$140,'Données projet'!$B$140,CT24+CS25-DB24)))</f>
        <v>81.199999999999974</v>
      </c>
      <c r="CU25" s="17">
        <f>CT25*VLOOKUP('Données projet'!$B$13,Paramètres!$A$1:$I$89,3,0)*VLOOKUP('Données projet'!$B$13,Paramètres!$A$1:$I$89,5,0)</f>
        <v>63.335999999999984</v>
      </c>
      <c r="CV25" s="13">
        <f t="shared" si="41"/>
        <v>18.009040022946227</v>
      </c>
      <c r="CW25" s="20">
        <f t="shared" si="13"/>
        <v>141.67594470663133</v>
      </c>
      <c r="CX25" s="59">
        <f t="shared" si="14"/>
        <v>362.85685861009972</v>
      </c>
      <c r="CY25" s="59">
        <f ca="1">AVERAGE(OFFSET($CX$3,0,0,'Données projet'!$E$13+1,1))-AVERAGE(OFFSET($H$3,0,0,'Données projet'!$E$13+1,1))</f>
        <v>308.82719216177946</v>
      </c>
      <c r="CZ25" s="59">
        <f t="shared" si="42"/>
        <v>302.59481222418219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4.3674146229800836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4.3674146229800836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10.6</v>
      </c>
      <c r="DO25" s="12">
        <f>IF('Données projet'!$A$166&gt;35,DO24+DN25-DW24,IF(A25&lt;'Données projet'!$A$166,$DL$205^A25,IF(A25='Données projet'!$A$166,'Données projet'!$B$166,DO24+DN25-DW24)))</f>
        <v>182.19999999999996</v>
      </c>
      <c r="DP25" s="17">
        <f>DO25*VLOOKUP('Données projet'!$B$14,Paramètres!$A$1:$I$89,3,0)*VLOOKUP('Données projet'!$B$14,Paramètres!$A$1:$I$89,5,0)</f>
        <v>164.85455999999996</v>
      </c>
      <c r="DQ25" s="13">
        <f t="shared" si="43"/>
        <v>41.935562922532498</v>
      </c>
      <c r="DR25" s="20">
        <f t="shared" si="16"/>
        <v>360.15946409007734</v>
      </c>
      <c r="DS25" s="59">
        <f t="shared" si="17"/>
        <v>581.34037799354576</v>
      </c>
      <c r="DT25" s="59">
        <f ca="1">AVERAGE(OFFSET($DS$3,0,0,'Données projet'!$E$14+1,1))-AVERAGE(OFFSET($H$3,0,0,'Données projet'!$E$14+1,1))</f>
        <v>376.51107072413777</v>
      </c>
      <c r="DU25" s="59">
        <f t="shared" si="44"/>
        <v>532.90758914457615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19.071794871794875</v>
      </c>
      <c r="EJ25" s="12">
        <f>IF('Données projet'!$A$192&gt;35,EJ24+EI25-ER24,IF(A25&lt;'Données projet'!$A$192,$EG$205^A25,IF(A25='Données projet'!$A$192,'Données projet'!$B$192,EJ24+EI25-ER24)))</f>
        <v>173.12820512820514</v>
      </c>
      <c r="EK25" s="17">
        <f>EJ25*VLOOKUP('Données projet'!$B$15,Paramètres!$A$1:$I$89,3,0)*VLOOKUP('Données projet'!$B$15,Paramètres!$A$1:$I$89,5,0)</f>
        <v>103.53066666666668</v>
      </c>
      <c r="EL25" s="13">
        <f t="shared" si="45"/>
        <v>27.80142408921413</v>
      </c>
      <c r="EM25" s="20">
        <f t="shared" si="19"/>
        <v>228.73672473315909</v>
      </c>
      <c r="EN25" s="59">
        <f t="shared" si="20"/>
        <v>449.91763863662749</v>
      </c>
      <c r="EO25" s="59">
        <f ca="1">AVERAGE(OFFSET($EN$3,0,0,'Données projet'!$E$15+1,1))-AVERAGE(OFFSET($H$3,0,0,'Données projet'!$E$15+1,1))</f>
        <v>337.99164391755608</v>
      </c>
      <c r="EP25" s="59">
        <f t="shared" si="46"/>
        <v>421.45428231923393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17.342828399200144</v>
      </c>
      <c r="EX25" s="21">
        <f>EXP(-LN(2)/2)*EX24+(1-EXP(-LN(2)/2))/(LN(2)/2)*ER25*EU25*VLOOKUP('Données projet'!$B$15,Paramètres!$A$1:$I$89,3,0)*0.475*44/12</f>
        <v>8.5685482931503998</v>
      </c>
      <c r="EY25" s="22">
        <f t="shared" si="21"/>
        <v>25.911376692350544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2.9235042735042733</v>
      </c>
      <c r="N26" s="13">
        <f>IF('Données projet'!$A$36&gt;35,N25+M26-V25,IF(A26&lt;'Données projet'!$A$36,$K$205^A26,IF(A26='Données projet'!$A$36,'Données projet'!$B$36,N25+M26-V25)))</f>
        <v>30.878236599516239</v>
      </c>
      <c r="O26" s="13">
        <f>N26*VLOOKUP('Données projet'!$B$9,Paramètres!$A$1:$I$89,3,0)*VLOOKUP('Données projet'!$B$9,Paramètres!$A$1:$I$89,5,0)</f>
        <v>27.938628475242293</v>
      </c>
      <c r="P26" s="13">
        <f t="shared" si="33"/>
        <v>8.7381375293515138</v>
      </c>
      <c r="Q26" s="20">
        <f t="shared" si="2"/>
        <v>63.878700791334211</v>
      </c>
      <c r="R26" s="59">
        <f t="shared" si="0"/>
        <v>287.36389750088074</v>
      </c>
      <c r="S26" s="59">
        <f ca="1">AVERAGE(OFFSET($R$3,0,0,'Données projet'!$E$9+1,1))-AVERAGE(OFFSET($H$3,0,0,'Données projet'!$E$9+1,1))</f>
        <v>388.1278150896951</v>
      </c>
      <c r="T26" s="59">
        <f t="shared" si="34"/>
        <v>232.26614607059227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2.9235042735042733</v>
      </c>
      <c r="AI26" s="13">
        <f>IF('Données projet'!$A$62&gt;35,AI25+AH26-AQ25,IF(A26&lt;'Données projet'!$A$62,$AF$205^A26,IF(A26='Données projet'!$A$62,'Données projet'!$B$62,AI25+AH26-AQ25)))</f>
        <v>30.878236599516239</v>
      </c>
      <c r="AJ26" s="13">
        <f>AI26*VLOOKUP('Données projet'!$B$10,Paramètres!$A$1:$I$89,3,0)*VLOOKUP('Données projet'!$B$10,Paramètres!$A$1:$I$89,5,0)</f>
        <v>31.310531911909472</v>
      </c>
      <c r="AK26" s="13">
        <f t="shared" si="35"/>
        <v>9.6637156506405031</v>
      </c>
      <c r="AL26" s="20">
        <f t="shared" si="4"/>
        <v>71.363481171441208</v>
      </c>
      <c r="AM26" s="59">
        <f t="shared" si="5"/>
        <v>294.84867788098768</v>
      </c>
      <c r="AN26" s="59">
        <f ca="1">AVERAGE(OFFSET($AM$3,0,0,'Données projet'!$E$10+1,1))-AVERAGE(OFFSET($H$3,0,0,'Données projet'!$E$10+1,1))</f>
        <v>424.89201140676084</v>
      </c>
      <c r="AO26" s="59">
        <f t="shared" si="36"/>
        <v>253.0016648946303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2.9235042735042733</v>
      </c>
      <c r="BD26" s="12">
        <f>IF('Données projet'!$A$88&gt;35,BD25+BC26-BL25,IF(A26&lt;'Données projet'!$A$88,$BA$205^A26,IF(A26='Données projet'!$A$88,'Données projet'!$B$88,BD25+BC26-BL25)))</f>
        <v>30.878236599516239</v>
      </c>
      <c r="BE26" s="13">
        <f>BD26*VLOOKUP('Données projet'!$B$11,Paramètres!$A$1:$I$89,3,0)*VLOOKUP('Données projet'!$B$11,Paramètres!$A$1:$I$89,5,0)</f>
        <v>29.383729948099653</v>
      </c>
      <c r="BF26" s="13">
        <f t="shared" si="37"/>
        <v>9.1363208526521351</v>
      </c>
      <c r="BG26" s="20">
        <f t="shared" si="7"/>
        <v>67.089088477976034</v>
      </c>
      <c r="BH26" s="59">
        <f t="shared" si="8"/>
        <v>290.57428518752255</v>
      </c>
      <c r="BI26" s="59">
        <f ca="1">AVERAGE(OFFSET($BH$3,0,0,'Données projet'!$E$11+1,1))-AVERAGE(OFFSET($H$3,0,0,'Données projet'!$E$11+1,1))</f>
        <v>403.89478276355294</v>
      </c>
      <c r="BJ26" s="59">
        <f t="shared" si="38"/>
        <v>241.1593989733278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14.8</v>
      </c>
      <c r="BY26" s="12">
        <f>IF('Données projet'!$A$114&gt;35,BY25+BX26-CG25,IF(A26&lt;'Données projet'!$A$114,$BV$205^A26,IF(A26='Données projet'!$A$114,'Données projet'!$B$114,BY25+BX26-CG25)))</f>
        <v>111.39999999999998</v>
      </c>
      <c r="BZ26" s="13">
        <f>BY26*VLOOKUP('Données projet'!$B$12,Paramètres!$A$1:$I$89,3,0)*VLOOKUP('Données projet'!$B$12,Paramètres!$A$1:$I$89,5,0)</f>
        <v>88.629839999999987</v>
      </c>
      <c r="CA26" s="13">
        <f t="shared" si="39"/>
        <v>24.23448093253452</v>
      </c>
      <c r="CB26" s="20">
        <f t="shared" si="10"/>
        <v>196.57202562416424</v>
      </c>
      <c r="CC26" s="59">
        <f t="shared" si="11"/>
        <v>420.05722233371074</v>
      </c>
      <c r="CD26" s="59">
        <f ca="1">AVERAGE(OFFSET($CC$3,0,0,'Données projet'!$E$12+1,1))-AVERAGE(OFFSET($H$3,0,0,'Données projet'!$E$12+1,1))</f>
        <v>377.27600411578322</v>
      </c>
      <c r="CE26" s="59">
        <f t="shared" si="40"/>
        <v>364.58250627635425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0.44861118340805312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0.44861118340805312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10.6</v>
      </c>
      <c r="CT26" s="12">
        <f>IF('Données projet'!$A$140&gt;35,CT25+CS26-DB25,IF(A26&lt;'Données projet'!$A$140,$CQ$205^A26,IF(A26='Données projet'!$A$140,'Données projet'!$B$140,CT25+CS26-DB25)))</f>
        <v>91.799999999999969</v>
      </c>
      <c r="CU26" s="17">
        <f>CT26*VLOOKUP('Données projet'!$B$13,Paramètres!$A$1:$I$89,3,0)*VLOOKUP('Données projet'!$B$13,Paramètres!$A$1:$I$89,5,0)</f>
        <v>71.603999999999985</v>
      </c>
      <c r="CV26" s="13">
        <f t="shared" si="41"/>
        <v>20.071260561992585</v>
      </c>
      <c r="CW26" s="20">
        <f t="shared" si="13"/>
        <v>159.66774547880371</v>
      </c>
      <c r="CX26" s="59">
        <f t="shared" si="14"/>
        <v>383.15294218835021</v>
      </c>
      <c r="CY26" s="59">
        <f ca="1">AVERAGE(OFFSET($CX$3,0,0,'Données projet'!$E$13+1,1))-AVERAGE(OFFSET($H$3,0,0,'Données projet'!$E$13+1,1))</f>
        <v>308.82719216177946</v>
      </c>
      <c r="CZ26" s="59">
        <f t="shared" si="42"/>
        <v>302.59481222418219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4.2479874404423397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4.2479874404423397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10.6</v>
      </c>
      <c r="DO26" s="12">
        <f>IF('Données projet'!$A$166&gt;35,DO25+DN26-DW25,IF(A26&lt;'Données projet'!$A$166,$DL$205^A26,IF(A26='Données projet'!$A$166,'Données projet'!$B$166,DO25+DN26-DW25)))</f>
        <v>192.79999999999995</v>
      </c>
      <c r="DP26" s="17">
        <f>DO26*VLOOKUP('Données projet'!$B$14,Paramètres!$A$1:$I$89,3,0)*VLOOKUP('Données projet'!$B$14,Paramètres!$A$1:$I$89,5,0)</f>
        <v>174.44543999999996</v>
      </c>
      <c r="DQ26" s="13">
        <f t="shared" si="43"/>
        <v>44.08415354960767</v>
      </c>
      <c r="DR26" s="20">
        <f t="shared" si="16"/>
        <v>380.60570876556659</v>
      </c>
      <c r="DS26" s="59">
        <f t="shared" si="17"/>
        <v>604.09090547511312</v>
      </c>
      <c r="DT26" s="59">
        <f ca="1">AVERAGE(OFFSET($DS$3,0,0,'Données projet'!$E$14+1,1))-AVERAGE(OFFSET($H$3,0,0,'Données projet'!$E$14+1,1))</f>
        <v>376.51107072413777</v>
      </c>
      <c r="DU26" s="59">
        <f t="shared" si="44"/>
        <v>532.90758914457615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19.071794871794875</v>
      </c>
      <c r="EJ26" s="12">
        <f>IF('Données projet'!$A$192&gt;35,EJ25+EI26-ER25,IF(A26&lt;'Données projet'!$A$192,$EG$205^A26,IF(A26='Données projet'!$A$192,'Données projet'!$B$192,EJ25+EI26-ER25)))</f>
        <v>192.20000000000002</v>
      </c>
      <c r="EK26" s="17">
        <f>EJ26*VLOOKUP('Données projet'!$B$15,Paramètres!$A$1:$I$89,3,0)*VLOOKUP('Données projet'!$B$15,Paramètres!$A$1:$I$89,5,0)</f>
        <v>114.93560000000001</v>
      </c>
      <c r="EL26" s="13">
        <f t="shared" si="45"/>
        <v>30.49086327624272</v>
      </c>
      <c r="EM26" s="20">
        <f t="shared" si="19"/>
        <v>253.28442353945601</v>
      </c>
      <c r="EN26" s="59">
        <f t="shared" si="20"/>
        <v>476.76962024900251</v>
      </c>
      <c r="EO26" s="59">
        <f ca="1">AVERAGE(OFFSET($EN$3,0,0,'Données projet'!$E$15+1,1))-AVERAGE(OFFSET($H$3,0,0,'Données projet'!$E$15+1,1))</f>
        <v>337.99164391755608</v>
      </c>
      <c r="EP26" s="59">
        <f t="shared" si="46"/>
        <v>421.45428231923393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16.86858784460431</v>
      </c>
      <c r="EX26" s="21">
        <f>EXP(-LN(2)/2)*EX25+(1-EXP(-LN(2)/2))/(LN(2)/2)*ER26*EU26*VLOOKUP('Données projet'!$B$15,Paramètres!$A$1:$I$89,3,0)*0.475*44/12</f>
        <v>6.0588786030110651</v>
      </c>
      <c r="EY26" s="22">
        <f t="shared" si="21"/>
        <v>22.927466447615373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2.9235042735042733</v>
      </c>
      <c r="N27" s="13">
        <f>IF('Données projet'!$A$36&gt;35,N26+M27-V26,IF(A27&lt;'Données projet'!$A$36,$K$205^A27,IF(A27='Données projet'!$A$36,'Données projet'!$B$36,N26+M27-V26)))</f>
        <v>35.844290647096855</v>
      </c>
      <c r="O27" s="13">
        <f>N27*VLOOKUP('Données projet'!$B$9,Paramètres!$A$1:$I$89,3,0)*VLOOKUP('Données projet'!$B$9,Paramètres!$A$1:$I$89,5,0)</f>
        <v>32.431914177493233</v>
      </c>
      <c r="P27" s="13">
        <f t="shared" si="33"/>
        <v>9.9689045653817558</v>
      </c>
      <c r="Q27" s="20">
        <f t="shared" si="2"/>
        <v>73.848092643840616</v>
      </c>
      <c r="R27" s="59">
        <f t="shared" si="0"/>
        <v>299.6188008274604</v>
      </c>
      <c r="S27" s="59">
        <f ca="1">AVERAGE(OFFSET($R$3,0,0,'Données projet'!$E$9+1,1))-AVERAGE(OFFSET($H$3,0,0,'Données projet'!$E$9+1,1))</f>
        <v>388.1278150896951</v>
      </c>
      <c r="T27" s="59">
        <f t="shared" si="34"/>
        <v>232.26614607059227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2.9235042735042733</v>
      </c>
      <c r="AI27" s="13">
        <f>IF('Données projet'!$A$62&gt;35,AI26+AH27-AQ26,IF(A27&lt;'Données projet'!$A$62,$AF$205^A27,IF(A27='Données projet'!$A$62,'Données projet'!$B$62,AI26+AH27-AQ26)))</f>
        <v>35.844290647096855</v>
      </c>
      <c r="AJ27" s="13">
        <f>AI27*VLOOKUP('Données projet'!$B$10,Paramètres!$A$1:$I$89,3,0)*VLOOKUP('Données projet'!$B$10,Paramètres!$A$1:$I$89,5,0)</f>
        <v>36.346110716156211</v>
      </c>
      <c r="AK27" s="13">
        <f t="shared" si="35"/>
        <v>11.024850403718778</v>
      </c>
      <c r="AL27" s="20">
        <f t="shared" si="4"/>
        <v>82.504423950448952</v>
      </c>
      <c r="AM27" s="59">
        <f t="shared" si="5"/>
        <v>308.27513213406877</v>
      </c>
      <c r="AN27" s="59">
        <f ca="1">AVERAGE(OFFSET($AM$3,0,0,'Données projet'!$E$10+1,1))-AVERAGE(OFFSET($H$3,0,0,'Données projet'!$E$10+1,1))</f>
        <v>424.89201140676084</v>
      </c>
      <c r="AO27" s="59">
        <f t="shared" si="36"/>
        <v>253.0016648946303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2.9235042735042733</v>
      </c>
      <c r="BD27" s="12">
        <f>IF('Données projet'!$A$88&gt;35,BD26+BC27-BL26,IF(A27&lt;'Données projet'!$A$88,$BA$205^A27,IF(A27='Données projet'!$A$88,'Données projet'!$B$88,BD26+BC27-BL26)))</f>
        <v>35.844290647096855</v>
      </c>
      <c r="BE27" s="13">
        <f>BD27*VLOOKUP('Données projet'!$B$11,Paramètres!$A$1:$I$89,3,0)*VLOOKUP('Données projet'!$B$11,Paramètres!$A$1:$I$89,5,0)</f>
        <v>34.109426979777368</v>
      </c>
      <c r="BF27" s="13">
        <f t="shared" si="37"/>
        <v>10.423172026402712</v>
      </c>
      <c r="BG27" s="20">
        <f t="shared" si="7"/>
        <v>77.560943269096967</v>
      </c>
      <c r="BH27" s="59">
        <f t="shared" si="8"/>
        <v>303.33165145271676</v>
      </c>
      <c r="BI27" s="59">
        <f ca="1">AVERAGE(OFFSET($BH$3,0,0,'Données projet'!$E$11+1,1))-AVERAGE(OFFSET($H$3,0,0,'Données projet'!$E$11+1,1))</f>
        <v>403.89478276355294</v>
      </c>
      <c r="BJ27" s="59">
        <f t="shared" si="38"/>
        <v>241.1593989733278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14.8</v>
      </c>
      <c r="BY27" s="12">
        <f>IF('Données projet'!$A$114&gt;35,BY26+BX27-CG26,IF(A27&lt;'Données projet'!$A$114,$BV$205^A27,IF(A27='Données projet'!$A$114,'Données projet'!$B$114,BY26+BX27-CG26)))</f>
        <v>126.19999999999997</v>
      </c>
      <c r="BZ27" s="13">
        <f>BY27*VLOOKUP('Données projet'!$B$12,Paramètres!$A$1:$I$89,3,0)*VLOOKUP('Données projet'!$B$12,Paramètres!$A$1:$I$89,5,0)</f>
        <v>100.40472</v>
      </c>
      <c r="CA27" s="13">
        <f t="shared" si="39"/>
        <v>27.058393830330502</v>
      </c>
      <c r="CB27" s="20">
        <f t="shared" si="10"/>
        <v>221.99825658782561</v>
      </c>
      <c r="CC27" s="59">
        <f t="shared" si="11"/>
        <v>447.76896477144544</v>
      </c>
      <c r="CD27" s="59">
        <f ca="1">AVERAGE(OFFSET($CC$3,0,0,'Données projet'!$E$12+1,1))-AVERAGE(OFFSET($H$3,0,0,'Données projet'!$E$12+1,1))</f>
        <v>377.27600411578322</v>
      </c>
      <c r="CE27" s="59">
        <f t="shared" si="40"/>
        <v>364.58250627635425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0.43634388700632309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0.43634388700632309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10.6</v>
      </c>
      <c r="CT27" s="12">
        <f>IF('Données projet'!$A$140&gt;35,CT26+CS27-DB26,IF(A27&lt;'Données projet'!$A$140,$CQ$205^A27,IF(A27='Données projet'!$A$140,'Données projet'!$B$140,CT26+CS27-DB26)))</f>
        <v>102.39999999999996</v>
      </c>
      <c r="CU27" s="17">
        <f>CT27*VLOOKUP('Données projet'!$B$13,Paramètres!$A$1:$I$89,3,0)*VLOOKUP('Données projet'!$B$13,Paramètres!$A$1:$I$89,5,0)</f>
        <v>79.871999999999971</v>
      </c>
      <c r="CV27" s="13">
        <f t="shared" si="41"/>
        <v>22.105884547145401</v>
      </c>
      <c r="CW27" s="20">
        <f t="shared" si="13"/>
        <v>177.61148225294485</v>
      </c>
      <c r="CX27" s="59">
        <f t="shared" si="14"/>
        <v>403.38219043656466</v>
      </c>
      <c r="CY27" s="59">
        <f ca="1">AVERAGE(OFFSET($CX$3,0,0,'Données projet'!$E$13+1,1))-AVERAGE(OFFSET($H$3,0,0,'Données projet'!$E$13+1,1))</f>
        <v>308.82719216177946</v>
      </c>
      <c r="CZ27" s="59">
        <f t="shared" si="42"/>
        <v>302.59481222418219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4.1318260004914933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4.1318260004914933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10.6</v>
      </c>
      <c r="DO27" s="12">
        <f>IF('Données projet'!$A$166&gt;35,DO26+DN27-DW26,IF(A27&lt;'Données projet'!$A$166,$DL$205^A27,IF(A27='Données projet'!$A$166,'Données projet'!$B$166,DO26+DN27-DW26)))</f>
        <v>203.39999999999995</v>
      </c>
      <c r="DP27" s="17">
        <f>DO27*VLOOKUP('Données projet'!$B$14,Paramètres!$A$1:$I$89,3,0)*VLOOKUP('Données projet'!$B$14,Paramètres!$A$1:$I$89,5,0)</f>
        <v>184.03631999999996</v>
      </c>
      <c r="DQ27" s="13">
        <f t="shared" si="43"/>
        <v>46.219030699200047</v>
      </c>
      <c r="DR27" s="20">
        <f t="shared" si="16"/>
        <v>401.02806913443993</v>
      </c>
      <c r="DS27" s="59">
        <f t="shared" si="17"/>
        <v>626.79877731805971</v>
      </c>
      <c r="DT27" s="59">
        <f ca="1">AVERAGE(OFFSET($DS$3,0,0,'Données projet'!$E$14+1,1))-AVERAGE(OFFSET($H$3,0,0,'Données projet'!$E$14+1,1))</f>
        <v>376.51107072413777</v>
      </c>
      <c r="DU27" s="59">
        <f t="shared" si="44"/>
        <v>532.90758914457615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19.071794871794875</v>
      </c>
      <c r="EJ27" s="12">
        <f>IF('Données projet'!$A$192&gt;35,EJ26+EI27-ER26,IF(A27&lt;'Données projet'!$A$192,$EG$205^A27,IF(A27='Données projet'!$A$192,'Données projet'!$B$192,EJ26+EI27-ER26)))</f>
        <v>211.2717948717949</v>
      </c>
      <c r="EK27" s="17">
        <f>EJ27*VLOOKUP('Données projet'!$B$15,Paramètres!$A$1:$I$89,3,0)*VLOOKUP('Données projet'!$B$15,Paramètres!$A$1:$I$89,5,0)</f>
        <v>126.34053333333337</v>
      </c>
      <c r="EL27" s="13">
        <f t="shared" si="45"/>
        <v>33.149363946532553</v>
      </c>
      <c r="EM27" s="20">
        <f t="shared" si="19"/>
        <v>277.77823776243309</v>
      </c>
      <c r="EN27" s="59">
        <f t="shared" si="20"/>
        <v>503.54894594605287</v>
      </c>
      <c r="EO27" s="59">
        <f ca="1">AVERAGE(OFFSET($EN$3,0,0,'Données projet'!$E$15+1,1))-AVERAGE(OFFSET($H$3,0,0,'Données projet'!$E$15+1,1))</f>
        <v>337.99164391755608</v>
      </c>
      <c r="EP27" s="59">
        <f t="shared" si="46"/>
        <v>421.45428231923393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16.407315422913126</v>
      </c>
      <c r="EX27" s="21">
        <f>EXP(-LN(2)/2)*EX26+(1-EXP(-LN(2)/2))/(LN(2)/2)*ER27*EU27*VLOOKUP('Données projet'!$B$15,Paramètres!$A$1:$I$89,3,0)*0.475*44/12</f>
        <v>4.2842741465751999</v>
      </c>
      <c r="EY27" s="22">
        <f t="shared" si="21"/>
        <v>20.691589569488325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2.9235042735042733</v>
      </c>
      <c r="N28" s="13">
        <f>IF('Données projet'!$A$36&gt;35,N27+M28-V27,IF(A28&lt;'Données projet'!$A$36,$K$205^A28,IF(A28='Données projet'!$A$36,'Données projet'!$B$36,N27+M28-V27)))</f>
        <v>41.609020251295185</v>
      </c>
      <c r="O28" s="13">
        <f>N28*VLOOKUP('Données projet'!$B$9,Paramètres!$A$1:$I$89,3,0)*VLOOKUP('Données projet'!$B$9,Paramètres!$A$1:$I$89,5,0)</f>
        <v>37.647841523371881</v>
      </c>
      <c r="P28" s="13">
        <f t="shared" si="33"/>
        <v>11.373025189850091</v>
      </c>
      <c r="Q28" s="20">
        <f t="shared" si="2"/>
        <v>85.37800952552827</v>
      </c>
      <c r="R28" s="59">
        <f t="shared" si="0"/>
        <v>313.4157834918604</v>
      </c>
      <c r="S28" s="59">
        <f ca="1">AVERAGE(OFFSET($R$3,0,0,'Données projet'!$E$9+1,1))-AVERAGE(OFFSET($H$3,0,0,'Données projet'!$E$9+1,1))</f>
        <v>388.1278150896951</v>
      </c>
      <c r="T28" s="59">
        <f t="shared" si="34"/>
        <v>232.26614607059227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2.9235042735042733</v>
      </c>
      <c r="AI28" s="13">
        <f>IF('Données projet'!$A$62&gt;35,AI27+AH28-AQ27,IF(A28&lt;'Données projet'!$A$62,$AF$205^A28,IF(A28='Données projet'!$A$62,'Données projet'!$B$62,AI27+AH28-AQ27)))</f>
        <v>41.609020251295185</v>
      </c>
      <c r="AJ28" s="13">
        <f>AI28*VLOOKUP('Données projet'!$B$10,Paramètres!$A$1:$I$89,3,0)*VLOOKUP('Données projet'!$B$10,Paramètres!$A$1:$I$89,5,0)</f>
        <v>42.19154653481332</v>
      </c>
      <c r="AK28" s="13">
        <f t="shared" si="35"/>
        <v>12.577701043627256</v>
      </c>
      <c r="AL28" s="20">
        <f t="shared" si="4"/>
        <v>95.389772865783996</v>
      </c>
      <c r="AM28" s="59">
        <f t="shared" si="5"/>
        <v>323.42754683211609</v>
      </c>
      <c r="AN28" s="59">
        <f ca="1">AVERAGE(OFFSET($AM$3,0,0,'Données projet'!$E$10+1,1))-AVERAGE(OFFSET($H$3,0,0,'Données projet'!$E$10+1,1))</f>
        <v>424.89201140676084</v>
      </c>
      <c r="AO28" s="59">
        <f t="shared" si="36"/>
        <v>253.0016648946303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2.9235042735042733</v>
      </c>
      <c r="BD28" s="12">
        <f>IF('Données projet'!$A$88&gt;35,BD27+BC28-BL27,IF(A28&lt;'Données projet'!$A$88,$BA$205^A28,IF(A28='Données projet'!$A$88,'Données projet'!$B$88,BD27+BC28-BL27)))</f>
        <v>41.609020251295185</v>
      </c>
      <c r="BE28" s="13">
        <f>BD28*VLOOKUP('Données projet'!$B$11,Paramètres!$A$1:$I$89,3,0)*VLOOKUP('Données projet'!$B$11,Paramètres!$A$1:$I$89,5,0)</f>
        <v>39.595143671132497</v>
      </c>
      <c r="BF28" s="13">
        <f t="shared" si="37"/>
        <v>11.891276241732113</v>
      </c>
      <c r="BG28" s="20">
        <f t="shared" si="7"/>
        <v>89.672181348239192</v>
      </c>
      <c r="BH28" s="59">
        <f t="shared" si="8"/>
        <v>317.70995531457129</v>
      </c>
      <c r="BI28" s="59">
        <f ca="1">AVERAGE(OFFSET($BH$3,0,0,'Données projet'!$E$11+1,1))-AVERAGE(OFFSET($H$3,0,0,'Données projet'!$E$11+1,1))</f>
        <v>403.89478276355294</v>
      </c>
      <c r="BJ28" s="59">
        <f t="shared" si="38"/>
        <v>241.1593989733278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141</v>
      </c>
      <c r="BW28" s="12">
        <f>VLOOKUP(A28,'Données projet'!$A$113:$I$133,9,0)</f>
        <v>14.8</v>
      </c>
      <c r="BX28" s="12">
        <f t="array" ref="BX28">INDEX(BW:BW,MIN(IF(ISNUMBER(BW28:BW224),ROW(BW28:BW224),"")))</f>
        <v>14.8</v>
      </c>
      <c r="BY28" s="12">
        <f>IF('Données projet'!$A$114&gt;35,BY27+BX28-CG27,IF(A28&lt;'Données projet'!$A$114,$BV$205^A28,IF(A28='Données projet'!$A$114,'Données projet'!$B$114,BY27+BX28-CG27)))</f>
        <v>140.99999999999997</v>
      </c>
      <c r="BZ28" s="13">
        <f>BY28*VLOOKUP('Données projet'!$B$12,Paramètres!$A$1:$I$89,3,0)*VLOOKUP('Données projet'!$B$12,Paramètres!$A$1:$I$89,5,0)</f>
        <v>112.17959999999998</v>
      </c>
      <c r="CA28" s="13">
        <f t="shared" si="39"/>
        <v>29.8439274472838</v>
      </c>
      <c r="CB28" s="20">
        <f t="shared" si="10"/>
        <v>247.35764363735257</v>
      </c>
      <c r="CC28" s="59">
        <f t="shared" si="11"/>
        <v>475.39541760368468</v>
      </c>
      <c r="CD28" s="59">
        <f ca="1">AVERAGE(OFFSET($CC$3,0,0,'Données projet'!$E$12+1,1))-AVERAGE(OFFSET($H$3,0,0,'Données projet'!$E$12+1,1))</f>
        <v>377.27600411578322</v>
      </c>
      <c r="CE28" s="59">
        <f t="shared" si="40"/>
        <v>364.58250627635425</v>
      </c>
      <c r="CF28" s="15">
        <f>IF(ISNA(VLOOKUP(A28,'Données projet'!$A$113:$I$133,3,0)),0,VLOOKUP(A28,'Données projet'!$A$113:$I$133,3,0))</f>
        <v>3</v>
      </c>
      <c r="CG28" s="15">
        <f>IF(ISNA(VLOOKUP(A28,'Données projet'!$A$113:$I$133,4,0)),0,VLOOKUP(A28,'Données projet'!$A$113:$I$133,4,0))</f>
        <v>35</v>
      </c>
      <c r="CH28" s="16">
        <f>IF(ISNA(VLOOKUP(A28,'Données projet'!$A$113:$I$133,5,0)),0%,VLOOKUP(A28,'Données projet'!$A$113:$I$133,5,0)*VLOOKUP('Données projet'!$B$12,Paramètres!$A$1:$I$89,7,0))</f>
        <v>1.5900000000000001E-2</v>
      </c>
      <c r="CI28" s="16">
        <f>IF(ISNA(VLOOKUP(A28,'Données projet'!$A$113:$I$133,6,0)),0%,VLOOKUP(A28,'Données projet'!$A$113:$I$133,6,0)*VLOOKUP('Données projet'!$B$12,Paramètres!$A$1:$I$89,7,0))</f>
        <v>0.12190000000000001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0.48944855819674515</v>
      </c>
      <c r="CL28" s="21">
        <f>EXP(-LN(2)/25)*CL27+(1-EXP(-LN(2)/25))/(LN(2)/25)*Calculateur!CG28*Calculateur!CI28*VLOOKUP('Données projet'!$B$12,Paramètres!$A$1:$I$89,3,0)*0.475*44/12</f>
        <v>4.1620762047224291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4.6515247629191743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113</v>
      </c>
      <c r="CR28" s="12">
        <f>VLOOKUP(A28,'Données projet'!$A$139:$I$159,9,0)</f>
        <v>10.6</v>
      </c>
      <c r="CS28" s="12">
        <f t="array" ref="CS28">INDEX(CR:CR,MIN(IF(ISNUMBER(CR28:CR224),ROW(CR28:CR224),"")))</f>
        <v>10.6</v>
      </c>
      <c r="CT28" s="12">
        <f>IF('Données projet'!$A$140&gt;35,CT27+CS28-DB27,IF(A28&lt;'Données projet'!$A$140,$CQ$205^A28,IF(A28='Données projet'!$A$140,'Données projet'!$B$140,CT27+CS28-DB27)))</f>
        <v>112.99999999999996</v>
      </c>
      <c r="CU28" s="17">
        <f>CT28*VLOOKUP('Données projet'!$B$13,Paramètres!$A$1:$I$89,3,0)*VLOOKUP('Données projet'!$B$13,Paramètres!$A$1:$I$89,5,0)</f>
        <v>88.139999999999972</v>
      </c>
      <c r="CV28" s="13">
        <f t="shared" si="41"/>
        <v>24.116094026318823</v>
      </c>
      <c r="CW28" s="20">
        <f t="shared" si="13"/>
        <v>195.51269709583855</v>
      </c>
      <c r="CX28" s="59">
        <f t="shared" si="14"/>
        <v>423.55047106217069</v>
      </c>
      <c r="CY28" s="59">
        <f ca="1">AVERAGE(OFFSET($CX$3,0,0,'Données projet'!$E$13+1,1))-AVERAGE(OFFSET($H$3,0,0,'Données projet'!$E$13+1,1))</f>
        <v>308.82719216177946</v>
      </c>
      <c r="CZ28" s="59">
        <f t="shared" si="42"/>
        <v>302.59481222418219</v>
      </c>
      <c r="DA28" s="15">
        <f>IF(ISNA(VLOOKUP(A28,'Données projet'!$A$139:$I$159,3,0)),0,VLOOKUP(A28,'Données projet'!$A$139:$I$159,3,0))</f>
        <v>3</v>
      </c>
      <c r="DB28" s="15">
        <f>IF(ISNA(VLOOKUP(A28,'Données projet'!$A$139:$I$159,4,0)),0,VLOOKUP(A28,'Données projet'!$A$139:$I$159,4,0))</f>
        <v>27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0.215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9.0045919320944172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9.0045919320944172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214</v>
      </c>
      <c r="DM28" s="12">
        <f>VLOOKUP(A28,'Données projet'!$A$165:$I$185,9,0)</f>
        <v>10.6</v>
      </c>
      <c r="DN28" s="12">
        <f t="array" ref="DN28">INDEX(DM:DM,MIN(IF(ISNUMBER(DM28:DM224),ROW(DM28:DM224),"")))</f>
        <v>10.6</v>
      </c>
      <c r="DO28" s="12">
        <f>IF('Données projet'!$A$166&gt;35,DO27+DN28-DW27,IF(A28&lt;'Données projet'!$A$166,$DL$205^A28,IF(A28='Données projet'!$A$166,'Données projet'!$B$166,DO27+DN28-DW27)))</f>
        <v>213.99999999999994</v>
      </c>
      <c r="DP28" s="17">
        <f>DO28*VLOOKUP('Données projet'!$B$14,Paramètres!$A$1:$I$89,3,0)*VLOOKUP('Données projet'!$B$14,Paramètres!$A$1:$I$89,5,0)</f>
        <v>193.62719999999996</v>
      </c>
      <c r="DQ28" s="13">
        <f t="shared" si="43"/>
        <v>48.340990547231193</v>
      </c>
      <c r="DR28" s="20">
        <f t="shared" si="16"/>
        <v>421.42793186976087</v>
      </c>
      <c r="DS28" s="59">
        <f t="shared" si="17"/>
        <v>649.46570583609298</v>
      </c>
      <c r="DT28" s="59">
        <f ca="1">AVERAGE(OFFSET($DS$3,0,0,'Données projet'!$E$14+1,1))-AVERAGE(OFFSET($H$3,0,0,'Données projet'!$E$14+1,1))</f>
        <v>376.51107072413777</v>
      </c>
      <c r="DU28" s="59">
        <f t="shared" si="44"/>
        <v>532.90758914457615</v>
      </c>
      <c r="DV28" s="15">
        <f>IF(ISNA(VLOOKUP(A28,'Données projet'!$A$165:$I$185,3,0)),0,VLOOKUP(A28,'Données projet'!$A$165:$I$185,3,0))</f>
        <v>5</v>
      </c>
      <c r="DW28" s="15">
        <f>IF(ISNA(VLOOKUP(A28,'Données projet'!$A$165:$I$185,4,0)),0,VLOOKUP(A28,'Données projet'!$A$165:$I$185,4,0))</f>
        <v>14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0.15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2.0922117601375478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2.0922117601375478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19.071794871794875</v>
      </c>
      <c r="EJ28" s="12">
        <f>IF('Données projet'!$A$192&gt;35,EJ27+EI28-ER27,IF(A28&lt;'Données projet'!$A$192,$EG$205^A28,IF(A28='Données projet'!$A$192,'Données projet'!$B$192,EJ27+EI28-ER27)))</f>
        <v>230.34358974358977</v>
      </c>
      <c r="EK28" s="17">
        <f>EJ28*VLOOKUP('Données projet'!$B$15,Paramètres!$A$1:$I$89,3,0)*VLOOKUP('Données projet'!$B$15,Paramètres!$A$1:$I$89,5,0)</f>
        <v>137.74546666666669</v>
      </c>
      <c r="EL28" s="13">
        <f t="shared" si="45"/>
        <v>35.780036573255778</v>
      </c>
      <c r="EM28" s="20">
        <f t="shared" si="19"/>
        <v>302.22358480953159</v>
      </c>
      <c r="EN28" s="59">
        <f t="shared" si="20"/>
        <v>530.26135877586375</v>
      </c>
      <c r="EO28" s="59">
        <f ca="1">AVERAGE(OFFSET($EN$3,0,0,'Données projet'!$E$15+1,1))-AVERAGE(OFFSET($H$3,0,0,'Données projet'!$E$15+1,1))</f>
        <v>337.99164391755608</v>
      </c>
      <c r="EP28" s="59">
        <f t="shared" si="46"/>
        <v>421.45428231923393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15.958656519850347</v>
      </c>
      <c r="EX28" s="21">
        <f>EXP(-LN(2)/2)*EX27+(1-EXP(-LN(2)/2))/(LN(2)/2)*ER28*EU28*VLOOKUP('Données projet'!$B$15,Paramètres!$A$1:$I$89,3,0)*0.475*44/12</f>
        <v>3.0294393015055325</v>
      </c>
      <c r="EY28" s="22">
        <f t="shared" si="21"/>
        <v>18.988095821355881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2.9235042735042733</v>
      </c>
      <c r="N29" s="13">
        <f>IF('Données projet'!$A$36&gt;35,N28+M29-V28,IF(A29&lt;'Données projet'!$A$36,$K$205^A29,IF(A29='Données projet'!$A$36,'Données projet'!$B$36,N28+M29-V28)))</f>
        <v>48.30087400300993</v>
      </c>
      <c r="O29" s="13">
        <f>N29*VLOOKUP('Données projet'!$B$9,Paramètres!$A$1:$I$89,3,0)*VLOOKUP('Données projet'!$B$9,Paramètres!$A$1:$I$89,5,0)</f>
        <v>43.702630797923383</v>
      </c>
      <c r="P29" s="13">
        <f t="shared" si="33"/>
        <v>12.974916262929579</v>
      </c>
      <c r="Q29" s="20">
        <f t="shared" si="2"/>
        <v>98.71339446431891</v>
      </c>
      <c r="R29" s="59">
        <f t="shared" si="0"/>
        <v>329.00010851350908</v>
      </c>
      <c r="S29" s="59">
        <f ca="1">AVERAGE(OFFSET($R$3,0,0,'Données projet'!$E$9+1,1))-AVERAGE(OFFSET($H$3,0,0,'Données projet'!$E$9+1,1))</f>
        <v>388.1278150896951</v>
      </c>
      <c r="T29" s="59">
        <f t="shared" si="34"/>
        <v>232.26614607059227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2.9235042735042733</v>
      </c>
      <c r="AI29" s="13">
        <f>IF('Données projet'!$A$62&gt;35,AI28+AH29-AQ28,IF(A29&lt;'Données projet'!$A$62,$AF$205^A29,IF(A29='Données projet'!$A$62,'Données projet'!$B$62,AI28+AH29-AQ28)))</f>
        <v>48.30087400300993</v>
      </c>
      <c r="AJ29" s="13">
        <f>AI29*VLOOKUP('Données projet'!$B$10,Paramètres!$A$1:$I$89,3,0)*VLOOKUP('Données projet'!$B$10,Paramètres!$A$1:$I$89,5,0)</f>
        <v>48.97708623905207</v>
      </c>
      <c r="AK29" s="13">
        <f t="shared" si="35"/>
        <v>14.34927076103458</v>
      </c>
      <c r="AL29" s="20">
        <f t="shared" si="4"/>
        <v>110.29340510848425</v>
      </c>
      <c r="AM29" s="59">
        <f t="shared" si="5"/>
        <v>340.5801191576744</v>
      </c>
      <c r="AN29" s="59">
        <f ca="1">AVERAGE(OFFSET($AM$3,0,0,'Données projet'!$E$10+1,1))-AVERAGE(OFFSET($H$3,0,0,'Données projet'!$E$10+1,1))</f>
        <v>424.89201140676084</v>
      </c>
      <c r="AO29" s="59">
        <f t="shared" si="36"/>
        <v>253.0016648946303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2.9235042735042733</v>
      </c>
      <c r="BD29" s="12">
        <f>IF('Données projet'!$A$88&gt;35,BD28+BC29-BL28,IF(A29&lt;'Données projet'!$A$88,$BA$205^A29,IF(A29='Données projet'!$A$88,'Données projet'!$B$88,BD28+BC29-BL28)))</f>
        <v>48.30087400300993</v>
      </c>
      <c r="BE29" s="13">
        <f>BD29*VLOOKUP('Données projet'!$B$11,Paramètres!$A$1:$I$89,3,0)*VLOOKUP('Données projet'!$B$11,Paramètres!$A$1:$I$89,5,0)</f>
        <v>45.963111701264246</v>
      </c>
      <c r="BF29" s="13">
        <f t="shared" si="37"/>
        <v>13.566162997118258</v>
      </c>
      <c r="BG29" s="20">
        <f t="shared" si="7"/>
        <v>103.68015343301619</v>
      </c>
      <c r="BH29" s="59">
        <f t="shared" si="8"/>
        <v>333.96686748220634</v>
      </c>
      <c r="BI29" s="59">
        <f ca="1">AVERAGE(OFFSET($BH$3,0,0,'Données projet'!$E$11+1,1))-AVERAGE(OFFSET($H$3,0,0,'Données projet'!$E$11+1,1))</f>
        <v>403.89478276355294</v>
      </c>
      <c r="BJ29" s="59">
        <f t="shared" si="38"/>
        <v>241.1593989733278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14.2</v>
      </c>
      <c r="BY29" s="12">
        <f>IF('Données projet'!$A$114&gt;35,BY28+BX29-CG28,IF(A29&lt;'Données projet'!$A$114,$BV$205^A29,IF(A29='Données projet'!$A$114,'Données projet'!$B$114,BY28+BX29-CG28)))</f>
        <v>120.19999999999996</v>
      </c>
      <c r="BZ29" s="13">
        <f>BY29*VLOOKUP('Données projet'!$B$12,Paramètres!$A$1:$I$89,3,0)*VLOOKUP('Données projet'!$B$12,Paramètres!$A$1:$I$89,5,0)</f>
        <v>95.631119999999967</v>
      </c>
      <c r="CA29" s="13">
        <f t="shared" si="39"/>
        <v>25.918481589892234</v>
      </c>
      <c r="CB29" s="20">
        <f t="shared" si="10"/>
        <v>211.69888943572892</v>
      </c>
      <c r="CC29" s="59">
        <f t="shared" si="11"/>
        <v>441.98560348491912</v>
      </c>
      <c r="CD29" s="59">
        <f ca="1">AVERAGE(OFFSET($CC$3,0,0,'Données projet'!$E$12+1,1))-AVERAGE(OFFSET($H$3,0,0,'Données projet'!$E$12+1,1))</f>
        <v>377.27600411578322</v>
      </c>
      <c r="CE29" s="59">
        <f t="shared" si="40"/>
        <v>364.58250627635425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0.47985077050464969</v>
      </c>
      <c r="CL29" s="21">
        <f>EXP(-LN(2)/25)*CL28+(1-EXP(-LN(2)/25))/(LN(2)/25)*Calculateur!CG29*Calculateur!CI29*VLOOKUP('Données projet'!$B$12,Paramètres!$A$1:$I$89,3,0)*0.475*44/12</f>
        <v>4.0482640120302191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4.5281147825348684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11.5</v>
      </c>
      <c r="CT29" s="12">
        <f>IF('Données projet'!$A$140&gt;35,CT28+CS29-DB28,IF(A29&lt;'Données projet'!$A$140,$CQ$205^A29,IF(A29='Données projet'!$A$140,'Données projet'!$B$140,CT28+CS29-DB28)))</f>
        <v>97.499999999999957</v>
      </c>
      <c r="CU29" s="17">
        <f>CT29*VLOOKUP('Données projet'!$B$13,Paramètres!$A$1:$I$89,3,0)*VLOOKUP('Données projet'!$B$13,Paramètres!$A$1:$I$89,5,0)</f>
        <v>76.049999999999969</v>
      </c>
      <c r="CV29" s="13">
        <f t="shared" si="41"/>
        <v>21.168560890749262</v>
      </c>
      <c r="CW29" s="20">
        <f t="shared" si="13"/>
        <v>169.32232688472158</v>
      </c>
      <c r="CX29" s="59">
        <f t="shared" si="14"/>
        <v>399.60904093391173</v>
      </c>
      <c r="CY29" s="59">
        <f ca="1">AVERAGE(OFFSET($CX$3,0,0,'Données projet'!$E$13+1,1))-AVERAGE(OFFSET($H$3,0,0,'Données projet'!$E$13+1,1))</f>
        <v>308.82719216177946</v>
      </c>
      <c r="CZ29" s="59">
        <f t="shared" si="42"/>
        <v>302.59481222418219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8.7583608921803862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8.7583608921803862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8.6</v>
      </c>
      <c r="DO29" s="12">
        <f>IF('Données projet'!$A$166&gt;35,DO28+DN29-DW28,IF(A29&lt;'Données projet'!$A$166,$DL$205^A29,IF(A29='Données projet'!$A$166,'Données projet'!$B$166,DO28+DN29-DW28)))</f>
        <v>208.59999999999994</v>
      </c>
      <c r="DP29" s="17">
        <f>DO29*VLOOKUP('Données projet'!$B$14,Paramètres!$A$1:$I$89,3,0)*VLOOKUP('Données projet'!$B$14,Paramètres!$A$1:$I$89,5,0)</f>
        <v>188.74127999999993</v>
      </c>
      <c r="DQ29" s="13">
        <f t="shared" si="43"/>
        <v>47.261560168122358</v>
      </c>
      <c r="DR29" s="20">
        <f t="shared" si="16"/>
        <v>411.03827995947967</v>
      </c>
      <c r="DS29" s="59">
        <f t="shared" si="17"/>
        <v>641.32499400866982</v>
      </c>
      <c r="DT29" s="59">
        <f ca="1">AVERAGE(OFFSET($DS$3,0,0,'Données projet'!$E$14+1,1))-AVERAGE(OFFSET($H$3,0,0,'Données projet'!$E$14+1,1))</f>
        <v>376.51107072413777</v>
      </c>
      <c r="DU29" s="59">
        <f t="shared" si="44"/>
        <v>532.90758914457615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2.035000119531952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2.035000119531952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>
        <f>VLOOKUP(A29,'Données projet'!$A$191:$I$211,2,0)</f>
        <v>249.41538461538462</v>
      </c>
      <c r="EH29" s="12">
        <f>VLOOKUP(A29,'Données projet'!$A$191:$I$211,9,0)</f>
        <v>19.071794871794875</v>
      </c>
      <c r="EI29" s="12">
        <f t="array" ref="EI29">INDEX(EH:EH,MIN(IF(ISNUMBER(EH29:EH225),ROW(EH29:EH225),"")))</f>
        <v>19.071794871794875</v>
      </c>
      <c r="EJ29" s="12">
        <f>IF('Données projet'!$A$192&gt;35,EJ28+EI29-ER28,IF(A29&lt;'Données projet'!$A$192,$EG$205^A29,IF(A29='Données projet'!$A$192,'Données projet'!$B$192,EJ28+EI29-ER28)))</f>
        <v>249.41538461538465</v>
      </c>
      <c r="EK29" s="17">
        <f>EJ29*VLOOKUP('Données projet'!$B$15,Paramètres!$A$1:$I$89,3,0)*VLOOKUP('Données projet'!$B$15,Paramètres!$A$1:$I$89,5,0)</f>
        <v>149.15040000000002</v>
      </c>
      <c r="EL29" s="13">
        <f t="shared" si="45"/>
        <v>38.385447191571515</v>
      </c>
      <c r="EM29" s="20">
        <f t="shared" si="19"/>
        <v>326.62493385865372</v>
      </c>
      <c r="EN29" s="59">
        <f t="shared" si="20"/>
        <v>556.91164790784387</v>
      </c>
      <c r="EO29" s="59">
        <f ca="1">AVERAGE(OFFSET($EN$3,0,0,'Données projet'!$E$15+1,1))-AVERAGE(OFFSET($H$3,0,0,'Données projet'!$E$15+1,1))</f>
        <v>337.99164391755608</v>
      </c>
      <c r="EP29" s="59">
        <f t="shared" si="46"/>
        <v>421.45428231923393</v>
      </c>
      <c r="EQ29" s="15">
        <f>IF(ISNA(VLOOKUP(A29,'Données projet'!$A$191:$I$211,3,0)),0,VLOOKUP(A29,'Données projet'!$A$191:$I$211,3,0))</f>
        <v>3</v>
      </c>
      <c r="ER29" s="15">
        <f>IF(ISNA(VLOOKUP(A29,'Données projet'!$A$191:$I$211,4,0)),0,VLOOKUP(A29,'Données projet'!$A$191:$I$211,4,0))</f>
        <v>46.984615384615381</v>
      </c>
      <c r="ES29" s="16">
        <f>IF(ISNA(VLOOKUP(A29,'Données projet'!$A$191:$I$211,5,0)),0%,VLOOKUP(A29,'Données projet'!$A$191:$I$211,5,0)*VLOOKUP('Données projet'!$B$15,Paramètres!$A$1:$I$89,7,0))</f>
        <v>0.315</v>
      </c>
      <c r="ET29" s="16">
        <f>IF(ISNA(VLOOKUP(A29,'Données projet'!$A$191:$I$211,6,0)),0%,VLOOKUP(A29,'Données projet'!$A$191:$I$211,6,0)*VLOOKUP('Données projet'!$B$15,Paramètres!$A$1:$I$89,7,0))</f>
        <v>7.5600000000000001E-2</v>
      </c>
      <c r="EU29" s="16">
        <f>IF(ISNA(VLOOKUP(A29,'Données projet'!$A$191:$I$211,7,0)),0%,VLOOKUP(A29,'Données projet'!$A$191:$I$211,7,0))</f>
        <v>0.13200000000000001</v>
      </c>
      <c r="EV29" s="21">
        <f>EXP(-LN(2)/35)*EV28+(1-EXP(-LN(2)/35))/(LN(2)/35)*ER29*ES29*VLOOKUP('Données projet'!$B$15,Paramètres!$A$1:$I$89,3,0)*0.475*44/12</f>
        <v>11.740748100352008</v>
      </c>
      <c r="EW29" s="21">
        <f>EXP(-LN(2)/25)*EW28+(1-EXP(-LN(2)/25))/(LN(2)/25)*Calculateur!ER29*Calculateur!ET29*VLOOKUP('Données projet'!$B$15,Paramètres!$A$1:$I$89,3,0)*0.475*44/12</f>
        <v>18.328951090447006</v>
      </c>
      <c r="EX29" s="21">
        <f>EXP(-LN(2)/2)*EX28+(1-EXP(-LN(2)/2))/(LN(2)/2)*ER29*EU29*VLOOKUP('Données projet'!$B$15,Paramètres!$A$1:$I$89,3,0)*0.475*44/12</f>
        <v>6.3413348563502918</v>
      </c>
      <c r="EY29" s="22">
        <f t="shared" si="21"/>
        <v>36.411034047149307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2.9235042735042733</v>
      </c>
      <c r="N30" s="13">
        <f>IF('Données projet'!$A$36&gt;35,N29+M30-V29,IF(A30&lt;'Données projet'!$A$36,$K$205^A30,IF(A30='Données projet'!$A$36,'Données projet'!$B$36,N29+M30-V29)))</f>
        <v>56.068958494210662</v>
      </c>
      <c r="O30" s="13">
        <f>N30*VLOOKUP('Données projet'!$B$9,Paramètres!$A$1:$I$89,3,0)*VLOOKUP('Données projet'!$B$9,Paramètres!$A$1:$I$89,5,0)</f>
        <v>50.731193645561802</v>
      </c>
      <c r="P30" s="13">
        <f t="shared" si="33"/>
        <v>14.802433760568636</v>
      </c>
      <c r="Q30" s="20">
        <f t="shared" si="2"/>
        <v>114.13773439901051</v>
      </c>
      <c r="R30" s="59">
        <f t="shared" si="0"/>
        <v>346.65557727157403</v>
      </c>
      <c r="S30" s="59">
        <f ca="1">AVERAGE(OFFSET($R$3,0,0,'Données projet'!$E$9+1,1))-AVERAGE(OFFSET($H$3,0,0,'Données projet'!$E$9+1,1))</f>
        <v>388.1278150896951</v>
      </c>
      <c r="T30" s="59">
        <f t="shared" si="34"/>
        <v>232.26614607059227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2.9235042735042733</v>
      </c>
      <c r="AI30" s="13">
        <f>IF('Données projet'!$A$62&gt;35,AI29+AH30-AQ29,IF(A30&lt;'Données projet'!$A$62,$AF$205^A30,IF(A30='Données projet'!$A$62,'Données projet'!$B$62,AI29+AH30-AQ29)))</f>
        <v>56.068958494210662</v>
      </c>
      <c r="AJ30" s="13">
        <f>AI30*VLOOKUP('Données projet'!$B$10,Paramètres!$A$1:$I$89,3,0)*VLOOKUP('Données projet'!$B$10,Paramètres!$A$1:$I$89,5,0)</f>
        <v>56.853923913129613</v>
      </c>
      <c r="AK30" s="13">
        <f t="shared" si="35"/>
        <v>16.370366147143088</v>
      </c>
      <c r="AL30" s="20">
        <f t="shared" si="4"/>
        <v>127.53230518830827</v>
      </c>
      <c r="AM30" s="59">
        <f t="shared" si="5"/>
        <v>360.05014806087178</v>
      </c>
      <c r="AN30" s="59">
        <f ca="1">AVERAGE(OFFSET($AM$3,0,0,'Données projet'!$E$10+1,1))-AVERAGE(OFFSET($H$3,0,0,'Données projet'!$E$10+1,1))</f>
        <v>424.89201140676084</v>
      </c>
      <c r="AO30" s="59">
        <f t="shared" si="36"/>
        <v>253.0016648946303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2.9235042735042733</v>
      </c>
      <c r="BD30" s="12">
        <f>IF('Données projet'!$A$88&gt;35,BD29+BC30-BL29,IF(A30&lt;'Données projet'!$A$88,$BA$205^A30,IF(A30='Données projet'!$A$88,'Données projet'!$B$88,BD29+BC30-BL29)))</f>
        <v>56.068958494210662</v>
      </c>
      <c r="BE30" s="13">
        <f>BD30*VLOOKUP('Données projet'!$B$11,Paramètres!$A$1:$I$89,3,0)*VLOOKUP('Données projet'!$B$11,Paramètres!$A$1:$I$89,5,0)</f>
        <v>53.355220903090874</v>
      </c>
      <c r="BF30" s="13">
        <f t="shared" si="37"/>
        <v>15.476957621966136</v>
      </c>
      <c r="BG30" s="20">
        <f t="shared" si="7"/>
        <v>119.88271093114093</v>
      </c>
      <c r="BH30" s="59">
        <f t="shared" si="8"/>
        <v>352.40055380370444</v>
      </c>
      <c r="BI30" s="59">
        <f ca="1">AVERAGE(OFFSET($BH$3,0,0,'Données projet'!$E$11+1,1))-AVERAGE(OFFSET($H$3,0,0,'Données projet'!$E$11+1,1))</f>
        <v>403.89478276355294</v>
      </c>
      <c r="BJ30" s="59">
        <f t="shared" si="38"/>
        <v>241.1593989733278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14.2</v>
      </c>
      <c r="BY30" s="12">
        <f>IF('Données projet'!$A$114&gt;35,BY29+BX30-CG29,IF(A30&lt;'Données projet'!$A$114,$BV$205^A30,IF(A30='Données projet'!$A$114,'Données projet'!$B$114,BY29+BX30-CG29)))</f>
        <v>134.39999999999995</v>
      </c>
      <c r="BZ30" s="13">
        <f>BY30*VLOOKUP('Données projet'!$B$12,Paramètres!$A$1:$I$89,3,0)*VLOOKUP('Données projet'!$B$12,Paramètres!$A$1:$I$89,5,0)</f>
        <v>106.92863999999996</v>
      </c>
      <c r="CA30" s="13">
        <f t="shared" si="39"/>
        <v>28.606159868782917</v>
      </c>
      <c r="CB30" s="20">
        <f t="shared" si="10"/>
        <v>236.05644310479681</v>
      </c>
      <c r="CC30" s="59">
        <f t="shared" si="11"/>
        <v>468.57428597736032</v>
      </c>
      <c r="CD30" s="59">
        <f ca="1">AVERAGE(OFFSET($CC$3,0,0,'Données projet'!$E$12+1,1))-AVERAGE(OFFSET($H$3,0,0,'Données projet'!$E$12+1,1))</f>
        <v>377.27600411578322</v>
      </c>
      <c r="CE30" s="59">
        <f t="shared" si="40"/>
        <v>364.58250627635425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0.47044118957512376</v>
      </c>
      <c r="CL30" s="21">
        <f>EXP(-LN(2)/25)*CL29+(1-EXP(-LN(2)/25))/(LN(2)/25)*Calculateur!CG30*Calculateur!CI30*VLOOKUP('Données projet'!$B$12,Paramètres!$A$1:$I$89,3,0)*0.475*44/12</f>
        <v>3.9375640197323007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4.4080052093074249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11.5</v>
      </c>
      <c r="CT30" s="12">
        <f>IF('Données projet'!$A$140&gt;35,CT29+CS30-DB29,IF(A30&lt;'Données projet'!$A$140,$CQ$205^A30,IF(A30='Données projet'!$A$140,'Données projet'!$B$140,CT29+CS30-DB29)))</f>
        <v>108.99999999999996</v>
      </c>
      <c r="CU30" s="17">
        <f>CT30*VLOOKUP('Données projet'!$B$13,Paramètres!$A$1:$I$89,3,0)*VLOOKUP('Données projet'!$B$13,Paramètres!$A$1:$I$89,5,0)</f>
        <v>85.019999999999968</v>
      </c>
      <c r="CV30" s="13">
        <f t="shared" si="41"/>
        <v>23.360218970693097</v>
      </c>
      <c r="CW30" s="20">
        <f t="shared" si="13"/>
        <v>188.76221470729038</v>
      </c>
      <c r="CX30" s="59">
        <f t="shared" si="14"/>
        <v>421.28005757985386</v>
      </c>
      <c r="CY30" s="59">
        <f ca="1">AVERAGE(OFFSET($CX$3,0,0,'Données projet'!$E$13+1,1))-AVERAGE(OFFSET($H$3,0,0,'Données projet'!$E$13+1,1))</f>
        <v>308.82719216177946</v>
      </c>
      <c r="CZ30" s="59">
        <f t="shared" si="42"/>
        <v>302.59481222418219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8.5188630530015317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8.5188630530015317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8.6</v>
      </c>
      <c r="DO30" s="12">
        <f>IF('Données projet'!$A$166&gt;35,DO29+DN30-DW29,IF(A30&lt;'Données projet'!$A$166,$DL$205^A30,IF(A30='Données projet'!$A$166,'Données projet'!$B$166,DO29+DN30-DW29)))</f>
        <v>217.19999999999993</v>
      </c>
      <c r="DP30" s="17">
        <f>DO30*VLOOKUP('Données projet'!$B$14,Paramètres!$A$1:$I$89,3,0)*VLOOKUP('Données projet'!$B$14,Paramètres!$A$1:$I$89,5,0)</f>
        <v>196.52255999999994</v>
      </c>
      <c r="DQ30" s="13">
        <f t="shared" si="43"/>
        <v>48.979153257338155</v>
      </c>
      <c r="DR30" s="20">
        <f t="shared" si="16"/>
        <v>427.58215058986383</v>
      </c>
      <c r="DS30" s="59">
        <f t="shared" si="17"/>
        <v>660.09999346242739</v>
      </c>
      <c r="DT30" s="59">
        <f ca="1">AVERAGE(OFFSET($DS$3,0,0,'Données projet'!$E$14+1,1))-AVERAGE(OFFSET($H$3,0,0,'Données projet'!$E$14+1,1))</f>
        <v>376.51107072413777</v>
      </c>
      <c r="DU30" s="59">
        <f t="shared" si="44"/>
        <v>532.90758914457615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1.9793529342473455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1.9793529342473455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19.393589743589743</v>
      </c>
      <c r="EJ30" s="12">
        <f>IF('Données projet'!$A$192&gt;35,EJ29+EI30-ER29,IF(A30&lt;'Données projet'!$A$192,$EG$205^A30,IF(A30='Données projet'!$A$192,'Données projet'!$B$192,EJ29+EI30-ER29)))</f>
        <v>221.82435897435903</v>
      </c>
      <c r="EK30" s="17">
        <f>EJ30*VLOOKUP('Données projet'!$B$15,Paramètres!$A$1:$I$89,3,0)*VLOOKUP('Données projet'!$B$15,Paramètres!$A$1:$I$89,5,0)</f>
        <v>132.6509666666667</v>
      </c>
      <c r="EL30" s="13">
        <f t="shared" si="45"/>
        <v>34.608198355283058</v>
      </c>
      <c r="EM30" s="20">
        <f t="shared" si="19"/>
        <v>291.30971241322919</v>
      </c>
      <c r="EN30" s="59">
        <f t="shared" si="20"/>
        <v>523.82755528579264</v>
      </c>
      <c r="EO30" s="59">
        <f ca="1">AVERAGE(OFFSET($EN$3,0,0,'Données projet'!$E$15+1,1))-AVERAGE(OFFSET($H$3,0,0,'Données projet'!$E$15+1,1))</f>
        <v>337.99164391755608</v>
      </c>
      <c r="EP30" s="59">
        <f t="shared" si="46"/>
        <v>421.45428231923393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11.510519191253341</v>
      </c>
      <c r="EW30" s="21">
        <f>EXP(-LN(2)/25)*EW29+(1-EXP(-LN(2)/25))/(LN(2)/25)*Calculateur!ER30*Calculateur!ET30*VLOOKUP('Données projet'!$B$15,Paramètres!$A$1:$I$89,3,0)*0.475*44/12</f>
        <v>17.827744959001087</v>
      </c>
      <c r="EX30" s="21">
        <f>EXP(-LN(2)/2)*EX29+(1-EXP(-LN(2)/2))/(LN(2)/2)*ER30*EU30*VLOOKUP('Données projet'!$B$15,Paramètres!$A$1:$I$89,3,0)*0.475*44/12</f>
        <v>4.4840008786999128</v>
      </c>
      <c r="EY30" s="22">
        <f t="shared" si="21"/>
        <v>33.822265028954341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2.9235042735042733</v>
      </c>
      <c r="N31" s="13">
        <f>IF('Données projet'!$A$36&gt;35,N30+M31-V30,IF(A31&lt;'Données projet'!$A$36,$K$205^A31,IF(A31='Données projet'!$A$36,'Données projet'!$B$36,N30+M31-V30)))</f>
        <v>65.086360682202411</v>
      </c>
      <c r="O31" s="13">
        <f>N31*VLOOKUP('Données projet'!$B$9,Paramètres!$A$1:$I$89,3,0)*VLOOKUP('Données projet'!$B$9,Paramètres!$A$1:$I$89,5,0)</f>
        <v>58.89013914525674</v>
      </c>
      <c r="P31" s="13">
        <f t="shared" si="33"/>
        <v>16.887357174091651</v>
      </c>
      <c r="Q31" s="20">
        <f t="shared" si="2"/>
        <v>131.9791394228651</v>
      </c>
      <c r="R31" s="59">
        <f t="shared" si="0"/>
        <v>366.71060884484916</v>
      </c>
      <c r="S31" s="59">
        <f ca="1">AVERAGE(OFFSET($R$3,0,0,'Données projet'!$E$9+1,1))-AVERAGE(OFFSET($H$3,0,0,'Données projet'!$E$9+1,1))</f>
        <v>388.1278150896951</v>
      </c>
      <c r="T31" s="59">
        <f t="shared" si="34"/>
        <v>232.26614607059227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2.9235042735042733</v>
      </c>
      <c r="AI31" s="13">
        <f>IF('Données projet'!$A$62&gt;35,AI30+AH31-AQ30,IF(A31&lt;'Données projet'!$A$62,$AF$205^A31,IF(A31='Données projet'!$A$62,'Données projet'!$B$62,AI30+AH31-AQ30)))</f>
        <v>65.086360682202411</v>
      </c>
      <c r="AJ31" s="13">
        <f>AI31*VLOOKUP('Données projet'!$B$10,Paramètres!$A$1:$I$89,3,0)*VLOOKUP('Données projet'!$B$10,Paramètres!$A$1:$I$89,5,0)</f>
        <v>65.997569731753245</v>
      </c>
      <c r="AK31" s="13">
        <f t="shared" si="35"/>
        <v>18.67613290281286</v>
      </c>
      <c r="AL31" s="20">
        <f t="shared" si="4"/>
        <v>147.47336542186929</v>
      </c>
      <c r="AM31" s="59">
        <f t="shared" si="5"/>
        <v>382.2048348438534</v>
      </c>
      <c r="AN31" s="59">
        <f ca="1">AVERAGE(OFFSET($AM$3,0,0,'Données projet'!$E$10+1,1))-AVERAGE(OFFSET($H$3,0,0,'Données projet'!$E$10+1,1))</f>
        <v>424.89201140676084</v>
      </c>
      <c r="AO31" s="59">
        <f t="shared" si="36"/>
        <v>253.0016648946303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2.9235042735042733</v>
      </c>
      <c r="BD31" s="12">
        <f>IF('Données projet'!$A$88&gt;35,BD30+BC31-BL30,IF(A31&lt;'Données projet'!$A$88,$BA$205^A31,IF(A31='Données projet'!$A$88,'Données projet'!$B$88,BD30+BC31-BL30)))</f>
        <v>65.086360682202411</v>
      </c>
      <c r="BE31" s="13">
        <f>BD31*VLOOKUP('Données projet'!$B$11,Paramètres!$A$1:$I$89,3,0)*VLOOKUP('Données projet'!$B$11,Paramètres!$A$1:$I$89,5,0)</f>
        <v>61.936180825183811</v>
      </c>
      <c r="BF31" s="13">
        <f t="shared" si="37"/>
        <v>17.656887749544079</v>
      </c>
      <c r="BG31" s="20">
        <f t="shared" si="7"/>
        <v>138.62459443431774</v>
      </c>
      <c r="BH31" s="59">
        <f t="shared" si="8"/>
        <v>373.35606385630183</v>
      </c>
      <c r="BI31" s="59">
        <f ca="1">AVERAGE(OFFSET($BH$3,0,0,'Données projet'!$E$11+1,1))-AVERAGE(OFFSET($H$3,0,0,'Données projet'!$E$11+1,1))</f>
        <v>403.89478276355294</v>
      </c>
      <c r="BJ31" s="59">
        <f t="shared" si="38"/>
        <v>241.1593989733278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14.2</v>
      </c>
      <c r="BY31" s="12">
        <f>IF('Données projet'!$A$114&gt;35,BY30+BX31-CG30,IF(A31&lt;'Données projet'!$A$114,$BV$205^A31,IF(A31='Données projet'!$A$114,'Données projet'!$B$114,BY30+BX31-CG30)))</f>
        <v>148.59999999999994</v>
      </c>
      <c r="BZ31" s="13">
        <f>BY31*VLOOKUP('Données projet'!$B$12,Paramètres!$A$1:$I$89,3,0)*VLOOKUP('Données projet'!$B$12,Paramètres!$A$1:$I$89,5,0)</f>
        <v>118.22615999999996</v>
      </c>
      <c r="CA31" s="13">
        <f t="shared" si="39"/>
        <v>31.260922342884676</v>
      </c>
      <c r="CB31" s="20">
        <f t="shared" si="10"/>
        <v>260.35666841385739</v>
      </c>
      <c r="CC31" s="59">
        <f t="shared" si="11"/>
        <v>495.08813783584151</v>
      </c>
      <c r="CD31" s="59">
        <f ca="1">AVERAGE(OFFSET($CC$3,0,0,'Données projet'!$E$12+1,1))-AVERAGE(OFFSET($H$3,0,0,'Données projet'!$E$12+1,1))</f>
        <v>377.27600411578322</v>
      </c>
      <c r="CE31" s="59">
        <f t="shared" si="40"/>
        <v>364.58250627635425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0.46121612478834817</v>
      </c>
      <c r="CL31" s="21">
        <f>EXP(-LN(2)/25)*CL30+(1-EXP(-LN(2)/25))/(LN(2)/25)*Calculateur!CG31*Calculateur!CI31*VLOOKUP('Données projet'!$B$12,Paramètres!$A$1:$I$89,3,0)*0.475*44/12</f>
        <v>3.8298911245452287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4.2911072493335771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11.5</v>
      </c>
      <c r="CT31" s="12">
        <f>IF('Données projet'!$A$140&gt;35,CT30+CS31-DB30,IF(A31&lt;'Données projet'!$A$140,$CQ$205^A31,IF(A31='Données projet'!$A$140,'Données projet'!$B$140,CT30+CS31-DB30)))</f>
        <v>120.49999999999996</v>
      </c>
      <c r="CU31" s="17">
        <f>CT31*VLOOKUP('Données projet'!$B$13,Paramètres!$A$1:$I$89,3,0)*VLOOKUP('Données projet'!$B$13,Paramètres!$A$1:$I$89,5,0)</f>
        <v>93.989999999999966</v>
      </c>
      <c r="CV31" s="13">
        <f t="shared" si="41"/>
        <v>25.525074036970054</v>
      </c>
      <c r="CW31" s="20">
        <f t="shared" si="13"/>
        <v>208.15542061438944</v>
      </c>
      <c r="CX31" s="59">
        <f t="shared" si="14"/>
        <v>442.88689003637353</v>
      </c>
      <c r="CY31" s="59">
        <f ca="1">AVERAGE(OFFSET($CX$3,0,0,'Données projet'!$E$13+1,1))-AVERAGE(OFFSET($H$3,0,0,'Données projet'!$E$13+1,1))</f>
        <v>308.82719216177946</v>
      </c>
      <c r="CZ31" s="59">
        <f t="shared" si="42"/>
        <v>302.59481222418219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8.2859142948296665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8.2859142948296665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8.6</v>
      </c>
      <c r="DO31" s="12">
        <f>IF('Données projet'!$A$166&gt;35,DO30+DN31-DW30,IF(A31&lt;'Données projet'!$A$166,$DL$205^A31,IF(A31='Données projet'!$A$166,'Données projet'!$B$166,DO30+DN31-DW30)))</f>
        <v>225.79999999999993</v>
      </c>
      <c r="DP31" s="17">
        <f>DO31*VLOOKUP('Données projet'!$B$14,Paramètres!$A$1:$I$89,3,0)*VLOOKUP('Données projet'!$B$14,Paramètres!$A$1:$I$89,5,0)</f>
        <v>204.30383999999992</v>
      </c>
      <c r="DQ31" s="13">
        <f t="shared" si="43"/>
        <v>50.688846269088558</v>
      </c>
      <c r="DR31" s="20">
        <f t="shared" si="16"/>
        <v>444.11226191866245</v>
      </c>
      <c r="DS31" s="59">
        <f t="shared" si="17"/>
        <v>678.84373134064651</v>
      </c>
      <c r="DT31" s="59">
        <f ca="1">AVERAGE(OFFSET($DS$3,0,0,'Données projet'!$E$14+1,1))-AVERAGE(OFFSET($H$3,0,0,'Données projet'!$E$14+1,1))</f>
        <v>376.51107072413777</v>
      </c>
      <c r="DU31" s="59">
        <f t="shared" si="44"/>
        <v>532.90758914457615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1.9252274241707048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1.9252274241707048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19.393589743589743</v>
      </c>
      <c r="EJ31" s="12">
        <f>IF('Données projet'!$A$192&gt;35,EJ30+EI31-ER30,IF(A31&lt;'Données projet'!$A$192,$EG$205^A31,IF(A31='Données projet'!$A$192,'Données projet'!$B$192,EJ30+EI31-ER30)))</f>
        <v>241.21794871794879</v>
      </c>
      <c r="EK31" s="17">
        <f>EJ31*VLOOKUP('Données projet'!$B$15,Paramètres!$A$1:$I$89,3,0)*VLOOKUP('Données projet'!$B$15,Paramètres!$A$1:$I$89,5,0)</f>
        <v>144.24833333333339</v>
      </c>
      <c r="EL31" s="13">
        <f t="shared" si="45"/>
        <v>37.268539287745227</v>
      </c>
      <c r="EM31" s="20">
        <f t="shared" si="19"/>
        <v>316.14188648171188</v>
      </c>
      <c r="EN31" s="59">
        <f t="shared" si="20"/>
        <v>550.87335590369594</v>
      </c>
      <c r="EO31" s="59">
        <f ca="1">AVERAGE(OFFSET($EN$3,0,0,'Données projet'!$E$15+1,1))-AVERAGE(OFFSET($H$3,0,0,'Données projet'!$E$15+1,1))</f>
        <v>337.99164391755608</v>
      </c>
      <c r="EP31" s="59">
        <f t="shared" si="46"/>
        <v>421.45428231923393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11.28480493063633</v>
      </c>
      <c r="EW31" s="21">
        <f>EXP(-LN(2)/25)*EW30+(1-EXP(-LN(2)/25))/(LN(2)/25)*Calculateur!ER31*Calculateur!ET31*VLOOKUP('Données projet'!$B$15,Paramètres!$A$1:$I$89,3,0)*0.475*44/12</f>
        <v>17.340244335576841</v>
      </c>
      <c r="EX31" s="21">
        <f>EXP(-LN(2)/2)*EX30+(1-EXP(-LN(2)/2))/(LN(2)/2)*ER31*EU31*VLOOKUP('Données projet'!$B$15,Paramètres!$A$1:$I$89,3,0)*0.475*44/12</f>
        <v>3.1706674281751464</v>
      </c>
      <c r="EY31" s="22">
        <f t="shared" si="21"/>
        <v>31.795716694388318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2.9235042735042733</v>
      </c>
      <c r="N32" s="13">
        <f>IF('Données projet'!$A$36&gt;35,N31+M32-V31,IF(A32&lt;'Données projet'!$A$36,$K$205^A32,IF(A32='Données projet'!$A$36,'Données projet'!$B$36,N31+M32-V31)))</f>
        <v>75.55400457975604</v>
      </c>
      <c r="O32" s="13">
        <f>N32*VLOOKUP('Données projet'!$B$9,Paramètres!$A$1:$I$89,3,0)*VLOOKUP('Données projet'!$B$9,Paramètres!$A$1:$I$89,5,0)</f>
        <v>68.36126334376327</v>
      </c>
      <c r="P32" s="13">
        <f t="shared" si="33"/>
        <v>19.265942137503561</v>
      </c>
      <c r="Q32" s="20">
        <f t="shared" si="2"/>
        <v>152.61738287987308</v>
      </c>
      <c r="R32" s="59">
        <f t="shared" si="0"/>
        <v>389.54528020264888</v>
      </c>
      <c r="S32" s="59">
        <f ca="1">AVERAGE(OFFSET($R$3,0,0,'Données projet'!$E$9+1,1))-AVERAGE(OFFSET($H$3,0,0,'Données projet'!$E$9+1,1))</f>
        <v>388.1278150896951</v>
      </c>
      <c r="T32" s="59">
        <f t="shared" si="34"/>
        <v>232.26614607059227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2.9235042735042733</v>
      </c>
      <c r="AI32" s="13">
        <f>IF('Données projet'!$A$62&gt;35,AI31+AH32-AQ31,IF(A32&lt;'Données projet'!$A$62,$AF$205^A32,IF(A32='Données projet'!$A$62,'Données projet'!$B$62,AI31+AH32-AQ31)))</f>
        <v>75.55400457975604</v>
      </c>
      <c r="AJ32" s="13">
        <f>AI32*VLOOKUP('Données projet'!$B$10,Paramètres!$A$1:$I$89,3,0)*VLOOKUP('Données projet'!$B$10,Paramètres!$A$1:$I$89,5,0)</f>
        <v>76.611760643872628</v>
      </c>
      <c r="AK32" s="13">
        <f t="shared" si="35"/>
        <v>21.306667002338269</v>
      </c>
      <c r="AL32" s="20">
        <f t="shared" si="4"/>
        <v>170.54126148381732</v>
      </c>
      <c r="AM32" s="59">
        <f t="shared" si="5"/>
        <v>407.46915880659316</v>
      </c>
      <c r="AN32" s="59">
        <f ca="1">AVERAGE(OFFSET($AM$3,0,0,'Données projet'!$E$10+1,1))-AVERAGE(OFFSET($H$3,0,0,'Données projet'!$E$10+1,1))</f>
        <v>424.89201140676084</v>
      </c>
      <c r="AO32" s="59">
        <f t="shared" si="36"/>
        <v>253.0016648946303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2.9235042735042733</v>
      </c>
      <c r="BD32" s="12">
        <f>IF('Données projet'!$A$88&gt;35,BD31+BC32-BL31,IF(A32&lt;'Données projet'!$A$88,$BA$205^A32,IF(A32='Données projet'!$A$88,'Données projet'!$B$88,BD31+BC32-BL31)))</f>
        <v>75.55400457975604</v>
      </c>
      <c r="BE32" s="13">
        <f>BD32*VLOOKUP('Données projet'!$B$11,Paramètres!$A$1:$I$89,3,0)*VLOOKUP('Données projet'!$B$11,Paramètres!$A$1:$I$89,5,0)</f>
        <v>71.897190758095846</v>
      </c>
      <c r="BF32" s="13">
        <f t="shared" si="37"/>
        <v>20.143861126654318</v>
      </c>
      <c r="BG32" s="20">
        <f t="shared" si="7"/>
        <v>160.30483203260653</v>
      </c>
      <c r="BH32" s="59">
        <f t="shared" si="8"/>
        <v>397.23272935538239</v>
      </c>
      <c r="BI32" s="59">
        <f ca="1">AVERAGE(OFFSET($BH$3,0,0,'Données projet'!$E$11+1,1))-AVERAGE(OFFSET($H$3,0,0,'Données projet'!$E$11+1,1))</f>
        <v>403.89478276355294</v>
      </c>
      <c r="BJ32" s="59">
        <f t="shared" si="38"/>
        <v>241.1593989733278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14.2</v>
      </c>
      <c r="BY32" s="12">
        <f>IF('Données projet'!$A$114&gt;35,BY31+BX32-CG31,IF(A32&lt;'Données projet'!$A$114,$BV$205^A32,IF(A32='Données projet'!$A$114,'Données projet'!$B$114,BY31+BX32-CG31)))</f>
        <v>162.79999999999993</v>
      </c>
      <c r="BZ32" s="13">
        <f>BY32*VLOOKUP('Données projet'!$B$12,Paramètres!$A$1:$I$89,3,0)*VLOOKUP('Données projet'!$B$12,Paramètres!$A$1:$I$89,5,0)</f>
        <v>129.52367999999996</v>
      </c>
      <c r="CA32" s="13">
        <f t="shared" si="39"/>
        <v>33.886272262901727</v>
      </c>
      <c r="CB32" s="20">
        <f t="shared" si="10"/>
        <v>284.60566685788712</v>
      </c>
      <c r="CC32" s="59">
        <f t="shared" si="11"/>
        <v>521.53356418066301</v>
      </c>
      <c r="CD32" s="59">
        <f ca="1">AVERAGE(OFFSET($CC$3,0,0,'Données projet'!$E$12+1,1))-AVERAGE(OFFSET($H$3,0,0,'Données projet'!$E$12+1,1))</f>
        <v>377.27600411578322</v>
      </c>
      <c r="CE32" s="59">
        <f t="shared" si="40"/>
        <v>364.58250627635425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0.45217195789530734</v>
      </c>
      <c r="CL32" s="21">
        <f>EXP(-LN(2)/25)*CL31+(1-EXP(-LN(2)/25))/(LN(2)/25)*Calculateur!CG32*Calculateur!CI32*VLOOKUP('Données projet'!$B$12,Paramètres!$A$1:$I$89,3,0)*0.475*44/12</f>
        <v>3.7251625503393186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4.177334508234626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11.5</v>
      </c>
      <c r="CT32" s="12">
        <f>IF('Données projet'!$A$140&gt;35,CT31+CS32-DB31,IF(A32&lt;'Données projet'!$A$140,$CQ$205^A32,IF(A32='Données projet'!$A$140,'Données projet'!$B$140,CT31+CS32-DB31)))</f>
        <v>131.99999999999994</v>
      </c>
      <c r="CU32" s="17">
        <f>CT32*VLOOKUP('Données projet'!$B$13,Paramètres!$A$1:$I$89,3,0)*VLOOKUP('Données projet'!$B$13,Paramètres!$A$1:$I$89,5,0)</f>
        <v>102.95999999999997</v>
      </c>
      <c r="CV32" s="13">
        <f t="shared" si="41"/>
        <v>27.665975080374633</v>
      </c>
      <c r="CW32" s="20">
        <f t="shared" si="13"/>
        <v>227.50690659831903</v>
      </c>
      <c r="CX32" s="59">
        <f t="shared" si="14"/>
        <v>464.43480392109484</v>
      </c>
      <c r="CY32" s="59">
        <f ca="1">AVERAGE(OFFSET($CX$3,0,0,'Données projet'!$E$13+1,1))-AVERAGE(OFFSET($H$3,0,0,'Données projet'!$E$13+1,1))</f>
        <v>308.82719216177946</v>
      </c>
      <c r="CZ32" s="59">
        <f t="shared" si="42"/>
        <v>302.59481222418219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8.0593355327002545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8.0593355327002545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8.6</v>
      </c>
      <c r="DO32" s="12">
        <f>IF('Données projet'!$A$166&gt;35,DO31+DN32-DW31,IF(A32&lt;'Données projet'!$A$166,$DL$205^A32,IF(A32='Données projet'!$A$166,'Données projet'!$B$166,DO31+DN32-DW31)))</f>
        <v>234.39999999999992</v>
      </c>
      <c r="DP32" s="17">
        <f>DO32*VLOOKUP('Données projet'!$B$14,Paramètres!$A$1:$I$89,3,0)*VLOOKUP('Données projet'!$B$14,Paramètres!$A$1:$I$89,5,0)</f>
        <v>212.0851199999999</v>
      </c>
      <c r="DQ32" s="13">
        <f t="shared" si="43"/>
        <v>52.390974537063038</v>
      </c>
      <c r="DR32" s="20">
        <f t="shared" si="16"/>
        <v>460.62919798538456</v>
      </c>
      <c r="DS32" s="59">
        <f t="shared" si="17"/>
        <v>697.55709530816034</v>
      </c>
      <c r="DT32" s="59">
        <f ca="1">AVERAGE(OFFSET($DS$3,0,0,'Données projet'!$E$14+1,1))-AVERAGE(OFFSET($H$3,0,0,'Données projet'!$E$14+1,1))</f>
        <v>376.51107072413777</v>
      </c>
      <c r="DU32" s="59">
        <f t="shared" si="44"/>
        <v>532.90758914457615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1.8725819790134468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1.8725819790134468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19.393589743589743</v>
      </c>
      <c r="EJ32" s="12">
        <f>IF('Données projet'!$A$192&gt;35,EJ31+EI32-ER31,IF(A32&lt;'Données projet'!$A$192,$EG$205^A32,IF(A32='Données projet'!$A$192,'Données projet'!$B$192,EJ31+EI32-ER31)))</f>
        <v>260.61153846153854</v>
      </c>
      <c r="EK32" s="17">
        <f>EJ32*VLOOKUP('Données projet'!$B$15,Paramètres!$A$1:$I$89,3,0)*VLOOKUP('Données projet'!$B$15,Paramètres!$A$1:$I$89,5,0)</f>
        <v>155.84570000000005</v>
      </c>
      <c r="EL32" s="13">
        <f t="shared" si="45"/>
        <v>39.904071626695313</v>
      </c>
      <c r="EM32" s="20">
        <f t="shared" si="19"/>
        <v>340.93085224982775</v>
      </c>
      <c r="EN32" s="59">
        <f t="shared" si="20"/>
        <v>577.85874957260353</v>
      </c>
      <c r="EO32" s="59">
        <f ca="1">AVERAGE(OFFSET($EN$3,0,0,'Données projet'!$E$15+1,1))-AVERAGE(OFFSET($H$3,0,0,'Données projet'!$E$15+1,1))</f>
        <v>337.99164391755608</v>
      </c>
      <c r="EP32" s="59">
        <f t="shared" si="46"/>
        <v>421.45428231923393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11.063516788997914</v>
      </c>
      <c r="EW32" s="21">
        <f>EXP(-LN(2)/25)*EW31+(1-EXP(-LN(2)/25))/(LN(2)/25)*Calculateur!ER32*Calculateur!ET32*VLOOKUP('Données projet'!$B$15,Paramètres!$A$1:$I$89,3,0)*0.475*44/12</f>
        <v>16.866074442336675</v>
      </c>
      <c r="EX32" s="21">
        <f>EXP(-LN(2)/2)*EX31+(1-EXP(-LN(2)/2))/(LN(2)/2)*ER32*EU32*VLOOKUP('Données projet'!$B$15,Paramètres!$A$1:$I$89,3,0)*0.475*44/12</f>
        <v>2.2420004393499569</v>
      </c>
      <c r="EY32" s="22">
        <f t="shared" si="21"/>
        <v>30.171591670684549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87.705128205128204</v>
      </c>
      <c r="L33" s="12">
        <f>VLOOKUP(A33,'Données projet'!$A$35:$I$55,9,0)</f>
        <v>2.9235042735042733</v>
      </c>
      <c r="M33" s="12">
        <f t="array" ref="M33">INDEX(L:L,MIN(IF(ISNUMBER(L33:L229),ROW(L33:L229),"")))</f>
        <v>2.9235042735042733</v>
      </c>
      <c r="N33" s="13">
        <f>IF('Données projet'!$A$36&gt;35,N32+M33-V32,IF(A33&lt;'Données projet'!$A$36,$K$205^A33,IF(A33='Données projet'!$A$36,'Données projet'!$B$36,N32+M33-V32)))</f>
        <v>87.705128205128204</v>
      </c>
      <c r="O33" s="13">
        <f>N33*VLOOKUP('Données projet'!$B$9,Paramètres!$A$1:$I$89,3,0)*VLOOKUP('Données projet'!$B$9,Paramètres!$A$1:$I$89,5,0)</f>
        <v>79.355599999999995</v>
      </c>
      <c r="P33" s="13">
        <f t="shared" si="33"/>
        <v>21.979550892373382</v>
      </c>
      <c r="Q33" s="20">
        <f t="shared" si="2"/>
        <v>176.49205447088363</v>
      </c>
      <c r="R33" s="59">
        <f t="shared" si="0"/>
        <v>415.59947940392561</v>
      </c>
      <c r="S33" s="59">
        <f ca="1">AVERAGE(OFFSET($R$3,0,0,'Données projet'!$E$9+1,1))-AVERAGE(OFFSET($H$3,0,0,'Données projet'!$E$9+1,1))</f>
        <v>388.1278150896951</v>
      </c>
      <c r="T33" s="59">
        <f t="shared" si="34"/>
        <v>232.26614607059227</v>
      </c>
      <c r="U33" s="15" t="str">
        <f>IF(ISNA(VLOOKUP(A33,'Données projet'!$A$35:$I$55,3,0)),0,VLOOKUP(A33,'Données projet'!$A$35:$I$55,3,0))</f>
        <v>na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87.705128205128204</v>
      </c>
      <c r="AG33" s="12">
        <f>VLOOKUP(A33,'Données projet'!$A$61:$I$81,9,0)</f>
        <v>2.9235042735042733</v>
      </c>
      <c r="AH33" s="12">
        <f t="array" ref="AH33">INDEX(AG:AG,MIN(IF(ISNUMBER(AG33:AG229),ROW(AG33:AG229),"")))</f>
        <v>2.9235042735042733</v>
      </c>
      <c r="AI33" s="13">
        <f>IF('Données projet'!$A$62&gt;35,AI32+AH33-AQ32,IF(A33&lt;'Données projet'!$A$62,$AF$205^A33,IF(A33='Données projet'!$A$62,'Données projet'!$B$62,AI32+AH33-AQ32)))</f>
        <v>87.705128205128204</v>
      </c>
      <c r="AJ33" s="13">
        <f>AI33*VLOOKUP('Données projet'!$B$10,Paramètres!$A$1:$I$89,3,0)*VLOOKUP('Données projet'!$B$10,Paramètres!$A$1:$I$89,5,0)</f>
        <v>88.933000000000007</v>
      </c>
      <c r="AK33" s="13">
        <f t="shared" si="35"/>
        <v>24.307711939667918</v>
      </c>
      <c r="AL33" s="20">
        <f t="shared" si="4"/>
        <v>197.22757329492163</v>
      </c>
      <c r="AM33" s="59">
        <f t="shared" si="5"/>
        <v>436.33499822796364</v>
      </c>
      <c r="AN33" s="59">
        <f ca="1">AVERAGE(OFFSET($AM$3,0,0,'Données projet'!$E$10+1,1))-AVERAGE(OFFSET($H$3,0,0,'Données projet'!$E$10+1,1))</f>
        <v>424.89201140676084</v>
      </c>
      <c r="AO33" s="59">
        <f t="shared" si="36"/>
        <v>253.0016648946303</v>
      </c>
      <c r="AP33" s="15" t="str">
        <f>IF(ISNA(VLOOKUP(A33,'Données projet'!$A$61:$I$81,3,0)),0,VLOOKUP(A33,'Données projet'!$A$61:$I$81,3,0))</f>
        <v>na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87.705128205128204</v>
      </c>
      <c r="BB33" s="12">
        <f>VLOOKUP(A33,'Données projet'!$A$87:$I$107,9,0)</f>
        <v>2.9235042735042733</v>
      </c>
      <c r="BC33" s="12">
        <f t="array" ref="BC33">INDEX(BB:BB,MIN(IF(ISNUMBER(BB33:BB229),ROW(BB33:BB229),"")))</f>
        <v>2.9235042735042733</v>
      </c>
      <c r="BD33" s="12">
        <f>IF('Données projet'!$A$88&gt;35,BD32+BC33-BL32,IF(A33&lt;'Données projet'!$A$88,$BA$205^A33,IF(A33='Données projet'!$A$88,'Données projet'!$B$88,BD32+BC33-BL32)))</f>
        <v>87.705128205128204</v>
      </c>
      <c r="BE33" s="13">
        <f>BD33*VLOOKUP('Données projet'!$B$11,Paramètres!$A$1:$I$89,3,0)*VLOOKUP('Données projet'!$B$11,Paramètres!$A$1:$I$89,5,0)</f>
        <v>83.4602</v>
      </c>
      <c r="BF33" s="13">
        <f t="shared" si="37"/>
        <v>22.981124807819615</v>
      </c>
      <c r="BG33" s="20">
        <f t="shared" si="7"/>
        <v>185.38530737361916</v>
      </c>
      <c r="BH33" s="59">
        <f t="shared" si="8"/>
        <v>424.49273230666114</v>
      </c>
      <c r="BI33" s="59">
        <f ca="1">AVERAGE(OFFSET($BH$3,0,0,'Données projet'!$E$11+1,1))-AVERAGE(OFFSET($H$3,0,0,'Données projet'!$E$11+1,1))</f>
        <v>403.89478276355294</v>
      </c>
      <c r="BJ33" s="59">
        <f t="shared" si="38"/>
        <v>241.1593989733278</v>
      </c>
      <c r="BK33" s="15" t="str">
        <f>IF(ISNA(VLOOKUP(A33,'Données projet'!$A$87:$I$107,3,0)),0,VLOOKUP(A33,'Données projet'!$A$87:$I$107,3,0))</f>
        <v>na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177</v>
      </c>
      <c r="BW33" s="12">
        <f>VLOOKUP(A33,'Données projet'!$A$113:$I$133,9,0)</f>
        <v>14.2</v>
      </c>
      <c r="BX33" s="12">
        <f t="array" ref="BX33">INDEX(BW:BW,MIN(IF(ISNUMBER(BW33:BW229),ROW(BW33:BW229),"")))</f>
        <v>14.2</v>
      </c>
      <c r="BY33" s="12">
        <f>IF('Données projet'!$A$114&gt;35,BY32+BX33-CG32,IF(A33&lt;'Données projet'!$A$114,$BV$205^A33,IF(A33='Données projet'!$A$114,'Données projet'!$B$114,BY32+BX33-CG32)))</f>
        <v>176.99999999999991</v>
      </c>
      <c r="BZ33" s="13">
        <f>BY33*VLOOKUP('Données projet'!$B$12,Paramètres!$A$1:$I$89,3,0)*VLOOKUP('Données projet'!$B$12,Paramètres!$A$1:$I$89,5,0)</f>
        <v>140.82119999999992</v>
      </c>
      <c r="CA33" s="13">
        <f t="shared" si="39"/>
        <v>36.485066799987997</v>
      </c>
      <c r="CB33" s="20">
        <f t="shared" si="10"/>
        <v>308.80841467664561</v>
      </c>
      <c r="CC33" s="59">
        <f t="shared" si="11"/>
        <v>547.91583960968762</v>
      </c>
      <c r="CD33" s="59">
        <f ca="1">AVERAGE(OFFSET($CC$3,0,0,'Données projet'!$E$12+1,1))-AVERAGE(OFFSET($H$3,0,0,'Données projet'!$E$12+1,1))</f>
        <v>377.27600411578322</v>
      </c>
      <c r="CE33" s="59">
        <f t="shared" si="40"/>
        <v>364.58250627635425</v>
      </c>
      <c r="CF33" s="15">
        <f>IF(ISNA(VLOOKUP(A33,'Données projet'!$A$113:$I$133,3,0)),0,VLOOKUP(A33,'Données projet'!$A$113:$I$133,3,0))</f>
        <v>4</v>
      </c>
      <c r="CG33" s="15">
        <f>IF(ISNA(VLOOKUP(A33,'Données projet'!$A$113:$I$133,4,0)),0,VLOOKUP(A33,'Données projet'!$A$113:$I$133,4,0))</f>
        <v>35</v>
      </c>
      <c r="CH33" s="16">
        <f>IF(ISNA(VLOOKUP(A33,'Données projet'!$A$113:$I$133,5,0)),0%,VLOOKUP(A33,'Données projet'!$A$113:$I$133,5,0)*VLOOKUP('Données projet'!$B$12,Paramètres!$A$1:$I$89,7,0))</f>
        <v>0.10600000000000001</v>
      </c>
      <c r="CI33" s="16">
        <f>IF(ISNA(VLOOKUP(A33,'Données projet'!$A$113:$I$133,6,0)),0%,VLOOKUP(A33,'Données projet'!$A$113:$I$133,6,0)*VLOOKUP('Données projet'!$B$12,Paramètres!$A$1:$I$89,7,0))</f>
        <v>0.22790000000000002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3.7062955295769426</v>
      </c>
      <c r="CL33" s="21">
        <f>EXP(-LN(2)/25)*CL32+(1-EXP(-LN(2)/25))/(LN(2)/25)*Calculateur!CG33*Calculateur!CI33*VLOOKUP('Données projet'!$B$12,Paramètres!$A$1:$I$89,3,0)*0.475*44/12</f>
        <v>10.611104700279146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14.317400229856089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11.5</v>
      </c>
      <c r="CT33" s="12">
        <f>IF('Données projet'!$A$140&gt;35,CT32+CS33-DB32,IF(A33&lt;'Données projet'!$A$140,$CQ$205^A33,IF(A33='Données projet'!$A$140,'Données projet'!$B$140,CT32+CS33-DB32)))</f>
        <v>143.49999999999994</v>
      </c>
      <c r="CU33" s="17">
        <f>CT33*VLOOKUP('Données projet'!$B$13,Paramètres!$A$1:$I$89,3,0)*VLOOKUP('Données projet'!$B$13,Paramètres!$A$1:$I$89,5,0)</f>
        <v>111.92999999999996</v>
      </c>
      <c r="CV33" s="13">
        <f t="shared" si="41"/>
        <v>29.785246291563833</v>
      </c>
      <c r="CW33" s="20">
        <f t="shared" si="13"/>
        <v>246.82072062447358</v>
      </c>
      <c r="CX33" s="59">
        <f t="shared" si="14"/>
        <v>485.92814555751556</v>
      </c>
      <c r="CY33" s="59">
        <f ca="1">AVERAGE(OFFSET($CX$3,0,0,'Données projet'!$E$13+1,1))-AVERAGE(OFFSET($H$3,0,0,'Données projet'!$E$13+1,1))</f>
        <v>308.82719216177946</v>
      </c>
      <c r="CZ33" s="59">
        <f t="shared" si="42"/>
        <v>302.59481222418219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7.8389525787365306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7.8389525787365306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243</v>
      </c>
      <c r="DM33" s="12">
        <f>VLOOKUP(A33,'Données projet'!$A$165:$I$185,9,0)</f>
        <v>8.6</v>
      </c>
      <c r="DN33" s="12">
        <f t="array" ref="DN33">INDEX(DM:DM,MIN(IF(ISNUMBER(DM33:DM229),ROW(DM33:DM229),"")))</f>
        <v>8.6</v>
      </c>
      <c r="DO33" s="12">
        <f>IF('Données projet'!$A$166&gt;35,DO32+DN33-DW32,IF(A33&lt;'Données projet'!$A$166,$DL$205^A33,IF(A33='Données projet'!$A$166,'Données projet'!$B$166,DO32+DN33-DW32)))</f>
        <v>242.99999999999991</v>
      </c>
      <c r="DP33" s="17">
        <f>DO33*VLOOKUP('Données projet'!$B$14,Paramètres!$A$1:$I$89,3,0)*VLOOKUP('Données projet'!$B$14,Paramètres!$A$1:$I$89,5,0)</f>
        <v>219.86639999999991</v>
      </c>
      <c r="DQ33" s="13">
        <f t="shared" si="43"/>
        <v>54.085847394182416</v>
      </c>
      <c r="DR33" s="20">
        <f t="shared" si="16"/>
        <v>477.13349754486757</v>
      </c>
      <c r="DS33" s="59">
        <f t="shared" si="17"/>
        <v>716.24092247790952</v>
      </c>
      <c r="DT33" s="59">
        <f ca="1">AVERAGE(OFFSET($DS$3,0,0,'Données projet'!$E$14+1,1))-AVERAGE(OFFSET($H$3,0,0,'Données projet'!$E$14+1,1))</f>
        <v>376.51107072413777</v>
      </c>
      <c r="DU33" s="59">
        <f t="shared" si="44"/>
        <v>532.90758914457615</v>
      </c>
      <c r="DV33" s="15">
        <f>IF(ISNA(VLOOKUP(A33,'Données projet'!$A$165:$I$185,3,0)),0,VLOOKUP(A33,'Données projet'!$A$165:$I$185,3,0))</f>
        <v>6</v>
      </c>
      <c r="DW33" s="15">
        <f>IF(ISNA(VLOOKUP(A33,'Données projet'!$A$165:$I$185,4,0)),0,VLOOKUP(A33,'Données projet'!$A$165:$I$185,4,0))</f>
        <v>11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0.15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3.4652567950020199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3.4652567950020199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19.393589743589743</v>
      </c>
      <c r="EJ33" s="12">
        <f>IF('Données projet'!$A$192&gt;35,EJ32+EI33-ER32,IF(A33&lt;'Données projet'!$A$192,$EG$205^A33,IF(A33='Données projet'!$A$192,'Données projet'!$B$192,EJ32+EI33-ER32)))</f>
        <v>280.0051282051283</v>
      </c>
      <c r="EK33" s="17">
        <f>EJ33*VLOOKUP('Données projet'!$B$15,Paramètres!$A$1:$I$89,3,0)*VLOOKUP('Données projet'!$B$15,Paramètres!$A$1:$I$89,5,0)</f>
        <v>167.44306666666677</v>
      </c>
      <c r="EL33" s="13">
        <f t="shared" si="45"/>
        <v>42.516851449807113</v>
      </c>
      <c r="EM33" s="20">
        <f t="shared" si="19"/>
        <v>365.68019071952534</v>
      </c>
      <c r="EN33" s="59">
        <f t="shared" si="20"/>
        <v>604.7876156525673</v>
      </c>
      <c r="EO33" s="59">
        <f ca="1">AVERAGE(OFFSET($EN$3,0,0,'Données projet'!$E$15+1,1))-AVERAGE(OFFSET($H$3,0,0,'Données projet'!$E$15+1,1))</f>
        <v>337.99164391755608</v>
      </c>
      <c r="EP33" s="59">
        <f t="shared" si="46"/>
        <v>421.45428231923393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10.846567972844589</v>
      </c>
      <c r="EW33" s="21">
        <f>EXP(-LN(2)/25)*EW32+(1-EXP(-LN(2)/25))/(LN(2)/25)*Calculateur!ER33*Calculateur!ET33*VLOOKUP('Données projet'!$B$15,Paramètres!$A$1:$I$89,3,0)*0.475*44/12</f>
        <v>16.404870749762672</v>
      </c>
      <c r="EX33" s="21">
        <f>EXP(-LN(2)/2)*EX32+(1-EXP(-LN(2)/2))/(LN(2)/2)*ER33*EU33*VLOOKUP('Données projet'!$B$15,Paramètres!$A$1:$I$89,3,0)*0.475*44/12</f>
        <v>1.5853337140875734</v>
      </c>
      <c r="EY33" s="22">
        <f t="shared" si="21"/>
        <v>28.836772436694837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5.3369963369963358</v>
      </c>
      <c r="N34" s="13">
        <f>IF('Données projet'!$A$36&gt;35,N33+M34-V33,IF(A34&lt;'Données projet'!$A$36,$K$205^A34,IF(A34='Données projet'!$A$36,'Données projet'!$B$36,N33+M34-V33)))</f>
        <v>93.04212454212454</v>
      </c>
      <c r="O34" s="13">
        <f>N34*VLOOKUP('Données projet'!$B$9,Paramètres!$A$1:$I$89,3,0)*VLOOKUP('Données projet'!$B$9,Paramètres!$A$1:$I$89,5,0)</f>
        <v>84.184514285714286</v>
      </c>
      <c r="P34" s="13">
        <f t="shared" si="33"/>
        <v>23.157263963315572</v>
      </c>
      <c r="Q34" s="20">
        <f t="shared" si="2"/>
        <v>186.95359711706033</v>
      </c>
      <c r="R34" s="59">
        <f t="shared" si="0"/>
        <v>427.00172032987791</v>
      </c>
      <c r="S34" s="59">
        <f ca="1">AVERAGE(OFFSET($R$3,0,0,'Données projet'!$E$9+1,1))-AVERAGE(OFFSET($H$3,0,0,'Données projet'!$E$9+1,1))</f>
        <v>388.1278150896951</v>
      </c>
      <c r="T34" s="59">
        <f t="shared" si="34"/>
        <v>232.26614607059227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5.3369963369963358</v>
      </c>
      <c r="AI34" s="13">
        <f>IF('Données projet'!$A$62&gt;35,AI33+AH34-AQ33,IF(A34&lt;'Données projet'!$A$62,$AF$205^A34,IF(A34='Données projet'!$A$62,'Données projet'!$B$62,AI33+AH34-AQ33)))</f>
        <v>93.04212454212454</v>
      </c>
      <c r="AJ34" s="13">
        <f>AI34*VLOOKUP('Données projet'!$B$10,Paramètres!$A$1:$I$89,3,0)*VLOOKUP('Données projet'!$B$10,Paramètres!$A$1:$I$89,5,0)</f>
        <v>94.344714285714289</v>
      </c>
      <c r="AK34" s="13">
        <f t="shared" si="35"/>
        <v>25.610173041635999</v>
      </c>
      <c r="AL34" s="20">
        <f t="shared" si="4"/>
        <v>208.92142876180176</v>
      </c>
      <c r="AM34" s="59">
        <f t="shared" si="5"/>
        <v>448.96955197461932</v>
      </c>
      <c r="AN34" s="59">
        <f ca="1">AVERAGE(OFFSET($AM$3,0,0,'Données projet'!$E$10+1,1))-AVERAGE(OFFSET($H$3,0,0,'Données projet'!$E$10+1,1))</f>
        <v>424.89201140676084</v>
      </c>
      <c r="AO34" s="59">
        <f t="shared" si="36"/>
        <v>253.0016648946303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5.3369963369963358</v>
      </c>
      <c r="BD34" s="12">
        <f>IF('Données projet'!$A$88&gt;35,BD33+BC34-BL33,IF(A34&lt;'Données projet'!$A$88,$BA$205^A34,IF(A34='Données projet'!$A$88,'Données projet'!$B$88,BD33+BC34-BL33)))</f>
        <v>93.04212454212454</v>
      </c>
      <c r="BE34" s="13">
        <f>BD34*VLOOKUP('Données projet'!$B$11,Paramètres!$A$1:$I$89,3,0)*VLOOKUP('Données projet'!$B$11,Paramètres!$A$1:$I$89,5,0)</f>
        <v>88.538885714285712</v>
      </c>
      <c r="BF34" s="13">
        <f t="shared" si="37"/>
        <v>24.212504429889805</v>
      </c>
      <c r="BG34" s="20">
        <f t="shared" si="7"/>
        <v>196.37533783443902</v>
      </c>
      <c r="BH34" s="59">
        <f t="shared" si="8"/>
        <v>436.42346104725658</v>
      </c>
      <c r="BI34" s="59">
        <f ca="1">AVERAGE(OFFSET($BH$3,0,0,'Données projet'!$E$11+1,1))-AVERAGE(OFFSET($H$3,0,0,'Données projet'!$E$11+1,1))</f>
        <v>403.89478276355294</v>
      </c>
      <c r="BJ34" s="59">
        <f t="shared" si="38"/>
        <v>241.1593989733278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12.8</v>
      </c>
      <c r="BY34" s="12">
        <f>IF('Données projet'!$A$114&gt;35,BY33+BX34-CG33,IF(A34&lt;'Données projet'!$A$114,$BV$205^A34,IF(A34='Données projet'!$A$114,'Données projet'!$B$114,BY33+BX34-CG33)))</f>
        <v>154.79999999999993</v>
      </c>
      <c r="BZ34" s="13">
        <f>BY34*VLOOKUP('Données projet'!$B$12,Paramètres!$A$1:$I$89,3,0)*VLOOKUP('Données projet'!$B$12,Paramètres!$A$1:$I$89,5,0)</f>
        <v>123.15887999999995</v>
      </c>
      <c r="CA34" s="13">
        <f t="shared" si="39"/>
        <v>32.410638331814873</v>
      </c>
      <c r="CB34" s="20">
        <f t="shared" si="10"/>
        <v>270.95024442791083</v>
      </c>
      <c r="CC34" s="59">
        <f t="shared" si="11"/>
        <v>510.99836764072836</v>
      </c>
      <c r="CD34" s="59">
        <f ca="1">AVERAGE(OFFSET($CC$3,0,0,'Données projet'!$E$12+1,1))-AVERAGE(OFFSET($H$3,0,0,'Données projet'!$E$12+1,1))</f>
        <v>377.27600411578322</v>
      </c>
      <c r="CE34" s="59">
        <f t="shared" si="40"/>
        <v>364.58250627635425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3.6336173348589944</v>
      </c>
      <c r="CL34" s="21">
        <f>EXP(-LN(2)/25)*CL33+(1-EXP(-LN(2)/25))/(LN(2)/25)*Calculateur!CG34*Calculateur!CI34*VLOOKUP('Données projet'!$B$12,Paramètres!$A$1:$I$89,3,0)*0.475*44/12</f>
        <v>10.320943484236269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13.954560819095263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>
        <f>VLOOKUP(A34,'Données projet'!$A$139:$I$159,2,0)</f>
        <v>155</v>
      </c>
      <c r="CR34" s="12">
        <f>VLOOKUP(A34,'Données projet'!$A$139:$I$159,9,0)</f>
        <v>11.5</v>
      </c>
      <c r="CS34" s="12">
        <f t="array" ref="CS34">INDEX(CR:CR,MIN(IF(ISNUMBER(CR34:CR230),ROW(CR34:CR230),"")))</f>
        <v>11.5</v>
      </c>
      <c r="CT34" s="12">
        <f>IF('Données projet'!$A$140&gt;35,CT33+CS34-DB33,IF(A34&lt;'Données projet'!$A$140,$CQ$205^A34,IF(A34='Données projet'!$A$140,'Données projet'!$B$140,CT33+CS34-DB33)))</f>
        <v>154.99999999999994</v>
      </c>
      <c r="CU34" s="17">
        <f>CT34*VLOOKUP('Données projet'!$B$13,Paramètres!$A$1:$I$89,3,0)*VLOOKUP('Données projet'!$B$13,Paramètres!$A$1:$I$89,5,0)</f>
        <v>120.89999999999996</v>
      </c>
      <c r="CV34" s="13">
        <f t="shared" si="41"/>
        <v>31.884818143351602</v>
      </c>
      <c r="CW34" s="20">
        <f t="shared" si="13"/>
        <v>266.10022493300397</v>
      </c>
      <c r="CX34" s="59">
        <f t="shared" si="14"/>
        <v>506.1483481458215</v>
      </c>
      <c r="CY34" s="59">
        <f ca="1">AVERAGE(OFFSET($CX$3,0,0,'Données projet'!$E$13+1,1))-AVERAGE(OFFSET($H$3,0,0,'Données projet'!$E$13+1,1))</f>
        <v>308.82719216177946</v>
      </c>
      <c r="CZ34" s="59">
        <f t="shared" si="42"/>
        <v>302.59481222418219</v>
      </c>
      <c r="DA34" s="15">
        <f>IF(ISNA(VLOOKUP(A34,'Données projet'!$A$139:$I$159,3,0)),0,VLOOKUP(A34,'Données projet'!$A$139:$I$159,3,0))</f>
        <v>4</v>
      </c>
      <c r="DB34" s="15">
        <f>IF(ISNA(VLOOKUP(A34,'Données projet'!$A$139:$I$159,4,0)),0,VLOOKUP(A34,'Données projet'!$A$139:$I$159,4,0))</f>
        <v>35</v>
      </c>
      <c r="DC34" s="16">
        <f>IF(ISNA(VLOOKUP(A34,'Données projet'!$A$139:$I$159,5,0)),0%,VLOOKUP(A34,'Données projet'!$A$139:$I$159,5,0)*VLOOKUP('Données projet'!$B$13,Paramètres!$A$1:$I$89,7,0))</f>
        <v>0.129</v>
      </c>
      <c r="DD34" s="16">
        <f>IF(ISNA(VLOOKUP(A34,'Données projet'!$A$139:$I$159,6,0)),0%,VLOOKUP(A34,'Données projet'!$A$139:$I$159,6,0)*VLOOKUP('Données projet'!$B$13,Paramètres!$A$1:$I$89,7,0))</f>
        <v>0.17200000000000001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3.8931350356011905</v>
      </c>
      <c r="DG34" s="21">
        <f>EXP(-LN(2)/25)*DG33+(1-EXP(-LN(2)/25))/(LN(2)/25)*Calculateur!DB34*Calculateur!DD34*VLOOKUP('Données projet'!$B$13,Paramètres!$A$1:$I$89,3,0)*0.475*44/12</f>
        <v>12.795004380992092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16.68813941659328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7</v>
      </c>
      <c r="DO34" s="12">
        <f>IF('Données projet'!$A$166&gt;35,DO33+DN34-DW33,IF(A34&lt;'Données projet'!$A$166,$DL$205^A34,IF(A34='Données projet'!$A$166,'Données projet'!$B$166,DO33+DN34-DW33)))</f>
        <v>238.99999999999991</v>
      </c>
      <c r="DP34" s="17">
        <f>DO34*VLOOKUP('Données projet'!$B$14,Paramètres!$A$1:$I$89,3,0)*VLOOKUP('Données projet'!$B$14,Paramètres!$A$1:$I$89,5,0)</f>
        <v>216.24719999999994</v>
      </c>
      <c r="DQ34" s="13">
        <f t="shared" si="43"/>
        <v>53.298418226645289</v>
      </c>
      <c r="DR34" s="20">
        <f t="shared" si="16"/>
        <v>469.45861841140703</v>
      </c>
      <c r="DS34" s="59">
        <f t="shared" si="17"/>
        <v>709.50674162422456</v>
      </c>
      <c r="DT34" s="59">
        <f ca="1">AVERAGE(OFFSET($DS$3,0,0,'Données projet'!$E$14+1,1))-AVERAGE(OFFSET($H$3,0,0,'Données projet'!$E$14+1,1))</f>
        <v>376.51107072413777</v>
      </c>
      <c r="DU34" s="59">
        <f t="shared" si="44"/>
        <v>532.90758914457615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3.3704991657127548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3.3704991657127548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19.393589743589743</v>
      </c>
      <c r="EJ34" s="12">
        <f>IF('Données projet'!$A$192&gt;35,EJ33+EI34-ER33,IF(A34&lt;'Données projet'!$A$192,$EG$205^A34,IF(A34='Données projet'!$A$192,'Données projet'!$B$192,EJ33+EI34-ER33)))</f>
        <v>299.39871794871806</v>
      </c>
      <c r="EK34" s="17">
        <f>EJ34*VLOOKUP('Données projet'!$B$15,Paramètres!$A$1:$I$89,3,0)*VLOOKUP('Données projet'!$B$15,Paramètres!$A$1:$I$89,5,0)</f>
        <v>179.04043333333343</v>
      </c>
      <c r="EL34" s="13">
        <f t="shared" si="45"/>
        <v>45.108633894312518</v>
      </c>
      <c r="EM34" s="20">
        <f t="shared" si="19"/>
        <v>390.39295875481668</v>
      </c>
      <c r="EN34" s="59">
        <f t="shared" si="20"/>
        <v>630.4410819676342</v>
      </c>
      <c r="EO34" s="59">
        <f ca="1">AVERAGE(OFFSET($EN$3,0,0,'Données projet'!$E$15+1,1))-AVERAGE(OFFSET($H$3,0,0,'Données projet'!$E$15+1,1))</f>
        <v>337.99164391755608</v>
      </c>
      <c r="EP34" s="59">
        <f t="shared" si="46"/>
        <v>421.45428231923393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10.633873390650319</v>
      </c>
      <c r="EW34" s="21">
        <f>EXP(-LN(2)/25)*EW33+(1-EXP(-LN(2)/25))/(LN(2)/25)*Calculateur!ER34*Calculateur!ET34*VLOOKUP('Données projet'!$B$15,Paramètres!$A$1:$I$89,3,0)*0.475*44/12</f>
        <v>15.956278696415753</v>
      </c>
      <c r="EX34" s="21">
        <f>EXP(-LN(2)/2)*EX33+(1-EXP(-LN(2)/2))/(LN(2)/2)*ER34*EU34*VLOOKUP('Données projet'!$B$15,Paramètres!$A$1:$I$89,3,0)*0.475*44/12</f>
        <v>1.1210002196749784</v>
      </c>
      <c r="EY34" s="22">
        <f t="shared" si="21"/>
        <v>27.711152306741052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5.3369963369963358</v>
      </c>
      <c r="N35" s="13">
        <f>IF('Données projet'!$A$36&gt;35,N34+M35-V34,IF(A35&lt;'Données projet'!$A$36,$K$205^A35,IF(A35='Données projet'!$A$36,'Données projet'!$B$36,N34+M35-V34)))</f>
        <v>98.379120879120876</v>
      </c>
      <c r="O35" s="13">
        <f>N35*VLOOKUP('Données projet'!$B$9,Paramètres!$A$1:$I$89,3,0)*VLOOKUP('Données projet'!$B$9,Paramètres!$A$1:$I$89,5,0)</f>
        <v>89.013428571428562</v>
      </c>
      <c r="P35" s="13">
        <f t="shared" si="33"/>
        <v>24.327135299174682</v>
      </c>
      <c r="Q35" s="20">
        <f t="shared" ref="Q35:Q66" si="53">(O35+P35)*0.475*44/12</f>
        <v>197.40148207463395</v>
      </c>
      <c r="R35" s="59">
        <f t="shared" si="0"/>
        <v>438.37398455515927</v>
      </c>
      <c r="S35" s="59">
        <f ca="1">AVERAGE(OFFSET($R$3,0,0,'Données projet'!$E$9+1,1))-AVERAGE(OFFSET($H$3,0,0,'Données projet'!$E$9+1,1))</f>
        <v>388.1278150896951</v>
      </c>
      <c r="T35" s="59">
        <f t="shared" si="34"/>
        <v>232.26614607059227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5.3369963369963358</v>
      </c>
      <c r="AI35" s="13">
        <f>IF('Données projet'!$A$62&gt;35,AI34+AH35-AQ34,IF(A35&lt;'Données projet'!$A$62,$AF$205^A35,IF(A35='Données projet'!$A$62,'Données projet'!$B$62,AI34+AH35-AQ34)))</f>
        <v>98.379120879120876</v>
      </c>
      <c r="AJ35" s="13">
        <f>AI35*VLOOKUP('Données projet'!$B$10,Paramètres!$A$1:$I$89,3,0)*VLOOKUP('Données projet'!$B$10,Paramètres!$A$1:$I$89,5,0)</f>
        <v>99.756428571428572</v>
      </c>
      <c r="AK35" s="13">
        <f t="shared" si="35"/>
        <v>26.903961780895703</v>
      </c>
      <c r="AL35" s="20">
        <f t="shared" si="4"/>
        <v>220.60017986363141</v>
      </c>
      <c r="AM35" s="59">
        <f t="shared" si="5"/>
        <v>461.57268234415676</v>
      </c>
      <c r="AN35" s="59">
        <f ca="1">AVERAGE(OFFSET($AM$3,0,0,'Données projet'!$E$10+1,1))-AVERAGE(OFFSET($H$3,0,0,'Données projet'!$E$10+1,1))</f>
        <v>424.89201140676084</v>
      </c>
      <c r="AO35" s="59">
        <f t="shared" si="36"/>
        <v>253.0016648946303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5.3369963369963358</v>
      </c>
      <c r="BD35" s="12">
        <f>IF('Données projet'!$A$88&gt;35,BD34+BC35-BL34,IF(A35&lt;'Données projet'!$A$88,$BA$205^A35,IF(A35='Données projet'!$A$88,'Données projet'!$B$88,BD34+BC35-BL34)))</f>
        <v>98.379120879120876</v>
      </c>
      <c r="BE35" s="13">
        <f>BD35*VLOOKUP('Données projet'!$B$11,Paramètres!$A$1:$I$89,3,0)*VLOOKUP('Données projet'!$B$11,Paramètres!$A$1:$I$89,5,0)</f>
        <v>93.617571428571438</v>
      </c>
      <c r="BF35" s="13">
        <f t="shared" si="37"/>
        <v>25.435684981217531</v>
      </c>
      <c r="BG35" s="20">
        <f t="shared" si="7"/>
        <v>207.35108824704912</v>
      </c>
      <c r="BH35" s="59">
        <f t="shared" si="8"/>
        <v>448.32359072757447</v>
      </c>
      <c r="BI35" s="59">
        <f ca="1">AVERAGE(OFFSET($BH$3,0,0,'Données projet'!$E$11+1,1))-AVERAGE(OFFSET($H$3,0,0,'Données projet'!$E$11+1,1))</f>
        <v>403.89478276355294</v>
      </c>
      <c r="BJ35" s="59">
        <f t="shared" si="38"/>
        <v>241.1593989733278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12.8</v>
      </c>
      <c r="BY35" s="12">
        <f>IF('Données projet'!$A$114&gt;35,BY34+BX35-CG34,IF(A35&lt;'Données projet'!$A$114,$BV$205^A35,IF(A35='Données projet'!$A$114,'Données projet'!$B$114,BY34+BX35-CG34)))</f>
        <v>167.59999999999994</v>
      </c>
      <c r="BZ35" s="13">
        <f>BY35*VLOOKUP('Données projet'!$B$12,Paramètres!$A$1:$I$89,3,0)*VLOOKUP('Données projet'!$B$12,Paramètres!$A$1:$I$89,5,0)</f>
        <v>133.34255999999996</v>
      </c>
      <c r="CA35" s="13">
        <f t="shared" si="39"/>
        <v>34.767581918978188</v>
      </c>
      <c r="CB35" s="20">
        <f t="shared" si="10"/>
        <v>292.7918305088869</v>
      </c>
      <c r="CC35" s="59">
        <f t="shared" si="11"/>
        <v>533.7643329894122</v>
      </c>
      <c r="CD35" s="59">
        <f ca="1">AVERAGE(OFFSET($CC$3,0,0,'Données projet'!$E$12+1,1))-AVERAGE(OFFSET($H$3,0,0,'Données projet'!$E$12+1,1))</f>
        <v>377.27600411578322</v>
      </c>
      <c r="CE35" s="59">
        <f t="shared" si="40"/>
        <v>364.58250627635425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3.5623643152101434</v>
      </c>
      <c r="CL35" s="21">
        <f>EXP(-LN(2)/25)*CL34+(1-EXP(-LN(2)/25))/(LN(2)/25)*Calculateur!CG35*Calculateur!CI35*VLOOKUP('Données projet'!$B$12,Paramètres!$A$1:$I$89,3,0)*0.475*44/12</f>
        <v>10.038716741904999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13.601081057115142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11.333333333333334</v>
      </c>
      <c r="CT35" s="12">
        <f>IF('Données projet'!$A$140&gt;35,CT34+CS35-DB34,IF(A35&lt;'Données projet'!$A$140,$CQ$205^A35,IF(A35='Données projet'!$A$140,'Données projet'!$B$140,CT34+CS35-DB34)))</f>
        <v>131.33333333333329</v>
      </c>
      <c r="CU35" s="17">
        <f>CT35*VLOOKUP('Données projet'!$B$13,Paramètres!$A$1:$I$89,3,0)*VLOOKUP('Données projet'!$B$13,Paramètres!$A$1:$I$89,5,0)</f>
        <v>102.43999999999997</v>
      </c>
      <c r="CV35" s="13">
        <f t="shared" si="41"/>
        <v>27.542475814398081</v>
      </c>
      <c r="CW35" s="20">
        <f t="shared" si="13"/>
        <v>226.38614537674326</v>
      </c>
      <c r="CX35" s="59">
        <f t="shared" si="14"/>
        <v>467.35864785726858</v>
      </c>
      <c r="CY35" s="59">
        <f ca="1">AVERAGE(OFFSET($CX$3,0,0,'Données projet'!$E$13+1,1))-AVERAGE(OFFSET($H$3,0,0,'Données projet'!$E$13+1,1))</f>
        <v>308.82719216177946</v>
      </c>
      <c r="CZ35" s="59">
        <f t="shared" si="42"/>
        <v>302.59481222418219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3.8167930321309527</v>
      </c>
      <c r="DG35" s="21">
        <f>EXP(-LN(2)/25)*DG34+(1-EXP(-LN(2)/25))/(LN(2)/25)*Calculateur!DB35*Calculateur!DD35*VLOOKUP('Données projet'!$B$13,Paramètres!$A$1:$I$89,3,0)*0.475*44/12</f>
        <v>12.445124313333826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16.261917345464781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7</v>
      </c>
      <c r="DO35" s="12">
        <f>IF('Données projet'!$A$166&gt;35,DO34+DN35-DW34,IF(A35&lt;'Données projet'!$A$166,$DL$205^A35,IF(A35='Données projet'!$A$166,'Données projet'!$B$166,DO34+DN35-DW34)))</f>
        <v>245.99999999999991</v>
      </c>
      <c r="DP35" s="17">
        <f>DO35*VLOOKUP('Données projet'!$B$14,Paramètres!$A$1:$I$89,3,0)*VLOOKUP('Données projet'!$B$14,Paramètres!$A$1:$I$89,5,0)</f>
        <v>222.58079999999993</v>
      </c>
      <c r="DQ35" s="13">
        <f t="shared" si="43"/>
        <v>54.675428546153199</v>
      </c>
      <c r="DR35" s="20">
        <f t="shared" si="16"/>
        <v>482.88793138454997</v>
      </c>
      <c r="DS35" s="59">
        <f t="shared" si="17"/>
        <v>723.86043386507527</v>
      </c>
      <c r="DT35" s="59">
        <f ca="1">AVERAGE(OFFSET($DS$3,0,0,'Données projet'!$E$14+1,1))-AVERAGE(OFFSET($H$3,0,0,'Données projet'!$E$14+1,1))</f>
        <v>376.51107072413777</v>
      </c>
      <c r="DU35" s="59">
        <f t="shared" si="44"/>
        <v>532.90758914457615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3.2783326887794919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3.2783326887794919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>
        <f>VLOOKUP(A35,'Données projet'!$A$191:$I$211,2,0)</f>
        <v>318.7923076923077</v>
      </c>
      <c r="EH35" s="12">
        <f>VLOOKUP(A35,'Données projet'!$A$191:$I$211,9,0)</f>
        <v>19.393589743589743</v>
      </c>
      <c r="EI35" s="12">
        <f t="array" ref="EI35">INDEX(EH:EH,MIN(IF(ISNUMBER(EH35:EH231),ROW(EH35:EH231),"")))</f>
        <v>19.393589743589743</v>
      </c>
      <c r="EJ35" s="12">
        <f>IF('Données projet'!$A$192&gt;35,EJ34+EI35-ER34,IF(A35&lt;'Données projet'!$A$192,$EG$205^A35,IF(A35='Données projet'!$A$192,'Données projet'!$B$192,EJ34+EI35-ER34)))</f>
        <v>318.79230769230782</v>
      </c>
      <c r="EK35" s="17">
        <f>EJ35*VLOOKUP('Données projet'!$B$15,Paramètres!$A$1:$I$89,3,0)*VLOOKUP('Données projet'!$B$15,Paramètres!$A$1:$I$89,5,0)</f>
        <v>190.63780000000008</v>
      </c>
      <c r="EL35" s="13">
        <f t="shared" si="45"/>
        <v>47.680933861376609</v>
      </c>
      <c r="EM35" s="20">
        <f t="shared" si="19"/>
        <v>415.07179480856439</v>
      </c>
      <c r="EN35" s="59">
        <f t="shared" si="20"/>
        <v>656.04429728908974</v>
      </c>
      <c r="EO35" s="59">
        <f ca="1">AVERAGE(OFFSET($EN$3,0,0,'Données projet'!$E$15+1,1))-AVERAGE(OFFSET($H$3,0,0,'Données projet'!$E$15+1,1))</f>
        <v>337.99164391755608</v>
      </c>
      <c r="EP35" s="59">
        <f t="shared" si="46"/>
        <v>421.45428231923393</v>
      </c>
      <c r="EQ35" s="15">
        <f>IF(ISNA(VLOOKUP(A35,'Données projet'!$A$191:$I$211,3,0)),0,VLOOKUP(A35,'Données projet'!$A$191:$I$211,3,0))</f>
        <v>4</v>
      </c>
      <c r="ER35" s="15">
        <f>IF(ISNA(VLOOKUP(A35,'Données projet'!$A$191:$I$211,4,0)),0,VLOOKUP(A35,'Données projet'!$A$191:$I$211,4,0))</f>
        <v>64.523076923076914</v>
      </c>
      <c r="ES35" s="16">
        <f>IF(ISNA(VLOOKUP(A35,'Données projet'!$A$191:$I$211,5,0)),0%,VLOOKUP(A35,'Données projet'!$A$191:$I$211,5,0)*VLOOKUP('Données projet'!$B$15,Paramètres!$A$1:$I$89,7,0))</f>
        <v>0.315</v>
      </c>
      <c r="ET35" s="16">
        <f>IF(ISNA(VLOOKUP(A35,'Données projet'!$A$191:$I$211,6,0)),0%,VLOOKUP(A35,'Données projet'!$A$191:$I$211,6,0)*VLOOKUP('Données projet'!$B$15,Paramètres!$A$1:$I$89,7,0))</f>
        <v>7.5600000000000001E-2</v>
      </c>
      <c r="EU35" s="16">
        <f>IF(ISNA(VLOOKUP(A35,'Données projet'!$A$191:$I$211,7,0)),0%,VLOOKUP(A35,'Données projet'!$A$191:$I$211,7,0))</f>
        <v>0.13200000000000001</v>
      </c>
      <c r="EV35" s="21">
        <f>EXP(-LN(2)/35)*EV34+(1-EXP(-LN(2)/35))/(LN(2)/35)*ER35*ES35*VLOOKUP('Données projet'!$B$15,Paramètres!$A$1:$I$89,3,0)*0.475*44/12</f>
        <v>26.548695242558715</v>
      </c>
      <c r="EW35" s="21">
        <f>EXP(-LN(2)/25)*EW34+(1-EXP(-LN(2)/25))/(LN(2)/25)*Calculateur!ER35*Calculateur!ET35*VLOOKUP('Données projet'!$B$15,Paramètres!$A$1:$I$89,3,0)*0.475*44/12</f>
        <v>19.374320264649796</v>
      </c>
      <c r="EX35" s="21">
        <f>EXP(-LN(2)/2)*EX34+(1-EXP(-LN(2)/2))/(LN(2)/2)*ER35*EU35*VLOOKUP('Données projet'!$B$15,Paramètres!$A$1:$I$89,3,0)*0.475*44/12</f>
        <v>6.5593451485188776</v>
      </c>
      <c r="EY35" s="22">
        <f t="shared" si="21"/>
        <v>52.482360655727391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5.3369963369963358</v>
      </c>
      <c r="N36" s="13">
        <f>IF('Données projet'!$A$36&gt;35,N35+M36-V35,IF(A36&lt;'Données projet'!$A$36,$K$205^A36,IF(A36='Données projet'!$A$36,'Données projet'!$B$36,N35+M36-V35)))</f>
        <v>103.71611721611721</v>
      </c>
      <c r="O36" s="13">
        <f>N36*VLOOKUP('Données projet'!$B$9,Paramètres!$A$1:$I$89,3,0)*VLOOKUP('Données projet'!$B$9,Paramètres!$A$1:$I$89,5,0)</f>
        <v>93.842342857142853</v>
      </c>
      <c r="P36" s="13">
        <f t="shared" si="33"/>
        <v>25.489638806781517</v>
      </c>
      <c r="Q36" s="20">
        <f t="shared" si="53"/>
        <v>207.83653473133492</v>
      </c>
      <c r="R36" s="59">
        <f t="shared" si="0"/>
        <v>449.71738056587566</v>
      </c>
      <c r="S36" s="59">
        <f ca="1">AVERAGE(OFFSET($R$3,0,0,'Données projet'!$E$9+1,1))-AVERAGE(OFFSET($H$3,0,0,'Données projet'!$E$9+1,1))</f>
        <v>388.1278150896951</v>
      </c>
      <c r="T36" s="59">
        <f t="shared" si="34"/>
        <v>232.26614607059227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5.3369963369963358</v>
      </c>
      <c r="AI36" s="13">
        <f>IF('Données projet'!$A$62&gt;35,AI35+AH36-AQ35,IF(A36&lt;'Données projet'!$A$62,$AF$205^A36,IF(A36='Données projet'!$A$62,'Données projet'!$B$62,AI35+AH36-AQ35)))</f>
        <v>103.71611721611721</v>
      </c>
      <c r="AJ36" s="13">
        <f>AI36*VLOOKUP('Données projet'!$B$10,Paramètres!$A$1:$I$89,3,0)*VLOOKUP('Données projet'!$B$10,Paramètres!$A$1:$I$89,5,0)</f>
        <v>105.16814285714285</v>
      </c>
      <c r="AK36" s="13">
        <f t="shared" si="35"/>
        <v>28.189602262365472</v>
      </c>
      <c r="AL36" s="20">
        <f t="shared" si="4"/>
        <v>232.264739416477</v>
      </c>
      <c r="AM36" s="59">
        <f t="shared" si="5"/>
        <v>474.14558525101774</v>
      </c>
      <c r="AN36" s="59">
        <f ca="1">AVERAGE(OFFSET($AM$3,0,0,'Données projet'!$E$10+1,1))-AVERAGE(OFFSET($H$3,0,0,'Données projet'!$E$10+1,1))</f>
        <v>424.89201140676084</v>
      </c>
      <c r="AO36" s="59">
        <f t="shared" si="36"/>
        <v>253.0016648946303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5.3369963369963358</v>
      </c>
      <c r="BD36" s="12">
        <f>IF('Données projet'!$A$88&gt;35,BD35+BC36-BL35,IF(A36&lt;'Données projet'!$A$88,$BA$205^A36,IF(A36='Données projet'!$A$88,'Données projet'!$B$88,BD35+BC36-BL35)))</f>
        <v>103.71611721611721</v>
      </c>
      <c r="BE36" s="13">
        <f>BD36*VLOOKUP('Données projet'!$B$11,Paramètres!$A$1:$I$89,3,0)*VLOOKUP('Données projet'!$B$11,Paramètres!$A$1:$I$89,5,0)</f>
        <v>98.696257142857135</v>
      </c>
      <c r="BF36" s="13">
        <f t="shared" si="37"/>
        <v>26.651161963830063</v>
      </c>
      <c r="BG36" s="20">
        <f t="shared" si="7"/>
        <v>218.31342161081352</v>
      </c>
      <c r="BH36" s="59">
        <f t="shared" si="8"/>
        <v>460.19426744535428</v>
      </c>
      <c r="BI36" s="59">
        <f ca="1">AVERAGE(OFFSET($BH$3,0,0,'Données projet'!$E$11+1,1))-AVERAGE(OFFSET($H$3,0,0,'Données projet'!$E$11+1,1))</f>
        <v>403.89478276355294</v>
      </c>
      <c r="BJ36" s="59">
        <f t="shared" si="38"/>
        <v>241.1593989733278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12.8</v>
      </c>
      <c r="BY36" s="12">
        <f>IF('Données projet'!$A$114&gt;35,BY35+BX36-CG35,IF(A36&lt;'Données projet'!$A$114,$BV$205^A36,IF(A36='Données projet'!$A$114,'Données projet'!$B$114,BY35+BX36-CG35)))</f>
        <v>180.39999999999995</v>
      </c>
      <c r="BZ36" s="13">
        <f>BY36*VLOOKUP('Données projet'!$B$12,Paramètres!$A$1:$I$89,3,0)*VLOOKUP('Données projet'!$B$12,Paramètres!$A$1:$I$89,5,0)</f>
        <v>143.52623999999997</v>
      </c>
      <c r="CA36" s="13">
        <f t="shared" si="39"/>
        <v>37.103644337236275</v>
      </c>
      <c r="CB36" s="20">
        <f t="shared" si="10"/>
        <v>314.59704855401981</v>
      </c>
      <c r="CC36" s="59">
        <f t="shared" si="11"/>
        <v>556.47789438856057</v>
      </c>
      <c r="CD36" s="59">
        <f ca="1">AVERAGE(OFFSET($CC$3,0,0,'Données projet'!$E$12+1,1))-AVERAGE(OFFSET($H$3,0,0,'Données projet'!$E$12+1,1))</f>
        <v>377.27600411578322</v>
      </c>
      <c r="CE36" s="59">
        <f t="shared" si="40"/>
        <v>364.58250627635425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3.4925085238165559</v>
      </c>
      <c r="CL36" s="21">
        <f>EXP(-LN(2)/25)*CL35+(1-EXP(-LN(2)/25))/(LN(2)/25)*Calculateur!CG36*Calculateur!CI36*VLOOKUP('Données projet'!$B$12,Paramètres!$A$1:$I$89,3,0)*0.475*44/12</f>
        <v>9.7642075046844372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13.256716028500993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11.333333333333334</v>
      </c>
      <c r="CT36" s="12">
        <f>IF('Données projet'!$A$140&gt;35,CT35+CS36-DB35,IF(A36&lt;'Données projet'!$A$140,$CQ$205^A36,IF(A36='Données projet'!$A$140,'Données projet'!$B$140,CT35+CS36-DB35)))</f>
        <v>142.66666666666663</v>
      </c>
      <c r="CU36" s="17">
        <f>CT36*VLOOKUP('Données projet'!$B$13,Paramètres!$A$1:$I$89,3,0)*VLOOKUP('Données projet'!$B$13,Paramètres!$A$1:$I$89,5,0)</f>
        <v>111.27999999999997</v>
      </c>
      <c r="CV36" s="13">
        <f t="shared" si="41"/>
        <v>29.63235919562165</v>
      </c>
      <c r="CW36" s="20">
        <f t="shared" si="13"/>
        <v>245.42235893237435</v>
      </c>
      <c r="CX36" s="59">
        <f t="shared" si="14"/>
        <v>487.30320476691509</v>
      </c>
      <c r="CY36" s="59">
        <f ca="1">AVERAGE(OFFSET($CX$3,0,0,'Données projet'!$E$13+1,1))-AVERAGE(OFFSET($H$3,0,0,'Données projet'!$E$13+1,1))</f>
        <v>308.82719216177946</v>
      </c>
      <c r="CZ36" s="59">
        <f t="shared" si="42"/>
        <v>302.59481222418219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3.7419480487847419</v>
      </c>
      <c r="DG36" s="21">
        <f>EXP(-LN(2)/25)*DG35+(1-EXP(-LN(2)/25))/(LN(2)/25)*Calculateur!DB36*Calculateur!DD36*VLOOKUP('Données projet'!$B$13,Paramètres!$A$1:$I$89,3,0)*0.475*44/12</f>
        <v>12.104811734525068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15.84675978330981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7</v>
      </c>
      <c r="DO36" s="12">
        <f>IF('Données projet'!$A$166&gt;35,DO35+DN36-DW35,IF(A36&lt;'Données projet'!$A$166,$DL$205^A36,IF(A36='Données projet'!$A$166,'Données projet'!$B$166,DO35+DN36-DW35)))</f>
        <v>252.99999999999991</v>
      </c>
      <c r="DP36" s="17">
        <f>DO36*VLOOKUP('Données projet'!$B$14,Paramètres!$A$1:$I$89,3,0)*VLOOKUP('Données projet'!$B$14,Paramètres!$A$1:$I$89,5,0)</f>
        <v>228.91439999999994</v>
      </c>
      <c r="DQ36" s="13">
        <f t="shared" si="43"/>
        <v>56.047884834417424</v>
      </c>
      <c r="DR36" s="20">
        <f t="shared" si="16"/>
        <v>496.30931275327686</v>
      </c>
      <c r="DS36" s="59">
        <f t="shared" si="17"/>
        <v>738.19015858781756</v>
      </c>
      <c r="DT36" s="59">
        <f ca="1">AVERAGE(OFFSET($DS$3,0,0,'Données projet'!$E$14+1,1))-AVERAGE(OFFSET($H$3,0,0,'Données projet'!$E$14+1,1))</f>
        <v>376.51107072413777</v>
      </c>
      <c r="DU36" s="59">
        <f t="shared" si="44"/>
        <v>532.90758914457615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3.1886865090047931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3.1886865090047931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18.055769230769229</v>
      </c>
      <c r="EJ36" s="12">
        <f>IF('Données projet'!$A$192&gt;35,EJ35+EI36-ER35,IF(A36&lt;'Données projet'!$A$192,$EG$205^A36,IF(A36='Données projet'!$A$192,'Données projet'!$B$192,EJ35+EI36-ER35)))</f>
        <v>272.3250000000001</v>
      </c>
      <c r="EK36" s="17">
        <f>EJ36*VLOOKUP('Données projet'!$B$15,Paramètres!$A$1:$I$89,3,0)*VLOOKUP('Données projet'!$B$15,Paramètres!$A$1:$I$89,5,0)</f>
        <v>162.85035000000008</v>
      </c>
      <c r="EL36" s="13">
        <f t="shared" si="45"/>
        <v>41.484757610477807</v>
      </c>
      <c r="EM36" s="20">
        <f t="shared" si="19"/>
        <v>355.88364575491568</v>
      </c>
      <c r="EN36" s="59">
        <f t="shared" si="20"/>
        <v>597.76449158945638</v>
      </c>
      <c r="EO36" s="59">
        <f ca="1">AVERAGE(OFFSET($EN$3,0,0,'Données projet'!$E$15+1,1))-AVERAGE(OFFSET($H$3,0,0,'Données projet'!$E$15+1,1))</f>
        <v>337.99164391755608</v>
      </c>
      <c r="EP36" s="59">
        <f t="shared" si="46"/>
        <v>421.45428231923393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26.0280915219573</v>
      </c>
      <c r="EW36" s="21">
        <f>EXP(-LN(2)/25)*EW35+(1-EXP(-LN(2)/25))/(LN(2)/25)*Calculateur!ER36*Calculateur!ET36*VLOOKUP('Données projet'!$B$15,Paramètres!$A$1:$I$89,3,0)*0.475*44/12</f>
        <v>18.844528458161726</v>
      </c>
      <c r="EX36" s="21">
        <f>EXP(-LN(2)/2)*EX35+(1-EXP(-LN(2)/2))/(LN(2)/2)*ER36*EU36*VLOOKUP('Données projet'!$B$15,Paramètres!$A$1:$I$89,3,0)*0.475*44/12</f>
        <v>4.6381574346607808</v>
      </c>
      <c r="EY36" s="22">
        <f t="shared" si="21"/>
        <v>49.51077741477981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5.3369963369963358</v>
      </c>
      <c r="N37" s="13">
        <f>IF('Données projet'!$A$36&gt;35,N36+M37-V36,IF(A37&lt;'Données projet'!$A$36,$K$205^A37,IF(A37='Données projet'!$A$36,'Données projet'!$B$36,N36+M37-V36)))</f>
        <v>109.05311355311355</v>
      </c>
      <c r="O37" s="13">
        <f>N37*VLOOKUP('Données projet'!$B$9,Paramètres!$A$1:$I$89,3,0)*VLOOKUP('Données projet'!$B$9,Paramètres!$A$1:$I$89,5,0)</f>
        <v>98.671257142857144</v>
      </c>
      <c r="P37" s="13">
        <f t="shared" si="33"/>
        <v>26.645196865813876</v>
      </c>
      <c r="Q37" s="20">
        <f t="shared" si="53"/>
        <v>218.25949073176866</v>
      </c>
      <c r="R37" s="59">
        <f t="shared" si="0"/>
        <v>461.03292219388425</v>
      </c>
      <c r="S37" s="59">
        <f ca="1">AVERAGE(OFFSET($R$3,0,0,'Données projet'!$E$9+1,1))-AVERAGE(OFFSET($H$3,0,0,'Données projet'!$E$9+1,1))</f>
        <v>388.1278150896951</v>
      </c>
      <c r="T37" s="59">
        <f t="shared" si="34"/>
        <v>232.26614607059227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5.3369963369963358</v>
      </c>
      <c r="AI37" s="13">
        <f>IF('Données projet'!$A$62&gt;35,AI36+AH37-AQ36,IF(A37&lt;'Données projet'!$A$62,$AF$205^A37,IF(A37='Données projet'!$A$62,'Données projet'!$B$62,AI36+AH37-AQ36)))</f>
        <v>109.05311355311355</v>
      </c>
      <c r="AJ37" s="13">
        <f>AI37*VLOOKUP('Données projet'!$B$10,Paramètres!$A$1:$I$89,3,0)*VLOOKUP('Données projet'!$B$10,Paramètres!$A$1:$I$89,5,0)</f>
        <v>110.57985714285715</v>
      </c>
      <c r="AK37" s="13">
        <f t="shared" si="35"/>
        <v>29.467561605850825</v>
      </c>
      <c r="AL37" s="20">
        <f t="shared" si="4"/>
        <v>243.91592098733301</v>
      </c>
      <c r="AM37" s="59">
        <f t="shared" si="5"/>
        <v>486.68935244944862</v>
      </c>
      <c r="AN37" s="59">
        <f ca="1">AVERAGE(OFFSET($AM$3,0,0,'Données projet'!$E$10+1,1))-AVERAGE(OFFSET($H$3,0,0,'Données projet'!$E$10+1,1))</f>
        <v>424.89201140676084</v>
      </c>
      <c r="AO37" s="59">
        <f t="shared" si="36"/>
        <v>253.0016648946303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5.3369963369963358</v>
      </c>
      <c r="BD37" s="12">
        <f>IF('Données projet'!$A$88&gt;35,BD36+BC37-BL36,IF(A37&lt;'Données projet'!$A$88,$BA$205^A37,IF(A37='Données projet'!$A$88,'Données projet'!$B$88,BD36+BC37-BL36)))</f>
        <v>109.05311355311355</v>
      </c>
      <c r="BE37" s="13">
        <f>BD37*VLOOKUP('Données projet'!$B$11,Paramètres!$A$1:$I$89,3,0)*VLOOKUP('Données projet'!$B$11,Paramètres!$A$1:$I$89,5,0)</f>
        <v>103.77494285714286</v>
      </c>
      <c r="BF37" s="13">
        <f t="shared" si="37"/>
        <v>27.859377004589561</v>
      </c>
      <c r="BG37" s="20">
        <f t="shared" si="7"/>
        <v>229.26310709251729</v>
      </c>
      <c r="BH37" s="59">
        <f t="shared" si="8"/>
        <v>472.0365385546329</v>
      </c>
      <c r="BI37" s="59">
        <f ca="1">AVERAGE(OFFSET($BH$3,0,0,'Données projet'!$E$11+1,1))-AVERAGE(OFFSET($H$3,0,0,'Données projet'!$E$11+1,1))</f>
        <v>403.89478276355294</v>
      </c>
      <c r="BJ37" s="59">
        <f t="shared" si="38"/>
        <v>241.1593989733278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12.8</v>
      </c>
      <c r="BY37" s="12">
        <f>IF('Données projet'!$A$114&gt;35,BY36+BX37-CG36,IF(A37&lt;'Données projet'!$A$114,$BV$205^A37,IF(A37='Données projet'!$A$114,'Données projet'!$B$114,BY36+BX37-CG36)))</f>
        <v>193.19999999999996</v>
      </c>
      <c r="BZ37" s="13">
        <f>BY37*VLOOKUP('Données projet'!$B$12,Paramètres!$A$1:$I$89,3,0)*VLOOKUP('Données projet'!$B$12,Paramètres!$A$1:$I$89,5,0)</f>
        <v>153.70991999999998</v>
      </c>
      <c r="CA37" s="13">
        <f t="shared" si="39"/>
        <v>39.420475690379831</v>
      </c>
      <c r="CB37" s="20">
        <f t="shared" si="10"/>
        <v>336.3687724940782</v>
      </c>
      <c r="CC37" s="59">
        <f t="shared" si="11"/>
        <v>579.14220395619373</v>
      </c>
      <c r="CD37" s="59">
        <f ca="1">AVERAGE(OFFSET($CC$3,0,0,'Données projet'!$E$12+1,1))-AVERAGE(OFFSET($H$3,0,0,'Données projet'!$E$12+1,1))</f>
        <v>377.27600411578322</v>
      </c>
      <c r="CE37" s="59">
        <f t="shared" si="40"/>
        <v>364.58250627635425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3.4240225618843709</v>
      </c>
      <c r="CL37" s="21">
        <f>EXP(-LN(2)/25)*CL36+(1-EXP(-LN(2)/25))/(LN(2)/25)*Calculateur!CG37*Calculateur!CI37*VLOOKUP('Données projet'!$B$12,Paramètres!$A$1:$I$89,3,0)*0.475*44/12</f>
        <v>9.4972047369914847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12.921227298875856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11.333333333333334</v>
      </c>
      <c r="CT37" s="12">
        <f>IF('Données projet'!$A$140&gt;35,CT36+CS37-DB36,IF(A37&lt;'Données projet'!$A$140,$CQ$205^A37,IF(A37='Données projet'!$A$140,'Données projet'!$B$140,CT36+CS37-DB36)))</f>
        <v>153.99999999999997</v>
      </c>
      <c r="CU37" s="17">
        <f>CT37*VLOOKUP('Données projet'!$B$13,Paramètres!$A$1:$I$89,3,0)*VLOOKUP('Données projet'!$B$13,Paramètres!$A$1:$I$89,5,0)</f>
        <v>120.11999999999998</v>
      </c>
      <c r="CV37" s="13">
        <f t="shared" si="41"/>
        <v>31.702985695201871</v>
      </c>
      <c r="CW37" s="20">
        <f t="shared" si="13"/>
        <v>264.42503341914323</v>
      </c>
      <c r="CX37" s="59">
        <f t="shared" si="14"/>
        <v>507.19846488125881</v>
      </c>
      <c r="CY37" s="59">
        <f ca="1">AVERAGE(OFFSET($CX$3,0,0,'Données projet'!$E$13+1,1))-AVERAGE(OFFSET($H$3,0,0,'Données projet'!$E$13+1,1))</f>
        <v>308.82719216177946</v>
      </c>
      <c r="CZ37" s="59">
        <f t="shared" si="42"/>
        <v>302.59481222418219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3.6685707299110182</v>
      </c>
      <c r="DG37" s="21">
        <f>EXP(-LN(2)/25)*DG36+(1-EXP(-LN(2)/25))/(LN(2)/25)*Calculateur!DB37*Calculateur!DD37*VLOOKUP('Données projet'!$B$13,Paramètres!$A$1:$I$89,3,0)*0.475*44/12</f>
        <v>11.773805021080097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15.442375750991115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7</v>
      </c>
      <c r="DO37" s="12">
        <f>IF('Données projet'!$A$166&gt;35,DO36+DN37-DW36,IF(A37&lt;'Données projet'!$A$166,$DL$205^A37,IF(A37='Données projet'!$A$166,'Données projet'!$B$166,DO36+DN37-DW36)))</f>
        <v>259.99999999999989</v>
      </c>
      <c r="DP37" s="17">
        <f>DO37*VLOOKUP('Données projet'!$B$14,Paramètres!$A$1:$I$89,3,0)*VLOOKUP('Données projet'!$B$14,Paramètres!$A$1:$I$89,5,0)</f>
        <v>235.24799999999991</v>
      </c>
      <c r="DQ37" s="13">
        <f t="shared" si="43"/>
        <v>57.41592756883739</v>
      </c>
      <c r="DR37" s="20">
        <f t="shared" si="16"/>
        <v>509.72300718239154</v>
      </c>
      <c r="DS37" s="59">
        <f t="shared" si="17"/>
        <v>752.49643864450718</v>
      </c>
      <c r="DT37" s="59">
        <f ca="1">AVERAGE(OFFSET($DS$3,0,0,'Données projet'!$E$14+1,1))-AVERAGE(OFFSET($H$3,0,0,'Données projet'!$E$14+1,1))</f>
        <v>376.51107072413777</v>
      </c>
      <c r="DU37" s="59">
        <f t="shared" si="44"/>
        <v>532.90758914457615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3.1014917087303213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3.1014917087303213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18.055769230769229</v>
      </c>
      <c r="EJ37" s="12">
        <f>IF('Données projet'!$A$192&gt;35,EJ36+EI37-ER36,IF(A37&lt;'Données projet'!$A$192,$EG$205^A37,IF(A37='Données projet'!$A$192,'Données projet'!$B$192,EJ36+EI37-ER36)))</f>
        <v>290.38076923076932</v>
      </c>
      <c r="EK37" s="17">
        <f>EJ37*VLOOKUP('Données projet'!$B$15,Paramètres!$A$1:$I$89,3,0)*VLOOKUP('Données projet'!$B$15,Paramètres!$A$1:$I$89,5,0)</f>
        <v>173.64770000000004</v>
      </c>
      <c r="EL37" s="13">
        <f t="shared" si="45"/>
        <v>43.905974872685142</v>
      </c>
      <c r="EM37" s="20">
        <f t="shared" si="19"/>
        <v>378.90598373659333</v>
      </c>
      <c r="EN37" s="59">
        <f t="shared" si="20"/>
        <v>621.67941519870897</v>
      </c>
      <c r="EO37" s="59">
        <f ca="1">AVERAGE(OFFSET($EN$3,0,0,'Données projet'!$E$15+1,1))-AVERAGE(OFFSET($H$3,0,0,'Données projet'!$E$15+1,1))</f>
        <v>337.99164391755608</v>
      </c>
      <c r="EP37" s="59">
        <f t="shared" si="46"/>
        <v>421.45428231923393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25.517696522779964</v>
      </c>
      <c r="EW37" s="21">
        <f>EXP(-LN(2)/25)*EW36+(1-EXP(-LN(2)/25))/(LN(2)/25)*Calculateur!ER37*Calculateur!ET37*VLOOKUP('Données projet'!$B$15,Paramètres!$A$1:$I$89,3,0)*0.475*44/12</f>
        <v>18.329223836482612</v>
      </c>
      <c r="EX37" s="21">
        <f>EXP(-LN(2)/2)*EX36+(1-EXP(-LN(2)/2))/(LN(2)/2)*ER37*EU37*VLOOKUP('Données projet'!$B$15,Paramètres!$A$1:$I$89,3,0)*0.475*44/12</f>
        <v>3.2796725742594397</v>
      </c>
      <c r="EY37" s="22">
        <f t="shared" si="21"/>
        <v>47.126592933522019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5.3369963369963358</v>
      </c>
      <c r="N38" s="13">
        <f>IF('Données projet'!$A$36&gt;35,N37+M38-V37,IF(A38&lt;'Données projet'!$A$36,$K$205^A38,IF(A38='Données projet'!$A$36,'Données projet'!$B$36,N37+M38-V37)))</f>
        <v>114.39010989010988</v>
      </c>
      <c r="O38" s="13">
        <f>N38*VLOOKUP('Données projet'!$B$9,Paramètres!$A$1:$I$89,3,0)*VLOOKUP('Données projet'!$B$9,Paramètres!$A$1:$I$89,5,0)</f>
        <v>103.50017142857141</v>
      </c>
      <c r="P38" s="13">
        <f t="shared" si="33"/>
        <v>27.794188178262466</v>
      </c>
      <c r="Q38" s="20">
        <f t="shared" si="53"/>
        <v>228.67100964856897</v>
      </c>
      <c r="R38" s="59">
        <f t="shared" si="0"/>
        <v>472.32154237314347</v>
      </c>
      <c r="S38" s="59">
        <f ca="1">AVERAGE(OFFSET($R$3,0,0,'Données projet'!$E$9+1,1))-AVERAGE(OFFSET($H$3,0,0,'Données projet'!$E$9+1,1))</f>
        <v>388.1278150896951</v>
      </c>
      <c r="T38" s="59">
        <f t="shared" si="34"/>
        <v>232.26614607059227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5.3369963369963358</v>
      </c>
      <c r="AI38" s="13">
        <f>IF('Données projet'!$A$62&gt;35,AI37+AH38-AQ37,IF(A38&lt;'Données projet'!$A$62,$AF$205^A38,IF(A38='Données projet'!$A$62,'Données projet'!$B$62,AI37+AH38-AQ37)))</f>
        <v>114.39010989010988</v>
      </c>
      <c r="AJ38" s="13">
        <f>AI38*VLOOKUP('Données projet'!$B$10,Paramètres!$A$1:$I$89,3,0)*VLOOKUP('Données projet'!$B$10,Paramètres!$A$1:$I$89,5,0)</f>
        <v>115.99157142857143</v>
      </c>
      <c r="AK38" s="13">
        <f t="shared" si="35"/>
        <v>30.738258626956586</v>
      </c>
      <c r="AL38" s="20">
        <f t="shared" si="4"/>
        <v>255.55445401337798</v>
      </c>
      <c r="AM38" s="59">
        <f t="shared" si="5"/>
        <v>499.20498673795248</v>
      </c>
      <c r="AN38" s="59">
        <f ca="1">AVERAGE(OFFSET($AM$3,0,0,'Données projet'!$E$10+1,1))-AVERAGE(OFFSET($H$3,0,0,'Données projet'!$E$10+1,1))</f>
        <v>424.89201140676084</v>
      </c>
      <c r="AO38" s="59">
        <f t="shared" si="36"/>
        <v>253.0016648946303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5.3369963369963358</v>
      </c>
      <c r="BD38" s="12">
        <f>IF('Données projet'!$A$88&gt;35,BD37+BC38-BL37,IF(A38&lt;'Données projet'!$A$88,$BA$205^A38,IF(A38='Données projet'!$A$88,'Données projet'!$B$88,BD37+BC38-BL37)))</f>
        <v>114.39010989010988</v>
      </c>
      <c r="BE38" s="13">
        <f>BD38*VLOOKUP('Données projet'!$B$11,Paramètres!$A$1:$I$89,3,0)*VLOOKUP('Données projet'!$B$11,Paramètres!$A$1:$I$89,5,0)</f>
        <v>108.85362857142857</v>
      </c>
      <c r="BF38" s="13">
        <f t="shared" si="37"/>
        <v>29.060726062346895</v>
      </c>
      <c r="BG38" s="20">
        <f t="shared" si="7"/>
        <v>240.20083432049225</v>
      </c>
      <c r="BH38" s="59">
        <f t="shared" si="8"/>
        <v>483.85136704506675</v>
      </c>
      <c r="BI38" s="59">
        <f ca="1">AVERAGE(OFFSET($BH$3,0,0,'Données projet'!$E$11+1,1))-AVERAGE(OFFSET($H$3,0,0,'Données projet'!$E$11+1,1))</f>
        <v>403.89478276355294</v>
      </c>
      <c r="BJ38" s="59">
        <f t="shared" si="38"/>
        <v>241.1593989733278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206</v>
      </c>
      <c r="BW38" s="12">
        <f>VLOOKUP(A38,'Données projet'!$A$113:$I$133,9,0)</f>
        <v>12.8</v>
      </c>
      <c r="BX38" s="12">
        <f t="array" ref="BX38">INDEX(BW:BW,MIN(IF(ISNUMBER(BW38:BW234),ROW(BW38:BW234),"")))</f>
        <v>12.8</v>
      </c>
      <c r="BY38" s="12">
        <f>IF('Données projet'!$A$114&gt;35,BY37+BX38-CG37,IF(A38&lt;'Données projet'!$A$114,$BV$205^A38,IF(A38='Données projet'!$A$114,'Données projet'!$B$114,BY37+BX38-CG37)))</f>
        <v>205.99999999999997</v>
      </c>
      <c r="BZ38" s="13">
        <f>BY38*VLOOKUP('Données projet'!$B$12,Paramètres!$A$1:$I$89,3,0)*VLOOKUP('Données projet'!$B$12,Paramètres!$A$1:$I$89,5,0)</f>
        <v>163.89359999999999</v>
      </c>
      <c r="CA38" s="13">
        <f t="shared" si="39"/>
        <v>41.71949506642347</v>
      </c>
      <c r="CB38" s="20">
        <f t="shared" si="10"/>
        <v>358.10947390735419</v>
      </c>
      <c r="CC38" s="59">
        <f t="shared" si="11"/>
        <v>601.76000663192872</v>
      </c>
      <c r="CD38" s="59">
        <f ca="1">AVERAGE(OFFSET($CC$3,0,0,'Données projet'!$E$12+1,1))-AVERAGE(OFFSET($H$3,0,0,'Données projet'!$E$12+1,1))</f>
        <v>377.27600411578322</v>
      </c>
      <c r="CE38" s="59">
        <f t="shared" si="40"/>
        <v>364.58250627635425</v>
      </c>
      <c r="CF38" s="15">
        <f>IF(ISNA(VLOOKUP(A38,'Données projet'!$A$113:$I$133,3,0)),0,VLOOKUP(A38,'Données projet'!$A$113:$I$133,3,0))</f>
        <v>5</v>
      </c>
      <c r="CG38" s="15">
        <f>IF(ISNA(VLOOKUP(A38,'Données projet'!$A$113:$I$133,4,0)),0,VLOOKUP(A38,'Données projet'!$A$113:$I$133,4,0))</f>
        <v>35</v>
      </c>
      <c r="CH38" s="16">
        <f>IF(ISNA(VLOOKUP(A38,'Données projet'!$A$113:$I$133,5,0)),0%,VLOOKUP(A38,'Données projet'!$A$113:$I$133,5,0)*VLOOKUP('Données projet'!$B$12,Paramètres!$A$1:$I$89,7,0))</f>
        <v>0.25969999999999999</v>
      </c>
      <c r="CI38" s="16">
        <f>IF(ISNA(VLOOKUP(A38,'Données projet'!$A$113:$I$133,6,0)),0%,VLOOKUP(A38,'Données projet'!$A$113:$I$133,6,0)*VLOOKUP('Données projet'!$B$12,Paramètres!$A$1:$I$89,7,0))</f>
        <v>0.18020000000000003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11.351206018440198</v>
      </c>
      <c r="CL38" s="21">
        <f>EXP(-LN(2)/25)*CL37+(1-EXP(-LN(2)/25))/(LN(2)/25)*Calculateur!CG38*Calculateur!CI38*VLOOKUP('Données projet'!$B$12,Paramètres!$A$1:$I$89,3,0)*0.475*44/12</f>
        <v>14.762745851612994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26.113951870053192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11.333333333333334</v>
      </c>
      <c r="CT38" s="12">
        <f>IF('Données projet'!$A$140&gt;35,CT37+CS38-DB37,IF(A38&lt;'Données projet'!$A$140,$CQ$205^A38,IF(A38='Données projet'!$A$140,'Données projet'!$B$140,CT37+CS38-DB37)))</f>
        <v>165.33333333333331</v>
      </c>
      <c r="CU38" s="17">
        <f>CT38*VLOOKUP('Données projet'!$B$13,Paramètres!$A$1:$I$89,3,0)*VLOOKUP('Données projet'!$B$13,Paramètres!$A$1:$I$89,5,0)</f>
        <v>128.95999999999998</v>
      </c>
      <c r="CV38" s="13">
        <f t="shared" si="41"/>
        <v>33.755933643031135</v>
      </c>
      <c r="CW38" s="20">
        <f t="shared" si="13"/>
        <v>283.39691776161254</v>
      </c>
      <c r="CX38" s="59">
        <f t="shared" si="14"/>
        <v>527.04745048618702</v>
      </c>
      <c r="CY38" s="59">
        <f ca="1">AVERAGE(OFFSET($CX$3,0,0,'Données projet'!$E$13+1,1))-AVERAGE(OFFSET($H$3,0,0,'Données projet'!$E$13+1,1))</f>
        <v>308.82719216177946</v>
      </c>
      <c r="CZ38" s="59">
        <f t="shared" si="42"/>
        <v>302.59481222418219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3.596632295504663</v>
      </c>
      <c r="DG38" s="21">
        <f>EXP(-LN(2)/25)*DG37+(1-EXP(-LN(2)/25))/(LN(2)/25)*Calculateur!DB38*Calculateur!DD38*VLOOKUP('Données projet'!$B$13,Paramètres!$A$1:$I$89,3,0)*0.475*44/12</f>
        <v>11.451849703621166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15.04848199912583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267</v>
      </c>
      <c r="DM38" s="12">
        <f>VLOOKUP(A38,'Données projet'!$A$165:$I$185,9,0)</f>
        <v>7</v>
      </c>
      <c r="DN38" s="12">
        <f t="array" ref="DN38">INDEX(DM:DM,MIN(IF(ISNUMBER(DM38:DM234),ROW(DM38:DM234),"")))</f>
        <v>7</v>
      </c>
      <c r="DO38" s="12">
        <f>IF('Données projet'!$A$166&gt;35,DO37+DN38-DW37,IF(A38&lt;'Données projet'!$A$166,$DL$205^A38,IF(A38='Données projet'!$A$166,'Données projet'!$B$166,DO37+DN38-DW37)))</f>
        <v>266.99999999999989</v>
      </c>
      <c r="DP38" s="17">
        <f>DO38*VLOOKUP('Données projet'!$B$14,Paramètres!$A$1:$I$89,3,0)*VLOOKUP('Données projet'!$B$14,Paramètres!$A$1:$I$89,5,0)</f>
        <v>241.5815999999999</v>
      </c>
      <c r="DQ38" s="13">
        <f t="shared" si="43"/>
        <v>58.779689232021951</v>
      </c>
      <c r="DR38" s="20">
        <f t="shared" si="16"/>
        <v>523.12924541243797</v>
      </c>
      <c r="DS38" s="59">
        <f t="shared" si="17"/>
        <v>766.7797781370125</v>
      </c>
      <c r="DT38" s="59">
        <f ca="1">AVERAGE(OFFSET($DS$3,0,0,'Données projet'!$E$14+1,1))-AVERAGE(OFFSET($H$3,0,0,'Données projet'!$E$14+1,1))</f>
        <v>376.51107072413777</v>
      </c>
      <c r="DU38" s="59">
        <f t="shared" si="44"/>
        <v>532.90758914457615</v>
      </c>
      <c r="DV38" s="15">
        <f>IF(ISNA(VLOOKUP(A38,'Données projet'!$A$165:$I$185,3,0)),0,VLOOKUP(A38,'Données projet'!$A$165:$I$185,3,0))</f>
        <v>7</v>
      </c>
      <c r="DW38" s="15">
        <f>IF(ISNA(VLOOKUP(A38,'Données projet'!$A$165:$I$185,4,0)),0,VLOOKUP(A38,'Données projet'!$A$165:$I$185,4,0))</f>
        <v>9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0.15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4.3616745292288686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4.3616745292288686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18.055769230769229</v>
      </c>
      <c r="EJ38" s="12">
        <f>IF('Données projet'!$A$192&gt;35,EJ37+EI38-ER37,IF(A38&lt;'Données projet'!$A$192,$EG$205^A38,IF(A38='Données projet'!$A$192,'Données projet'!$B$192,EJ37+EI38-ER37)))</f>
        <v>308.43653846153853</v>
      </c>
      <c r="EK38" s="17">
        <f>EJ38*VLOOKUP('Données projet'!$B$15,Paramètres!$A$1:$I$89,3,0)*VLOOKUP('Données projet'!$B$15,Paramètres!$A$1:$I$89,5,0)</f>
        <v>184.44505000000007</v>
      </c>
      <c r="EL38" s="13">
        <f t="shared" si="45"/>
        <v>46.309719450497106</v>
      </c>
      <c r="EM38" s="20">
        <f t="shared" si="19"/>
        <v>401.89789012628256</v>
      </c>
      <c r="EN38" s="59">
        <f t="shared" si="20"/>
        <v>645.54842285085704</v>
      </c>
      <c r="EO38" s="59">
        <f ca="1">AVERAGE(OFFSET($EN$3,0,0,'Données projet'!$E$15+1,1))-AVERAGE(OFFSET($H$3,0,0,'Données projet'!$E$15+1,1))</f>
        <v>337.99164391755608</v>
      </c>
      <c r="EP38" s="59">
        <f t="shared" si="46"/>
        <v>421.45428231923393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25.017310058226286</v>
      </c>
      <c r="EW38" s="21">
        <f>EXP(-LN(2)/25)*EW37+(1-EXP(-LN(2)/25))/(LN(2)/25)*Calculateur!ER38*Calculateur!ET38*VLOOKUP('Données projet'!$B$15,Paramètres!$A$1:$I$89,3,0)*0.475*44/12</f>
        <v>17.828010246782004</v>
      </c>
      <c r="EX38" s="21">
        <f>EXP(-LN(2)/2)*EX37+(1-EXP(-LN(2)/2))/(LN(2)/2)*ER38*EU38*VLOOKUP('Données projet'!$B$15,Paramètres!$A$1:$I$89,3,0)*0.475*44/12</f>
        <v>2.3190787173303908</v>
      </c>
      <c r="EY38" s="22">
        <f t="shared" si="21"/>
        <v>45.164399022338678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5.3369963369963358</v>
      </c>
      <c r="N39" s="13">
        <f>IF('Données projet'!$A$36&gt;35,N38+M39-V38,IF(A39&lt;'Données projet'!$A$36,$K$205^A39,IF(A39='Données projet'!$A$36,'Données projet'!$B$36,N38+M39-V38)))</f>
        <v>119.72710622710622</v>
      </c>
      <c r="O39" s="13">
        <f>N39*VLOOKUP('Données projet'!$B$9,Paramètres!$A$1:$I$89,3,0)*VLOOKUP('Données projet'!$B$9,Paramètres!$A$1:$I$89,5,0)</f>
        <v>108.32908571428571</v>
      </c>
      <c r="P39" s="13">
        <f t="shared" si="33"/>
        <v>28.936954111534238</v>
      </c>
      <c r="Q39" s="20">
        <f t="shared" si="53"/>
        <v>239.07168602996975</v>
      </c>
      <c r="R39" s="59">
        <f t="shared" si="0"/>
        <v>483.58410427100421</v>
      </c>
      <c r="S39" s="59">
        <f ca="1">AVERAGE(OFFSET($R$3,0,0,'Données projet'!$E$9+1,1))-AVERAGE(OFFSET($H$3,0,0,'Données projet'!$E$9+1,1))</f>
        <v>388.1278150896951</v>
      </c>
      <c r="T39" s="59">
        <f t="shared" si="34"/>
        <v>232.26614607059227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5.3369963369963358</v>
      </c>
      <c r="AI39" s="13">
        <f>IF('Données projet'!$A$62&gt;35,AI38+AH39-AQ38,IF(A39&lt;'Données projet'!$A$62,$AF$205^A39,IF(A39='Données projet'!$A$62,'Données projet'!$B$62,AI38+AH39-AQ38)))</f>
        <v>119.72710622710622</v>
      </c>
      <c r="AJ39" s="13">
        <f>AI39*VLOOKUP('Données projet'!$B$10,Paramètres!$A$1:$I$89,3,0)*VLOOKUP('Données projet'!$B$10,Paramètres!$A$1:$I$89,5,0)</f>
        <v>121.40328571428572</v>
      </c>
      <c r="AK39" s="13">
        <f t="shared" si="35"/>
        <v>32.002070852076919</v>
      </c>
      <c r="AL39" s="20">
        <f t="shared" si="4"/>
        <v>267.18099601974819</v>
      </c>
      <c r="AM39" s="59">
        <f t="shared" si="5"/>
        <v>511.69341426078262</v>
      </c>
      <c r="AN39" s="59">
        <f ca="1">AVERAGE(OFFSET($AM$3,0,0,'Données projet'!$E$10+1,1))-AVERAGE(OFFSET($H$3,0,0,'Données projet'!$E$10+1,1))</f>
        <v>424.89201140676084</v>
      </c>
      <c r="AO39" s="59">
        <f t="shared" si="36"/>
        <v>253.0016648946303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5.3369963369963358</v>
      </c>
      <c r="BD39" s="12">
        <f>IF('Données projet'!$A$88&gt;35,BD38+BC39-BL38,IF(A39&lt;'Données projet'!$A$88,$BA$205^A39,IF(A39='Données projet'!$A$88,'Données projet'!$B$88,BD38+BC39-BL38)))</f>
        <v>119.72710622710622</v>
      </c>
      <c r="BE39" s="13">
        <f>BD39*VLOOKUP('Données projet'!$B$11,Paramètres!$A$1:$I$89,3,0)*VLOOKUP('Données projet'!$B$11,Paramètres!$A$1:$I$89,5,0)</f>
        <v>113.93231428571427</v>
      </c>
      <c r="BF39" s="13">
        <f t="shared" si="37"/>
        <v>30.25556606009021</v>
      </c>
      <c r="BG39" s="20">
        <f t="shared" si="7"/>
        <v>251.12722493560943</v>
      </c>
      <c r="BH39" s="59">
        <f t="shared" si="8"/>
        <v>495.63964317664386</v>
      </c>
      <c r="BI39" s="59">
        <f ca="1">AVERAGE(OFFSET($BH$3,0,0,'Données projet'!$E$11+1,1))-AVERAGE(OFFSET($H$3,0,0,'Données projet'!$E$11+1,1))</f>
        <v>403.89478276355294</v>
      </c>
      <c r="BJ39" s="59">
        <f t="shared" si="38"/>
        <v>241.1593989733278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11.4</v>
      </c>
      <c r="BY39" s="12">
        <f>IF('Données projet'!$A$114&gt;35,BY38+BX39-CG38,IF(A39&lt;'Données projet'!$A$114,$BV$205^A39,IF(A39='Données projet'!$A$114,'Données projet'!$B$114,BY38+BX39-CG38)))</f>
        <v>182.39999999999998</v>
      </c>
      <c r="BZ39" s="13">
        <f>BY39*VLOOKUP('Données projet'!$B$12,Paramètres!$A$1:$I$89,3,0)*VLOOKUP('Données projet'!$B$12,Paramètres!$A$1:$I$89,5,0)</f>
        <v>145.11743999999999</v>
      </c>
      <c r="CA39" s="13">
        <f t="shared" si="39"/>
        <v>37.466878406916173</v>
      </c>
      <c r="CB39" s="20">
        <f t="shared" si="10"/>
        <v>318.00102122537896</v>
      </c>
      <c r="CC39" s="59">
        <f t="shared" si="11"/>
        <v>562.51343946641339</v>
      </c>
      <c r="CD39" s="59">
        <f ca="1">AVERAGE(OFFSET($CC$3,0,0,'Données projet'!$E$12+1,1))-AVERAGE(OFFSET($H$3,0,0,'Données projet'!$E$12+1,1))</f>
        <v>377.27600411578322</v>
      </c>
      <c r="CE39" s="59">
        <f t="shared" si="40"/>
        <v>364.58250627635425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11.128615791970613</v>
      </c>
      <c r="CL39" s="21">
        <f>EXP(-LN(2)/25)*CL38+(1-EXP(-LN(2)/25))/(LN(2)/25)*Calculateur!CG39*Calculateur!CI39*VLOOKUP('Données projet'!$B$12,Paramètres!$A$1:$I$89,3,0)*0.475*44/12</f>
        <v>14.359057789961573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25.487673581932185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11.333333333333334</v>
      </c>
      <c r="CT39" s="12">
        <f>IF('Données projet'!$A$140&gt;35,CT38+CS39-DB38,IF(A39&lt;'Données projet'!$A$140,$CQ$205^A39,IF(A39='Données projet'!$A$140,'Données projet'!$B$140,CT38+CS39-DB38)))</f>
        <v>176.66666666666666</v>
      </c>
      <c r="CU39" s="17">
        <f>CT39*VLOOKUP('Données projet'!$B$13,Paramètres!$A$1:$I$89,3,0)*VLOOKUP('Données projet'!$B$13,Paramètres!$A$1:$I$89,5,0)</f>
        <v>137.80000000000001</v>
      </c>
      <c r="CV39" s="13">
        <f t="shared" si="41"/>
        <v>35.792552736298617</v>
      </c>
      <c r="CW39" s="20">
        <f t="shared" si="13"/>
        <v>302.34036268238674</v>
      </c>
      <c r="CX39" s="59">
        <f t="shared" si="14"/>
        <v>546.85278092342116</v>
      </c>
      <c r="CY39" s="59">
        <f ca="1">AVERAGE(OFFSET($CX$3,0,0,'Données projet'!$E$13+1,1))-AVERAGE(OFFSET($H$3,0,0,'Données projet'!$E$13+1,1))</f>
        <v>308.82719216177946</v>
      </c>
      <c r="CZ39" s="59">
        <f t="shared" si="42"/>
        <v>302.59481222418219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3.526104529918904</v>
      </c>
      <c r="DG39" s="21">
        <f>EXP(-LN(2)/25)*DG38+(1-EXP(-LN(2)/25))/(LN(2)/25)*Calculateur!DB39*Calculateur!DD39*VLOOKUP('Données projet'!$B$13,Paramètres!$A$1:$I$89,3,0)*0.475*44/12</f>
        <v>11.138698271249043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14.664802801167946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6.2</v>
      </c>
      <c r="DO39" s="12">
        <f>IF('Données projet'!$A$166&gt;35,DO38+DN39-DW38,IF(A39&lt;'Données projet'!$A$166,$DL$205^A39,IF(A39='Données projet'!$A$166,'Données projet'!$B$166,DO38+DN39-DW38)))</f>
        <v>264.19999999999987</v>
      </c>
      <c r="DP39" s="17">
        <f>DO39*VLOOKUP('Données projet'!$B$14,Paramètres!$A$1:$I$89,3,0)*VLOOKUP('Données projet'!$B$14,Paramètres!$A$1:$I$89,5,0)</f>
        <v>239.04815999999985</v>
      </c>
      <c r="DQ39" s="13">
        <f t="shared" si="43"/>
        <v>58.234690128947292</v>
      </c>
      <c r="DR39" s="20">
        <f t="shared" si="16"/>
        <v>517.76763064124964</v>
      </c>
      <c r="DS39" s="59">
        <f t="shared" si="17"/>
        <v>762.28004888228406</v>
      </c>
      <c r="DT39" s="59">
        <f ca="1">AVERAGE(OFFSET($DS$3,0,0,'Données projet'!$E$14+1,1))-AVERAGE(OFFSET($H$3,0,0,'Données projet'!$E$14+1,1))</f>
        <v>376.51107072413777</v>
      </c>
      <c r="DU39" s="59">
        <f t="shared" si="44"/>
        <v>532.90758914457615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4.2424043098566102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4.2424043098566102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18.055769230769229</v>
      </c>
      <c r="EJ39" s="12">
        <f>IF('Données projet'!$A$192&gt;35,EJ38+EI39-ER38,IF(A39&lt;'Données projet'!$A$192,$EG$205^A39,IF(A39='Données projet'!$A$192,'Données projet'!$B$192,EJ38+EI39-ER38)))</f>
        <v>326.49230769230775</v>
      </c>
      <c r="EK39" s="17">
        <f>EJ39*VLOOKUP('Données projet'!$B$15,Paramètres!$A$1:$I$89,3,0)*VLOOKUP('Données projet'!$B$15,Paramètres!$A$1:$I$89,5,0)</f>
        <v>195.24240000000006</v>
      </c>
      <c r="EL39" s="13">
        <f t="shared" si="45"/>
        <v>48.697130705157392</v>
      </c>
      <c r="EM39" s="20">
        <f t="shared" si="19"/>
        <v>424.86134931148257</v>
      </c>
      <c r="EN39" s="59">
        <f t="shared" si="20"/>
        <v>669.37376755251694</v>
      </c>
      <c r="EO39" s="59">
        <f ca="1">AVERAGE(OFFSET($EN$3,0,0,'Données projet'!$E$15+1,1))-AVERAGE(OFFSET($H$3,0,0,'Données projet'!$E$15+1,1))</f>
        <v>337.99164391755608</v>
      </c>
      <c r="EP39" s="59">
        <f t="shared" si="46"/>
        <v>421.45428231923393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24.526735867036898</v>
      </c>
      <c r="EW39" s="21">
        <f>EXP(-LN(2)/25)*EW38+(1-EXP(-LN(2)/25))/(LN(2)/25)*Calculateur!ER39*Calculateur!ET39*VLOOKUP('Données projet'!$B$15,Paramètres!$A$1:$I$89,3,0)*0.475*44/12</f>
        <v>17.340502369049439</v>
      </c>
      <c r="EX39" s="21">
        <f>EXP(-LN(2)/2)*EX38+(1-EXP(-LN(2)/2))/(LN(2)/2)*ER39*EU39*VLOOKUP('Données projet'!$B$15,Paramètres!$A$1:$I$89,3,0)*0.475*44/12</f>
        <v>1.6398362871297201</v>
      </c>
      <c r="EY39" s="22">
        <f t="shared" si="21"/>
        <v>43.507074523216055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5.3369963369963358</v>
      </c>
      <c r="N40" s="13">
        <f>IF('Données projet'!$A$36&gt;35,N39+M40-V39,IF(A40&lt;'Données projet'!$A$36,$K$205^A40,IF(A40='Données projet'!$A$36,'Données projet'!$B$36,N39+M40-V39)))</f>
        <v>125.06410256410255</v>
      </c>
      <c r="O40" s="13">
        <f>N40*VLOOKUP('Données projet'!$B$9,Paramètres!$A$1:$I$89,3,0)*VLOOKUP('Données projet'!$B$9,Paramètres!$A$1:$I$89,5,0)</f>
        <v>113.15799999999999</v>
      </c>
      <c r="P40" s="13">
        <f t="shared" si="33"/>
        <v>30.073803878601733</v>
      </c>
      <c r="Q40" s="20">
        <f t="shared" si="53"/>
        <v>249.46205842189795</v>
      </c>
      <c r="R40" s="59">
        <f t="shared" si="0"/>
        <v>494.82141039256908</v>
      </c>
      <c r="S40" s="59">
        <f ca="1">AVERAGE(OFFSET($R$3,0,0,'Données projet'!$E$9+1,1))-AVERAGE(OFFSET($H$3,0,0,'Données projet'!$E$9+1,1))</f>
        <v>388.1278150896951</v>
      </c>
      <c r="T40" s="59">
        <f t="shared" si="34"/>
        <v>232.26614607059227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5.3369963369963358</v>
      </c>
      <c r="AI40" s="13">
        <f>IF('Données projet'!$A$62&gt;35,AI39+AH40-AQ39,IF(A40&lt;'Données projet'!$A$62,$AF$205^A40,IF(A40='Données projet'!$A$62,'Données projet'!$B$62,AI39+AH40-AQ39)))</f>
        <v>125.06410256410255</v>
      </c>
      <c r="AJ40" s="13">
        <f>AI40*VLOOKUP('Données projet'!$B$10,Paramètres!$A$1:$I$89,3,0)*VLOOKUP('Données projet'!$B$10,Paramètres!$A$1:$I$89,5,0)</f>
        <v>126.81499999999998</v>
      </c>
      <c r="AK40" s="13">
        <f t="shared" si="35"/>
        <v>33.259340247246584</v>
      </c>
      <c r="AL40" s="20">
        <f t="shared" si="4"/>
        <v>278.79614259728777</v>
      </c>
      <c r="AM40" s="59">
        <f t="shared" si="5"/>
        <v>524.15549456795884</v>
      </c>
      <c r="AN40" s="59">
        <f ca="1">AVERAGE(OFFSET($AM$3,0,0,'Données projet'!$E$10+1,1))-AVERAGE(OFFSET($H$3,0,0,'Données projet'!$E$10+1,1))</f>
        <v>424.89201140676084</v>
      </c>
      <c r="AO40" s="59">
        <f t="shared" si="36"/>
        <v>253.0016648946303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5.3369963369963358</v>
      </c>
      <c r="BD40" s="12">
        <f>IF('Données projet'!$A$88&gt;35,BD39+BC40-BL39,IF(A40&lt;'Données projet'!$A$88,$BA$205^A40,IF(A40='Données projet'!$A$88,'Données projet'!$B$88,BD39+BC40-BL39)))</f>
        <v>125.06410256410255</v>
      </c>
      <c r="BE40" s="13">
        <f>BD40*VLOOKUP('Données projet'!$B$11,Paramètres!$A$1:$I$89,3,0)*VLOOKUP('Données projet'!$B$11,Paramètres!$A$1:$I$89,5,0)</f>
        <v>119.01100000000001</v>
      </c>
      <c r="BF40" s="13">
        <f t="shared" si="37"/>
        <v>31.44422030114589</v>
      </c>
      <c r="BG40" s="20">
        <f t="shared" si="7"/>
        <v>262.04284202449577</v>
      </c>
      <c r="BH40" s="59">
        <f t="shared" si="8"/>
        <v>507.40219399516684</v>
      </c>
      <c r="BI40" s="59">
        <f ca="1">AVERAGE(OFFSET($BH$3,0,0,'Données projet'!$E$11+1,1))-AVERAGE(OFFSET($H$3,0,0,'Données projet'!$E$11+1,1))</f>
        <v>403.89478276355294</v>
      </c>
      <c r="BJ40" s="59">
        <f t="shared" si="38"/>
        <v>241.1593989733278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11.4</v>
      </c>
      <c r="BY40" s="12">
        <f>IF('Données projet'!$A$114&gt;35,BY39+BX40-CG39,IF(A40&lt;'Données projet'!$A$114,$BV$205^A40,IF(A40='Données projet'!$A$114,'Données projet'!$B$114,BY39+BX40-CG39)))</f>
        <v>193.79999999999998</v>
      </c>
      <c r="BZ40" s="13">
        <f>BY40*VLOOKUP('Données projet'!$B$12,Paramètres!$A$1:$I$89,3,0)*VLOOKUP('Données projet'!$B$12,Paramètres!$A$1:$I$89,5,0)</f>
        <v>154.18727999999999</v>
      </c>
      <c r="CA40" s="13">
        <f t="shared" si="39"/>
        <v>39.528629863903078</v>
      </c>
      <c r="CB40" s="20">
        <f t="shared" si="10"/>
        <v>337.38854301296448</v>
      </c>
      <c r="CC40" s="59">
        <f t="shared" si="11"/>
        <v>582.74789498363555</v>
      </c>
      <c r="CD40" s="59">
        <f ca="1">AVERAGE(OFFSET($CC$3,0,0,'Données projet'!$E$12+1,1))-AVERAGE(OFFSET($H$3,0,0,'Données projet'!$E$12+1,1))</f>
        <v>377.27600411578322</v>
      </c>
      <c r="CE40" s="59">
        <f t="shared" si="40"/>
        <v>364.58250627635425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10.910390424075464</v>
      </c>
      <c r="CL40" s="21">
        <f>EXP(-LN(2)/25)*CL39+(1-EXP(-LN(2)/25))/(LN(2)/25)*Calculateur!CG40*Calculateur!CI40*VLOOKUP('Données projet'!$B$12,Paramètres!$A$1:$I$89,3,0)*0.475*44/12</f>
        <v>13.966408599585042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24.876799023660507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>
        <f>VLOOKUP(A40,'Données projet'!$A$139:$I$159,2,0)</f>
        <v>188</v>
      </c>
      <c r="CR40" s="12">
        <f>VLOOKUP(A40,'Données projet'!$A$139:$I$159,9,0)</f>
        <v>11.333333333333334</v>
      </c>
      <c r="CS40" s="12">
        <f t="array" ref="CS40">INDEX(CR:CR,MIN(IF(ISNUMBER(CR40:CR236),ROW(CR40:CR236),"")))</f>
        <v>11.333333333333334</v>
      </c>
      <c r="CT40" s="12">
        <f>IF('Données projet'!$A$140&gt;35,CT39+CS40-DB39,IF(A40&lt;'Données projet'!$A$140,$CQ$205^A40,IF(A40='Données projet'!$A$140,'Données projet'!$B$140,CT39+CS40-DB39)))</f>
        <v>188</v>
      </c>
      <c r="CU40" s="17">
        <f>CT40*VLOOKUP('Données projet'!$B$13,Paramètres!$A$1:$I$89,3,0)*VLOOKUP('Données projet'!$B$13,Paramètres!$A$1:$I$89,5,0)</f>
        <v>146.64000000000001</v>
      </c>
      <c r="CV40" s="13">
        <f t="shared" si="41"/>
        <v>37.814009712703054</v>
      </c>
      <c r="CW40" s="20">
        <f t="shared" si="13"/>
        <v>321.25740024962448</v>
      </c>
      <c r="CX40" s="59">
        <f t="shared" si="14"/>
        <v>566.61675222029555</v>
      </c>
      <c r="CY40" s="59">
        <f ca="1">AVERAGE(OFFSET($CX$3,0,0,'Données projet'!$E$13+1,1))-AVERAGE(OFFSET($H$3,0,0,'Données projet'!$E$13+1,1))</f>
        <v>308.82719216177946</v>
      </c>
      <c r="CZ40" s="59">
        <f t="shared" si="42"/>
        <v>302.59481222418219</v>
      </c>
      <c r="DA40" s="15">
        <f>IF(ISNA(VLOOKUP(A40,'Données projet'!$A$139:$I$159,3,0)),0,VLOOKUP(A40,'Données projet'!$A$139:$I$159,3,0))</f>
        <v>5</v>
      </c>
      <c r="DB40" s="15">
        <f>IF(ISNA(VLOOKUP(A40,'Données projet'!$A$139:$I$159,4,0)),0,VLOOKUP(A40,'Données projet'!$A$139:$I$159,4,0))</f>
        <v>36</v>
      </c>
      <c r="DC40" s="16">
        <f>IF(ISNA(VLOOKUP(A40,'Données projet'!$A$139:$I$159,5,0)),0%,VLOOKUP(A40,'Données projet'!$A$139:$I$159,5,0)*VLOOKUP('Données projet'!$B$13,Paramètres!$A$1:$I$89,7,0))</f>
        <v>0.129</v>
      </c>
      <c r="DD40" s="16">
        <f>IF(ISNA(VLOOKUP(A40,'Données projet'!$A$139:$I$159,6,0)),0%,VLOOKUP(A40,'Données projet'!$A$139:$I$159,6,0)*VLOOKUP('Données projet'!$B$13,Paramètres!$A$1:$I$89,7,0))</f>
        <v>0.17200000000000001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7.4613272359883887</v>
      </c>
      <c r="DG40" s="21">
        <f>EXP(-LN(2)/25)*DG39+(1-EXP(-LN(2)/25))/(LN(2)/25)*Calculateur!DB40*Calculateur!DD40*VLOOKUP('Données projet'!$B$13,Paramètres!$A$1:$I$89,3,0)*0.475*44/12</f>
        <v>16.152244307524015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23.613571543512403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6.2</v>
      </c>
      <c r="DO40" s="12">
        <f>IF('Données projet'!$A$166&gt;35,DO39+DN40-DW39,IF(A40&lt;'Données projet'!$A$166,$DL$205^A40,IF(A40='Données projet'!$A$166,'Données projet'!$B$166,DO39+DN40-DW39)))</f>
        <v>270.39999999999986</v>
      </c>
      <c r="DP40" s="17">
        <f>DO40*VLOOKUP('Données projet'!$B$14,Paramètres!$A$1:$I$89,3,0)*VLOOKUP('Données projet'!$B$14,Paramètres!$A$1:$I$89,5,0)</f>
        <v>244.65791999999988</v>
      </c>
      <c r="DQ40" s="13">
        <f t="shared" si="43"/>
        <v>59.44058075210863</v>
      </c>
      <c r="DR40" s="20">
        <f t="shared" si="16"/>
        <v>529.63822214325558</v>
      </c>
      <c r="DS40" s="59">
        <f t="shared" si="17"/>
        <v>774.9975741139267</v>
      </c>
      <c r="DT40" s="59">
        <f ca="1">AVERAGE(OFFSET($DS$3,0,0,'Données projet'!$E$14+1,1))-AVERAGE(OFFSET($H$3,0,0,'Données projet'!$E$14+1,1))</f>
        <v>376.51107072413777</v>
      </c>
      <c r="DU40" s="59">
        <f t="shared" si="44"/>
        <v>532.90758914457615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4.1263955409052349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4.1263955409052349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18.055769230769229</v>
      </c>
      <c r="EJ40" s="12">
        <f>IF('Données projet'!$A$192&gt;35,EJ39+EI40-ER39,IF(A40&lt;'Données projet'!$A$192,$EG$205^A40,IF(A40='Données projet'!$A$192,'Données projet'!$B$192,EJ39+EI40-ER39)))</f>
        <v>344.54807692307696</v>
      </c>
      <c r="EK40" s="17">
        <f>EJ40*VLOOKUP('Données projet'!$B$15,Paramètres!$A$1:$I$89,3,0)*VLOOKUP('Données projet'!$B$15,Paramètres!$A$1:$I$89,5,0)</f>
        <v>206.03975000000003</v>
      </c>
      <c r="EL40" s="13">
        <f t="shared" si="45"/>
        <v>51.069214862008621</v>
      </c>
      <c r="EM40" s="20">
        <f t="shared" si="19"/>
        <v>447.79811380133168</v>
      </c>
      <c r="EN40" s="59">
        <f t="shared" si="20"/>
        <v>693.15746577200275</v>
      </c>
      <c r="EO40" s="59">
        <f ca="1">AVERAGE(OFFSET($EN$3,0,0,'Données projet'!$E$15+1,1))-AVERAGE(OFFSET($H$3,0,0,'Données projet'!$E$15+1,1))</f>
        <v>337.99164391755608</v>
      </c>
      <c r="EP40" s="59">
        <f t="shared" si="46"/>
        <v>421.45428231923393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24.045781536516021</v>
      </c>
      <c r="EW40" s="21">
        <f>EXP(-LN(2)/25)*EW39+(1-EXP(-LN(2)/25))/(LN(2)/25)*Calculateur!ER40*Calculateur!ET40*VLOOKUP('Données projet'!$B$15,Paramètres!$A$1:$I$89,3,0)*0.475*44/12</f>
        <v>16.866325419870396</v>
      </c>
      <c r="EX40" s="21">
        <f>EXP(-LN(2)/2)*EX39+(1-EXP(-LN(2)/2))/(LN(2)/2)*ER40*EU40*VLOOKUP('Données projet'!$B$15,Paramètres!$A$1:$I$89,3,0)*0.475*44/12</f>
        <v>1.1595393586651956</v>
      </c>
      <c r="EY40" s="22">
        <f t="shared" si="21"/>
        <v>42.071646315051609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5.3369963369963358</v>
      </c>
      <c r="N41" s="13">
        <f>IF('Données projet'!$A$36&gt;35,N40+M41-V40,IF(A41&lt;'Données projet'!$A$36,$K$205^A41,IF(A41='Données projet'!$A$36,'Données projet'!$B$36,N40+M41-V40)))</f>
        <v>130.40109890109889</v>
      </c>
      <c r="O41" s="13">
        <f>N41*VLOOKUP('Données projet'!$B$9,Paramètres!$A$1:$I$89,3,0)*VLOOKUP('Données projet'!$B$9,Paramètres!$A$1:$I$89,5,0)</f>
        <v>117.98691428571428</v>
      </c>
      <c r="P41" s="13">
        <f t="shared" si="33"/>
        <v>31.205018808985951</v>
      </c>
      <c r="Q41" s="20">
        <f t="shared" si="53"/>
        <v>259.8426168066029</v>
      </c>
      <c r="R41" s="59">
        <f t="shared" si="0"/>
        <v>506.03421010016166</v>
      </c>
      <c r="S41" s="59">
        <f ca="1">AVERAGE(OFFSET($R$3,0,0,'Données projet'!$E$9+1,1))-AVERAGE(OFFSET($H$3,0,0,'Données projet'!$E$9+1,1))</f>
        <v>388.1278150896951</v>
      </c>
      <c r="T41" s="59">
        <f t="shared" si="34"/>
        <v>232.26614607059227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5.3369963369963358</v>
      </c>
      <c r="AI41" s="13">
        <f>IF('Données projet'!$A$62&gt;35,AI40+AH41-AQ40,IF(A41&lt;'Données projet'!$A$62,$AF$205^A41,IF(A41='Données projet'!$A$62,'Données projet'!$B$62,AI40+AH41-AQ40)))</f>
        <v>130.40109890109889</v>
      </c>
      <c r="AJ41" s="13">
        <f>AI41*VLOOKUP('Données projet'!$B$10,Paramètres!$A$1:$I$89,3,0)*VLOOKUP('Données projet'!$B$10,Paramètres!$A$1:$I$89,5,0)</f>
        <v>132.22671428571428</v>
      </c>
      <c r="AK41" s="13">
        <f t="shared" si="35"/>
        <v>34.510377941523238</v>
      </c>
      <c r="AL41" s="20">
        <f t="shared" si="4"/>
        <v>290.4004356291054</v>
      </c>
      <c r="AM41" s="59">
        <f t="shared" si="5"/>
        <v>536.5920289226641</v>
      </c>
      <c r="AN41" s="59">
        <f ca="1">AVERAGE(OFFSET($AM$3,0,0,'Données projet'!$E$10+1,1))-AVERAGE(OFFSET($H$3,0,0,'Données projet'!$E$10+1,1))</f>
        <v>424.89201140676084</v>
      </c>
      <c r="AO41" s="59">
        <f t="shared" si="36"/>
        <v>253.0016648946303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5.3369963369963358</v>
      </c>
      <c r="BD41" s="12">
        <f>IF('Données projet'!$A$88&gt;35,BD40+BC41-BL40,IF(A41&lt;'Données projet'!$A$88,$BA$205^A41,IF(A41='Données projet'!$A$88,'Données projet'!$B$88,BD40+BC41-BL40)))</f>
        <v>130.40109890109889</v>
      </c>
      <c r="BE41" s="13">
        <f>BD41*VLOOKUP('Données projet'!$B$11,Paramètres!$A$1:$I$89,3,0)*VLOOKUP('Données projet'!$B$11,Paramètres!$A$1:$I$89,5,0)</f>
        <v>124.08968571428571</v>
      </c>
      <c r="BF41" s="13">
        <f t="shared" si="37"/>
        <v>32.626982934783221</v>
      </c>
      <c r="BG41" s="20">
        <f t="shared" si="7"/>
        <v>272.94819789712841</v>
      </c>
      <c r="BH41" s="59">
        <f t="shared" si="8"/>
        <v>519.13979119068711</v>
      </c>
      <c r="BI41" s="59">
        <f ca="1">AVERAGE(OFFSET($BH$3,0,0,'Données projet'!$E$11+1,1))-AVERAGE(OFFSET($H$3,0,0,'Données projet'!$E$11+1,1))</f>
        <v>403.89478276355294</v>
      </c>
      <c r="BJ41" s="59">
        <f t="shared" si="38"/>
        <v>241.1593989733278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11.4</v>
      </c>
      <c r="BY41" s="12">
        <f>IF('Données projet'!$A$114&gt;35,BY40+BX41-CG40,IF(A41&lt;'Données projet'!$A$114,$BV$205^A41,IF(A41='Données projet'!$A$114,'Données projet'!$B$114,BY40+BX41-CG40)))</f>
        <v>205.2</v>
      </c>
      <c r="BZ41" s="13">
        <f>BY41*VLOOKUP('Données projet'!$B$12,Paramètres!$A$1:$I$89,3,0)*VLOOKUP('Données projet'!$B$12,Paramètres!$A$1:$I$89,5,0)</f>
        <v>163.25712000000001</v>
      </c>
      <c r="CA41" s="13">
        <f t="shared" si="39"/>
        <v>41.576304038313076</v>
      </c>
      <c r="CB41" s="20">
        <f t="shared" si="10"/>
        <v>356.75154686672863</v>
      </c>
      <c r="CC41" s="59">
        <f t="shared" si="11"/>
        <v>602.94314016028738</v>
      </c>
      <c r="CD41" s="59">
        <f ca="1">AVERAGE(OFFSET($CC$3,0,0,'Données projet'!$E$12+1,1))-AVERAGE(OFFSET($H$3,0,0,'Données projet'!$E$12+1,1))</f>
        <v>377.27600411578322</v>
      </c>
      <c r="CE41" s="59">
        <f t="shared" si="40"/>
        <v>364.58250627635425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10.696444322540408</v>
      </c>
      <c r="CL41" s="21">
        <f>EXP(-LN(2)/25)*CL40+(1-EXP(-LN(2)/25))/(LN(2)/25)*Calculateur!CG41*Calculateur!CI41*VLOOKUP('Données projet'!$B$12,Paramètres!$A$1:$I$89,3,0)*0.475*44/12</f>
        <v>13.584496421967883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24.280940744508293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11.142857142857142</v>
      </c>
      <c r="CT41" s="12">
        <f>IF('Données projet'!$A$140&gt;35,CT40+CS41-DB40,IF(A41&lt;'Données projet'!$A$140,$CQ$205^A41,IF(A41='Données projet'!$A$140,'Données projet'!$B$140,CT40+CS41-DB40)))</f>
        <v>163.14285714285714</v>
      </c>
      <c r="CU41" s="17">
        <f>CT41*VLOOKUP('Données projet'!$B$13,Paramètres!$A$1:$I$89,3,0)*VLOOKUP('Données projet'!$B$13,Paramètres!$A$1:$I$89,5,0)</f>
        <v>127.25142857142858</v>
      </c>
      <c r="CV41" s="13">
        <f t="shared" si="41"/>
        <v>33.360457439554281</v>
      </c>
      <c r="CW41" s="20">
        <f t="shared" si="13"/>
        <v>279.73236813579513</v>
      </c>
      <c r="CX41" s="59">
        <f t="shared" si="14"/>
        <v>525.92396142935388</v>
      </c>
      <c r="CY41" s="59">
        <f ca="1">AVERAGE(OFFSET($CX$3,0,0,'Données projet'!$E$13+1,1))-AVERAGE(OFFSET($H$3,0,0,'Données projet'!$E$13+1,1))</f>
        <v>308.82719216177946</v>
      </c>
      <c r="CZ41" s="59">
        <f t="shared" si="42"/>
        <v>302.59481222418219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7.3150151598509003</v>
      </c>
      <c r="DG41" s="21">
        <f>EXP(-LN(2)/25)*DG40+(1-EXP(-LN(2)/25))/(LN(2)/25)*Calculateur!DB41*Calculateur!DD41*VLOOKUP('Données projet'!$B$13,Paramètres!$A$1:$I$89,3,0)*0.475*44/12</f>
        <v>15.710560337525159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23.02557549737606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6.2</v>
      </c>
      <c r="DO41" s="12">
        <f>IF('Données projet'!$A$166&gt;35,DO40+DN41-DW40,IF(A41&lt;'Données projet'!$A$166,$DL$205^A41,IF(A41='Données projet'!$A$166,'Données projet'!$B$166,DO40+DN41-DW40)))</f>
        <v>276.59999999999985</v>
      </c>
      <c r="DP41" s="17">
        <f>DO41*VLOOKUP('Données projet'!$B$14,Paramètres!$A$1:$I$89,3,0)*VLOOKUP('Données projet'!$B$14,Paramètres!$A$1:$I$89,5,0)</f>
        <v>250.26767999999987</v>
      </c>
      <c r="DQ41" s="13">
        <f t="shared" si="43"/>
        <v>60.643256925083385</v>
      </c>
      <c r="DR41" s="20">
        <f t="shared" si="16"/>
        <v>541.50321514451991</v>
      </c>
      <c r="DS41" s="59">
        <f t="shared" si="17"/>
        <v>787.69480843807867</v>
      </c>
      <c r="DT41" s="59">
        <f ca="1">AVERAGE(OFFSET($DS$3,0,0,'Données projet'!$E$14+1,1))-AVERAGE(OFFSET($H$3,0,0,'Données projet'!$E$14+1,1))</f>
        <v>376.51107072413777</v>
      </c>
      <c r="DU41" s="59">
        <f t="shared" si="44"/>
        <v>532.90758914457615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4.0135590378414703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4.0135590378414703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18.055769230769229</v>
      </c>
      <c r="EJ41" s="12">
        <f>IF('Données projet'!$A$192&gt;35,EJ40+EI41-ER40,IF(A41&lt;'Données projet'!$A$192,$EG$205^A41,IF(A41='Données projet'!$A$192,'Données projet'!$B$192,EJ40+EI41-ER40)))</f>
        <v>362.60384615384618</v>
      </c>
      <c r="EK41" s="17">
        <f>EJ41*VLOOKUP('Données projet'!$B$15,Paramètres!$A$1:$I$89,3,0)*VLOOKUP('Données projet'!$B$15,Paramètres!$A$1:$I$89,5,0)</f>
        <v>216.83710000000005</v>
      </c>
      <c r="EL41" s="13">
        <f t="shared" si="45"/>
        <v>53.426866729052094</v>
      </c>
      <c r="EM41" s="20">
        <f t="shared" si="19"/>
        <v>470.70974205309909</v>
      </c>
      <c r="EN41" s="59">
        <f t="shared" si="20"/>
        <v>716.90133534665779</v>
      </c>
      <c r="EO41" s="59">
        <f ca="1">AVERAGE(OFFSET($EN$3,0,0,'Données projet'!$E$15+1,1))-AVERAGE(OFFSET($H$3,0,0,'Données projet'!$E$15+1,1))</f>
        <v>337.99164391755608</v>
      </c>
      <c r="EP41" s="59">
        <f t="shared" si="46"/>
        <v>421.45428231923393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23.574258427063484</v>
      </c>
      <c r="EW41" s="21">
        <f>EXP(-LN(2)/25)*EW40+(1-EXP(-LN(2)/25))/(LN(2)/25)*Calculateur!ER41*Calculateur!ET41*VLOOKUP('Données projet'!$B$15,Paramètres!$A$1:$I$89,3,0)*0.475*44/12</f>
        <v>16.405114864302536</v>
      </c>
      <c r="EX41" s="21">
        <f>EXP(-LN(2)/2)*EX40+(1-EXP(-LN(2)/2))/(LN(2)/2)*ER41*EU41*VLOOKUP('Données projet'!$B$15,Paramètres!$A$1:$I$89,3,0)*0.475*44/12</f>
        <v>0.81991814356486015</v>
      </c>
      <c r="EY41" s="22">
        <f t="shared" si="21"/>
        <v>40.799291434930879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5.3369963369963358</v>
      </c>
      <c r="N42" s="13">
        <f>IF('Données projet'!$A$36&gt;35,N41+M42-V41,IF(A42&lt;'Données projet'!$A$36,$K$205^A42,IF(A42='Données projet'!$A$36,'Données projet'!$B$36,N41+M42-V41)))</f>
        <v>135.73809523809524</v>
      </c>
      <c r="O42" s="13">
        <f>N42*VLOOKUP('Données projet'!$B$9,Paramètres!$A$1:$I$89,3,0)*VLOOKUP('Données projet'!$B$9,Paramètres!$A$1:$I$89,5,0)</f>
        <v>122.81582857142857</v>
      </c>
      <c r="P42" s="13">
        <f t="shared" si="33"/>
        <v>32.330855900842984</v>
      </c>
      <c r="Q42" s="20">
        <f t="shared" si="53"/>
        <v>270.21380878920627</v>
      </c>
      <c r="R42" s="59">
        <f t="shared" si="0"/>
        <v>517.22320587931335</v>
      </c>
      <c r="S42" s="59">
        <f ca="1">AVERAGE(OFFSET($R$3,0,0,'Données projet'!$E$9+1,1))-AVERAGE(OFFSET($H$3,0,0,'Données projet'!$E$9+1,1))</f>
        <v>388.1278150896951</v>
      </c>
      <c r="T42" s="59">
        <f t="shared" si="34"/>
        <v>232.26614607059227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5.3369963369963358</v>
      </c>
      <c r="AI42" s="13">
        <f>IF('Données projet'!$A$62&gt;35,AI41+AH42-AQ41,IF(A42&lt;'Données projet'!$A$62,$AF$205^A42,IF(A42='Données projet'!$A$62,'Données projet'!$B$62,AI41+AH42-AQ41)))</f>
        <v>135.73809523809524</v>
      </c>
      <c r="AJ42" s="13">
        <f>AI42*VLOOKUP('Données projet'!$B$10,Paramètres!$A$1:$I$89,3,0)*VLOOKUP('Données projet'!$B$10,Paramètres!$A$1:$I$89,5,0)</f>
        <v>137.63842857142859</v>
      </c>
      <c r="AK42" s="13">
        <f t="shared" si="35"/>
        <v>35.755468155325104</v>
      </c>
      <c r="AL42" s="20">
        <f t="shared" si="4"/>
        <v>301.99437013242931</v>
      </c>
      <c r="AM42" s="59">
        <f t="shared" si="5"/>
        <v>549.00376722253645</v>
      </c>
      <c r="AN42" s="59">
        <f ca="1">AVERAGE(OFFSET($AM$3,0,0,'Données projet'!$E$10+1,1))-AVERAGE(OFFSET($H$3,0,0,'Données projet'!$E$10+1,1))</f>
        <v>424.89201140676084</v>
      </c>
      <c r="AO42" s="59">
        <f t="shared" si="36"/>
        <v>253.0016648946303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5.3369963369963358</v>
      </c>
      <c r="BD42" s="12">
        <f>IF('Données projet'!$A$88&gt;35,BD41+BC42-BL41,IF(A42&lt;'Données projet'!$A$88,$BA$205^A42,IF(A42='Données projet'!$A$88,'Données projet'!$B$88,BD41+BC42-BL41)))</f>
        <v>135.73809523809524</v>
      </c>
      <c r="BE42" s="13">
        <f>BD42*VLOOKUP('Données projet'!$B$11,Paramètres!$A$1:$I$89,3,0)*VLOOKUP('Données projet'!$B$11,Paramètres!$A$1:$I$89,5,0)</f>
        <v>129.16837142857145</v>
      </c>
      <c r="BF42" s="13">
        <f t="shared" si="37"/>
        <v>33.804122670164084</v>
      </c>
      <c r="BG42" s="20">
        <f t="shared" si="7"/>
        <v>283.84376055529771</v>
      </c>
      <c r="BH42" s="59">
        <f t="shared" si="8"/>
        <v>530.85315764540485</v>
      </c>
      <c r="BI42" s="59">
        <f ca="1">AVERAGE(OFFSET($BH$3,0,0,'Données projet'!$E$11+1,1))-AVERAGE(OFFSET($H$3,0,0,'Données projet'!$E$11+1,1))</f>
        <v>403.89478276355294</v>
      </c>
      <c r="BJ42" s="59">
        <f t="shared" si="38"/>
        <v>241.1593989733278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11.4</v>
      </c>
      <c r="BY42" s="12">
        <f>IF('Données projet'!$A$114&gt;35,BY41+BX42-CG41,IF(A42&lt;'Données projet'!$A$114,$BV$205^A42,IF(A42='Données projet'!$A$114,'Données projet'!$B$114,BY41+BX42-CG41)))</f>
        <v>216.6</v>
      </c>
      <c r="BZ42" s="13">
        <f>BY42*VLOOKUP('Données projet'!$B$12,Paramètres!$A$1:$I$89,3,0)*VLOOKUP('Données projet'!$B$12,Paramètres!$A$1:$I$89,5,0)</f>
        <v>172.32695999999999</v>
      </c>
      <c r="CA42" s="13">
        <f t="shared" si="39"/>
        <v>43.61077213808133</v>
      </c>
      <c r="CB42" s="20">
        <f t="shared" si="10"/>
        <v>376.09155014049156</v>
      </c>
      <c r="CC42" s="59">
        <f t="shared" si="11"/>
        <v>623.10094723059865</v>
      </c>
      <c r="CD42" s="59">
        <f ca="1">AVERAGE(OFFSET($CC$3,0,0,'Données projet'!$E$12+1,1))-AVERAGE(OFFSET($H$3,0,0,'Données projet'!$E$12+1,1))</f>
        <v>377.27600411578322</v>
      </c>
      <c r="CE42" s="59">
        <f t="shared" si="40"/>
        <v>364.58250627635425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10.486693573562217</v>
      </c>
      <c r="CL42" s="21">
        <f>EXP(-LN(2)/25)*CL41+(1-EXP(-LN(2)/25))/(LN(2)/25)*Calculateur!CG42*Calculateur!CI42*VLOOKUP('Données projet'!$B$12,Paramètres!$A$1:$I$89,3,0)*0.475*44/12</f>
        <v>13.213027652931551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23.699721226493768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11.142857142857142</v>
      </c>
      <c r="CT42" s="12">
        <f>IF('Données projet'!$A$140&gt;35,CT41+CS42-DB41,IF(A42&lt;'Données projet'!$A$140,$CQ$205^A42,IF(A42='Données projet'!$A$140,'Données projet'!$B$140,CT41+CS42-DB41)))</f>
        <v>174.28571428571428</v>
      </c>
      <c r="CU42" s="17">
        <f>CT42*VLOOKUP('Données projet'!$B$13,Paramètres!$A$1:$I$89,3,0)*VLOOKUP('Données projet'!$B$13,Paramètres!$A$1:$I$89,5,0)</f>
        <v>135.94285714285715</v>
      </c>
      <c r="CV42" s="13">
        <f t="shared" si="41"/>
        <v>35.365986273808367</v>
      </c>
      <c r="CW42" s="20">
        <f t="shared" si="13"/>
        <v>298.36290228402578</v>
      </c>
      <c r="CX42" s="59">
        <f t="shared" si="14"/>
        <v>545.37229937413292</v>
      </c>
      <c r="CY42" s="59">
        <f ca="1">AVERAGE(OFFSET($CX$3,0,0,'Données projet'!$E$13+1,1))-AVERAGE(OFFSET($H$3,0,0,'Données projet'!$E$13+1,1))</f>
        <v>308.82719216177946</v>
      </c>
      <c r="CZ42" s="59">
        <f t="shared" si="42"/>
        <v>302.59481222418219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7.1715721742849139</v>
      </c>
      <c r="DG42" s="21">
        <f>EXP(-LN(2)/25)*DG41+(1-EXP(-LN(2)/25))/(LN(2)/25)*Calculateur!DB42*Calculateur!DD42*VLOOKUP('Données projet'!$B$13,Paramètres!$A$1:$I$89,3,0)*0.475*44/12</f>
        <v>15.280954238913072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22.452526413197987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6.2</v>
      </c>
      <c r="DO42" s="12">
        <f>IF('Données projet'!$A$166&gt;35,DO41+DN42-DW41,IF(A42&lt;'Données projet'!$A$166,$DL$205^A42,IF(A42='Données projet'!$A$166,'Données projet'!$B$166,DO41+DN42-DW41)))</f>
        <v>282.79999999999984</v>
      </c>
      <c r="DP42" s="17">
        <f>DO42*VLOOKUP('Données projet'!$B$14,Paramètres!$A$1:$I$89,3,0)*VLOOKUP('Données projet'!$B$14,Paramètres!$A$1:$I$89,5,0)</f>
        <v>255.87743999999984</v>
      </c>
      <c r="DQ42" s="13">
        <f t="shared" si="43"/>
        <v>61.842798995505277</v>
      </c>
      <c r="DR42" s="20">
        <f t="shared" si="16"/>
        <v>553.36274958383808</v>
      </c>
      <c r="DS42" s="59">
        <f t="shared" si="17"/>
        <v>800.37214667394517</v>
      </c>
      <c r="DT42" s="59">
        <f ca="1">AVERAGE(OFFSET($DS$3,0,0,'Données projet'!$E$14+1,1))-AVERAGE(OFFSET($H$3,0,0,'Données projet'!$E$14+1,1))</f>
        <v>376.51107072413777</v>
      </c>
      <c r="DU42" s="59">
        <f t="shared" si="44"/>
        <v>532.90758914457615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3.9038080548877985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3.9038080548877985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18.055769230769229</v>
      </c>
      <c r="EJ42" s="12">
        <f>IF('Données projet'!$A$192&gt;35,EJ41+EI42-ER41,IF(A42&lt;'Données projet'!$A$192,$EG$205^A42,IF(A42='Données projet'!$A$192,'Données projet'!$B$192,EJ41+EI42-ER41)))</f>
        <v>380.65961538461539</v>
      </c>
      <c r="EK42" s="17">
        <f>EJ42*VLOOKUP('Données projet'!$B$15,Paramètres!$A$1:$I$89,3,0)*VLOOKUP('Données projet'!$B$15,Paramètres!$A$1:$I$89,5,0)</f>
        <v>227.63445000000002</v>
      </c>
      <c r="EL42" s="13">
        <f t="shared" si="45"/>
        <v>55.770886966725193</v>
      </c>
      <c r="EM42" s="20">
        <f t="shared" si="19"/>
        <v>493.59762855037974</v>
      </c>
      <c r="EN42" s="59">
        <f t="shared" si="20"/>
        <v>740.60702564048688</v>
      </c>
      <c r="EO42" s="59">
        <f ca="1">AVERAGE(OFFSET($EN$3,0,0,'Données projet'!$E$15+1,1))-AVERAGE(OFFSET($H$3,0,0,'Données projet'!$E$15+1,1))</f>
        <v>337.99164391755608</v>
      </c>
      <c r="EP42" s="59">
        <f t="shared" si="46"/>
        <v>421.45428231923393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23.111981598186613</v>
      </c>
      <c r="EW42" s="21">
        <f>EXP(-LN(2)/25)*EW41+(1-EXP(-LN(2)/25))/(LN(2)/25)*Calculateur!ER42*Calculateur!ET42*VLOOKUP('Données projet'!$B$15,Paramètres!$A$1:$I$89,3,0)*0.475*44/12</f>
        <v>15.956516135630688</v>
      </c>
      <c r="EX42" s="21">
        <f>EXP(-LN(2)/2)*EX41+(1-EXP(-LN(2)/2))/(LN(2)/2)*ER42*EU42*VLOOKUP('Données projet'!$B$15,Paramètres!$A$1:$I$89,3,0)*0.475*44/12</f>
        <v>0.57976967933259782</v>
      </c>
      <c r="EY42" s="22">
        <f t="shared" si="21"/>
        <v>39.648267413149902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5.3369963369963358</v>
      </c>
      <c r="N43" s="13">
        <f>IF('Données projet'!$A$36&gt;35,N42+M43-V42,IF(A43&lt;'Données projet'!$A$36,$K$205^A43,IF(A43='Données projet'!$A$36,'Données projet'!$B$36,N42+M43-V42)))</f>
        <v>141.07509157509156</v>
      </c>
      <c r="O43" s="13">
        <f>N43*VLOOKUP('Données projet'!$B$9,Paramètres!$A$1:$I$89,3,0)*VLOOKUP('Données projet'!$B$9,Paramètres!$A$1:$I$89,5,0)</f>
        <v>127.64474285714284</v>
      </c>
      <c r="P43" s="13">
        <f t="shared" si="33"/>
        <v>33.451550798682433</v>
      </c>
      <c r="Q43" s="20">
        <f t="shared" si="53"/>
        <v>280.57604478389567</v>
      </c>
      <c r="R43" s="59">
        <f t="shared" si="0"/>
        <v>528.38905860301645</v>
      </c>
      <c r="S43" s="59">
        <f ca="1">AVERAGE(OFFSET($R$3,0,0,'Données projet'!$E$9+1,1))-AVERAGE(OFFSET($H$3,0,0,'Données projet'!$E$9+1,1))</f>
        <v>388.1278150896951</v>
      </c>
      <c r="T43" s="59">
        <f t="shared" si="34"/>
        <v>232.26614607059227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5.3369963369963358</v>
      </c>
      <c r="AI43" s="13">
        <f>IF('Données projet'!$A$62&gt;35,AI42+AH43-AQ42,IF(A43&lt;'Données projet'!$A$62,$AF$205^A43,IF(A43='Données projet'!$A$62,'Données projet'!$B$62,AI42+AH43-AQ42)))</f>
        <v>141.07509157509156</v>
      </c>
      <c r="AJ43" s="13">
        <f>AI43*VLOOKUP('Données projet'!$B$10,Paramètres!$A$1:$I$89,3,0)*VLOOKUP('Données projet'!$B$10,Paramètres!$A$1:$I$89,5,0)</f>
        <v>143.05014285714284</v>
      </c>
      <c r="AK43" s="13">
        <f t="shared" si="35"/>
        <v>36.994871493561163</v>
      </c>
      <c r="AL43" s="20">
        <f t="shared" si="4"/>
        <v>313.57839999414279</v>
      </c>
      <c r="AM43" s="59">
        <f t="shared" si="5"/>
        <v>561.39141381326363</v>
      </c>
      <c r="AN43" s="59">
        <f ca="1">AVERAGE(OFFSET($AM$3,0,0,'Données projet'!$E$10+1,1))-AVERAGE(OFFSET($H$3,0,0,'Données projet'!$E$10+1,1))</f>
        <v>424.89201140676084</v>
      </c>
      <c r="AO43" s="59">
        <f t="shared" si="36"/>
        <v>253.0016648946303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5.3369963369963358</v>
      </c>
      <c r="BD43" s="12">
        <f>IF('Données projet'!$A$88&gt;35,BD42+BC43-BL42,IF(A43&lt;'Données projet'!$A$88,$BA$205^A43,IF(A43='Données projet'!$A$88,'Données projet'!$B$88,BD42+BC43-BL42)))</f>
        <v>141.07509157509156</v>
      </c>
      <c r="BE43" s="13">
        <f>BD43*VLOOKUP('Données projet'!$B$11,Paramètres!$A$1:$I$89,3,0)*VLOOKUP('Données projet'!$B$11,Paramètres!$A$1:$I$89,5,0)</f>
        <v>134.24705714285713</v>
      </c>
      <c r="BF43" s="13">
        <f t="shared" si="37"/>
        <v>34.97588588975163</v>
      </c>
      <c r="BG43" s="20">
        <f t="shared" si="7"/>
        <v>294.72995911512686</v>
      </c>
      <c r="BH43" s="59">
        <f t="shared" si="8"/>
        <v>542.5429729342477</v>
      </c>
      <c r="BI43" s="59">
        <f ca="1">AVERAGE(OFFSET($BH$3,0,0,'Données projet'!$E$11+1,1))-AVERAGE(OFFSET($H$3,0,0,'Données projet'!$E$11+1,1))</f>
        <v>403.89478276355294</v>
      </c>
      <c r="BJ43" s="59">
        <f t="shared" si="38"/>
        <v>241.1593989733278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228</v>
      </c>
      <c r="BW43" s="12">
        <f>VLOOKUP(A43,'Données projet'!$A$113:$I$133,9,0)</f>
        <v>11.4</v>
      </c>
      <c r="BX43" s="12">
        <f t="array" ref="BX43">INDEX(BW:BW,MIN(IF(ISNUMBER(BW43:BW239),ROW(BW43:BW239),"")))</f>
        <v>11.4</v>
      </c>
      <c r="BY43" s="12">
        <f>IF('Données projet'!$A$114&gt;35,BY42+BX43-CG42,IF(A43&lt;'Données projet'!$A$114,$BV$205^A43,IF(A43='Données projet'!$A$114,'Données projet'!$B$114,BY42+BX43-CG42)))</f>
        <v>228</v>
      </c>
      <c r="BZ43" s="13">
        <f>BY43*VLOOKUP('Données projet'!$B$12,Paramètres!$A$1:$I$89,3,0)*VLOOKUP('Données projet'!$B$12,Paramètres!$A$1:$I$89,5,0)</f>
        <v>181.39680000000001</v>
      </c>
      <c r="CA43" s="13">
        <f t="shared" si="39"/>
        <v>45.63280848550832</v>
      </c>
      <c r="CB43" s="20">
        <f t="shared" si="10"/>
        <v>395.40990144559368</v>
      </c>
      <c r="CC43" s="59">
        <f t="shared" si="11"/>
        <v>643.22291526471452</v>
      </c>
      <c r="CD43" s="59">
        <f ca="1">AVERAGE(OFFSET($CC$3,0,0,'Données projet'!$E$12+1,1))-AVERAGE(OFFSET($H$3,0,0,'Données projet'!$E$12+1,1))</f>
        <v>377.27600411578322</v>
      </c>
      <c r="CE43" s="59">
        <f t="shared" si="40"/>
        <v>364.58250627635425</v>
      </c>
      <c r="CF43" s="15">
        <f>IF(ISNA(VLOOKUP(A43,'Données projet'!$A$113:$I$133,3,0)),0,VLOOKUP(A43,'Données projet'!$A$113:$I$133,3,0))</f>
        <v>6</v>
      </c>
      <c r="CG43" s="15">
        <f>IF(ISNA(VLOOKUP(A43,'Données projet'!$A$113:$I$133,4,0)),0,VLOOKUP(A43,'Données projet'!$A$113:$I$133,4,0))</f>
        <v>35</v>
      </c>
      <c r="CH43" s="16">
        <f>IF(ISNA(VLOOKUP(A43,'Données projet'!$A$113:$I$133,5,0)),0%,VLOOKUP(A43,'Données projet'!$A$113:$I$133,5,0)*VLOOKUP('Données projet'!$B$12,Paramètres!$A$1:$I$89,7,0))</f>
        <v>0.37630000000000002</v>
      </c>
      <c r="CI43" s="16">
        <f>IF(ISNA(VLOOKUP(A43,'Données projet'!$A$113:$I$133,6,0)),0%,VLOOKUP(A43,'Données projet'!$A$113:$I$133,6,0)*VLOOKUP('Données projet'!$B$12,Paramètres!$A$1:$I$89,7,0))</f>
        <v>0.10600000000000001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21.864671786159132</v>
      </c>
      <c r="CL43" s="21">
        <f>EXP(-LN(2)/25)*CL42+(1-EXP(-LN(2)/25))/(LN(2)/25)*Calculateur!CG43*Calculateur!CI43*VLOOKUP('Données projet'!$B$12,Paramètres!$A$1:$I$89,3,0)*0.475*44/12</f>
        <v>16.10185946844323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37.966531254602359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11.142857142857142</v>
      </c>
      <c r="CT43" s="12">
        <f>IF('Données projet'!$A$140&gt;35,CT42+CS43-DB42,IF(A43&lt;'Données projet'!$A$140,$CQ$205^A43,IF(A43='Données projet'!$A$140,'Données projet'!$B$140,CT42+CS43-DB42)))</f>
        <v>185.42857142857142</v>
      </c>
      <c r="CU43" s="17">
        <f>CT43*VLOOKUP('Données projet'!$B$13,Paramètres!$A$1:$I$89,3,0)*VLOOKUP('Données projet'!$B$13,Paramètres!$A$1:$I$89,5,0)</f>
        <v>144.63428571428571</v>
      </c>
      <c r="CV43" s="13">
        <f t="shared" si="41"/>
        <v>37.356634728420524</v>
      </c>
      <c r="CW43" s="20">
        <f t="shared" si="13"/>
        <v>316.96751977104668</v>
      </c>
      <c r="CX43" s="59">
        <f t="shared" si="14"/>
        <v>564.78053359016747</v>
      </c>
      <c r="CY43" s="59">
        <f ca="1">AVERAGE(OFFSET($CX$3,0,0,'Données projet'!$E$13+1,1))-AVERAGE(OFFSET($H$3,0,0,'Données projet'!$E$13+1,1))</f>
        <v>308.82719216177946</v>
      </c>
      <c r="CZ43" s="59">
        <f t="shared" si="42"/>
        <v>302.59481222418219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7.0309420181742937</v>
      </c>
      <c r="DG43" s="21">
        <f>EXP(-LN(2)/25)*DG42+(1-EXP(-LN(2)/25))/(LN(2)/25)*Calculateur!DB43*Calculateur!DD43*VLOOKUP('Données projet'!$B$13,Paramètres!$A$1:$I$89,3,0)*0.475*44/12</f>
        <v>14.863095741659535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21.894037759833829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289</v>
      </c>
      <c r="DM43" s="12">
        <f>VLOOKUP(A43,'Données projet'!$A$165:$I$185,9,0)</f>
        <v>6.2</v>
      </c>
      <c r="DN43" s="12">
        <f t="array" ref="DN43">INDEX(DM:DM,MIN(IF(ISNUMBER(DM43:DM239),ROW(DM43:DM239),"")))</f>
        <v>6.2</v>
      </c>
      <c r="DO43" s="12">
        <f>IF('Données projet'!$A$166&gt;35,DO42+DN43-DW42,IF(A43&lt;'Données projet'!$A$166,$DL$205^A43,IF(A43='Données projet'!$A$166,'Données projet'!$B$166,DO42+DN43-DW42)))</f>
        <v>288.99999999999983</v>
      </c>
      <c r="DP43" s="17">
        <f>DO43*VLOOKUP('Données projet'!$B$14,Paramètres!$A$1:$I$89,3,0)*VLOOKUP('Données projet'!$B$14,Paramètres!$A$1:$I$89,5,0)</f>
        <v>261.48719999999986</v>
      </c>
      <c r="DQ43" s="13">
        <f t="shared" si="43"/>
        <v>63.039283586802334</v>
      </c>
      <c r="DR43" s="20">
        <f t="shared" si="16"/>
        <v>565.21695891368051</v>
      </c>
      <c r="DS43" s="59">
        <f t="shared" si="17"/>
        <v>813.0299727328013</v>
      </c>
      <c r="DT43" s="59">
        <f ca="1">AVERAGE(OFFSET($DS$3,0,0,'Données projet'!$E$14+1,1))-AVERAGE(OFFSET($H$3,0,0,'Données projet'!$E$14+1,1))</f>
        <v>376.51107072413777</v>
      </c>
      <c r="DU43" s="59">
        <f t="shared" si="44"/>
        <v>532.90758914457615</v>
      </c>
      <c r="DV43" s="15">
        <f>IF(ISNA(VLOOKUP(A43,'Données projet'!$A$165:$I$185,3,0)),0,VLOOKUP(A43,'Données projet'!$A$165:$I$185,3,0))</f>
        <v>8</v>
      </c>
      <c r="DW43" s="15">
        <f>IF(ISNA(VLOOKUP(A43,'Données projet'!$A$165:$I$185,4,0)),0,VLOOKUP(A43,'Données projet'!$A$165:$I$185,4,0))</f>
        <v>7</v>
      </c>
      <c r="DX43" s="16">
        <f>IF(ISNA(VLOOKUP(A43,'Données projet'!$A$165:$I$185,5,0)),0%,VLOOKUP(A43,'Données projet'!$A$165:$I$185,5,0)*VLOOKUP('Données projet'!$B$14,Paramètres!$A$1:$I$89,7,0))</f>
        <v>0.09</v>
      </c>
      <c r="DY43" s="16">
        <f>IF(ISNA(VLOOKUP(A43,'Données projet'!$A$165:$I$185,6,0)),0%,VLOOKUP(A43,'Données projet'!$A$165:$I$185,6,0)*VLOOKUP('Données projet'!$B$14,Paramètres!$A$1:$I$89,7,0))</f>
        <v>0.12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0.63014464762289035</v>
      </c>
      <c r="EB43" s="21">
        <f>EXP(-LN(2)/25)*EB42+(1-EXP(-LN(2)/25))/(LN(2)/25)*Calculateur!DW43*Calculateur!DY43*VLOOKUP('Données projet'!$B$14,Paramètres!$A$1:$I$89,3,0)*0.475*44/12</f>
        <v>4.6339429223895676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5.2640875700124576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398.71538461538461</v>
      </c>
      <c r="EH43" s="12">
        <f>VLOOKUP(A43,'Données projet'!$A$191:$I$211,9,0)</f>
        <v>18.055769230769229</v>
      </c>
      <c r="EI43" s="12">
        <f t="array" ref="EI43">INDEX(EH:EH,MIN(IF(ISNUMBER(EH43:EH239),ROW(EH43:EH239),"")))</f>
        <v>18.055769230769229</v>
      </c>
      <c r="EJ43" s="12">
        <f>IF('Données projet'!$A$192&gt;35,EJ42+EI43-ER42,IF(A43&lt;'Données projet'!$A$192,$EG$205^A43,IF(A43='Données projet'!$A$192,'Données projet'!$B$192,EJ42+EI43-ER42)))</f>
        <v>398.71538461538461</v>
      </c>
      <c r="EK43" s="17">
        <f>EJ43*VLOOKUP('Données projet'!$B$15,Paramètres!$A$1:$I$89,3,0)*VLOOKUP('Données projet'!$B$15,Paramètres!$A$1:$I$89,5,0)</f>
        <v>238.43180000000001</v>
      </c>
      <c r="EL43" s="13">
        <f t="shared" si="45"/>
        <v>58.101995988242535</v>
      </c>
      <c r="EM43" s="20">
        <f t="shared" si="19"/>
        <v>516.46302801285583</v>
      </c>
      <c r="EN43" s="59">
        <f t="shared" si="20"/>
        <v>764.27604183197661</v>
      </c>
      <c r="EO43" s="59">
        <f ca="1">AVERAGE(OFFSET($EN$3,0,0,'Données projet'!$E$15+1,1))-AVERAGE(OFFSET($H$3,0,0,'Données projet'!$E$15+1,1))</f>
        <v>337.99164391755608</v>
      </c>
      <c r="EP43" s="59">
        <f t="shared" si="46"/>
        <v>421.45428231923393</v>
      </c>
      <c r="EQ43" s="15">
        <f>IF(ISNA(VLOOKUP(A43,'Données projet'!$A$191:$I$211,3,0)),0,VLOOKUP(A43,'Données projet'!$A$191:$I$211,3,0))</f>
        <v>5</v>
      </c>
      <c r="ER43" s="15">
        <f>IF(ISNA(VLOOKUP(A43,'Données projet'!$A$191:$I$211,4,0)),0,VLOOKUP(A43,'Données projet'!$A$191:$I$211,4,0))</f>
        <v>92.661538461538456</v>
      </c>
      <c r="ES43" s="16">
        <f>IF(ISNA(VLOOKUP(A43,'Données projet'!$A$191:$I$211,5,0)),0%,VLOOKUP(A43,'Données projet'!$A$191:$I$211,5,0)*VLOOKUP('Données projet'!$B$15,Paramètres!$A$1:$I$89,7,0))</f>
        <v>0.315</v>
      </c>
      <c r="ET43" s="16">
        <f>IF(ISNA(VLOOKUP(A43,'Données projet'!$A$191:$I$211,6,0)),0%,VLOOKUP(A43,'Données projet'!$A$191:$I$211,6,0)*VLOOKUP('Données projet'!$B$15,Paramètres!$A$1:$I$89,7,0))</f>
        <v>7.5600000000000001E-2</v>
      </c>
      <c r="EU43" s="16">
        <f>IF(ISNA(VLOOKUP(A43,'Données projet'!$A$191:$I$211,7,0)),0%,VLOOKUP(A43,'Données projet'!$A$191:$I$211,7,0))</f>
        <v>0.13200000000000001</v>
      </c>
      <c r="EV43" s="21">
        <f>EXP(-LN(2)/35)*EV42+(1-EXP(-LN(2)/35))/(LN(2)/35)*ER43*ES43*VLOOKUP('Données projet'!$B$15,Paramètres!$A$1:$I$89,3,0)*0.475*44/12</f>
        <v>45.813493314358581</v>
      </c>
      <c r="EW43" s="21">
        <f>EXP(-LN(2)/25)*EW42+(1-EXP(-LN(2)/25))/(LN(2)/25)*Calculateur!ER43*Calculateur!ET43*VLOOKUP('Données projet'!$B$15,Paramètres!$A$1:$I$89,3,0)*0.475*44/12</f>
        <v>21.055437468951411</v>
      </c>
      <c r="EX43" s="21">
        <f>EXP(-LN(2)/2)*EX42+(1-EXP(-LN(2)/2))/(LN(2)/2)*ER43*EU43*VLOOKUP('Données projet'!$B$15,Paramètres!$A$1:$I$89,3,0)*0.475*44/12</f>
        <v>8.6914810912279421</v>
      </c>
      <c r="EY43" s="22">
        <f t="shared" si="21"/>
        <v>75.560411874537934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5.3369963369963358</v>
      </c>
      <c r="N44" s="13">
        <f>IF('Données projet'!$A$36&gt;35,N43+M44-V43,IF(A44&lt;'Données projet'!$A$36,$K$205^A44,IF(A44='Données projet'!$A$36,'Données projet'!$B$36,N43+M44-V43)))</f>
        <v>146.41208791208788</v>
      </c>
      <c r="O44" s="13">
        <f>N44*VLOOKUP('Données projet'!$B$9,Paramètres!$A$1:$I$89,3,0)*VLOOKUP('Données projet'!$B$9,Paramètres!$A$1:$I$89,5,0)</f>
        <v>132.47365714285712</v>
      </c>
      <c r="P44" s="13">
        <f t="shared" si="33"/>
        <v>34.567320307816402</v>
      </c>
      <c r="Q44" s="20">
        <f t="shared" si="53"/>
        <v>290.92970239325638</v>
      </c>
      <c r="R44" s="59">
        <f t="shared" si="0"/>
        <v>539.53239198776032</v>
      </c>
      <c r="S44" s="59">
        <f ca="1">AVERAGE(OFFSET($R$3,0,0,'Données projet'!$E$9+1,1))-AVERAGE(OFFSET($H$3,0,0,'Données projet'!$E$9+1,1))</f>
        <v>388.1278150896951</v>
      </c>
      <c r="T44" s="59">
        <f t="shared" si="34"/>
        <v>232.26614607059227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5.3369963369963358</v>
      </c>
      <c r="AI44" s="13">
        <f>IF('Données projet'!$A$62&gt;35,AI43+AH44-AQ43,IF(A44&lt;'Données projet'!$A$62,$AF$205^A44,IF(A44='Données projet'!$A$62,'Données projet'!$B$62,AI43+AH44-AQ43)))</f>
        <v>146.41208791208788</v>
      </c>
      <c r="AJ44" s="13">
        <f>AI44*VLOOKUP('Données projet'!$B$10,Paramètres!$A$1:$I$89,3,0)*VLOOKUP('Données projet'!$B$10,Paramètres!$A$1:$I$89,5,0)</f>
        <v>148.46185714285713</v>
      </c>
      <c r="AK44" s="13">
        <f t="shared" si="35"/>
        <v>38.228827726420505</v>
      </c>
      <c r="AL44" s="20">
        <f t="shared" si="4"/>
        <v>325.15294281399184</v>
      </c>
      <c r="AM44" s="59">
        <f t="shared" si="5"/>
        <v>573.75563240849579</v>
      </c>
      <c r="AN44" s="59">
        <f ca="1">AVERAGE(OFFSET($AM$3,0,0,'Données projet'!$E$10+1,1))-AVERAGE(OFFSET($H$3,0,0,'Données projet'!$E$10+1,1))</f>
        <v>424.89201140676084</v>
      </c>
      <c r="AO44" s="59">
        <f t="shared" si="36"/>
        <v>253.0016648946303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5.3369963369963358</v>
      </c>
      <c r="BD44" s="12">
        <f>IF('Données projet'!$A$88&gt;35,BD43+BC44-BL43,IF(A44&lt;'Données projet'!$A$88,$BA$205^A44,IF(A44='Données projet'!$A$88,'Données projet'!$B$88,BD43+BC44-BL43)))</f>
        <v>146.41208791208788</v>
      </c>
      <c r="BE44" s="13">
        <f>BD44*VLOOKUP('Données projet'!$B$11,Paramètres!$A$1:$I$89,3,0)*VLOOKUP('Données projet'!$B$11,Paramètres!$A$1:$I$89,5,0)</f>
        <v>139.32574285714284</v>
      </c>
      <c r="BF44" s="13">
        <f t="shared" si="37"/>
        <v>36.142499278338384</v>
      </c>
      <c r="BG44" s="20">
        <f t="shared" si="7"/>
        <v>305.60718838596318</v>
      </c>
      <c r="BH44" s="59">
        <f t="shared" si="8"/>
        <v>554.20987798046713</v>
      </c>
      <c r="BI44" s="59">
        <f ca="1">AVERAGE(OFFSET($BH$3,0,0,'Données projet'!$E$11+1,1))-AVERAGE(OFFSET($H$3,0,0,'Données projet'!$E$11+1,1))</f>
        <v>403.89478276355294</v>
      </c>
      <c r="BJ44" s="59">
        <f t="shared" si="38"/>
        <v>241.1593989733278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9.8000000000000007</v>
      </c>
      <c r="BY44" s="12">
        <f>IF('Données projet'!$A$114&gt;35,BY43+BX44-CG43,IF(A44&lt;'Données projet'!$A$114,$BV$205^A44,IF(A44='Données projet'!$A$114,'Données projet'!$B$114,BY43+BX44-CG43)))</f>
        <v>202.8</v>
      </c>
      <c r="BZ44" s="13">
        <f>BY44*VLOOKUP('Données projet'!$B$12,Paramètres!$A$1:$I$89,3,0)*VLOOKUP('Données projet'!$B$12,Paramètres!$A$1:$I$89,5,0)</f>
        <v>161.34768000000003</v>
      </c>
      <c r="CA44" s="13">
        <f t="shared" si="39"/>
        <v>41.146339844316657</v>
      </c>
      <c r="CB44" s="20">
        <f t="shared" si="10"/>
        <v>352.6770845621848</v>
      </c>
      <c r="CC44" s="59">
        <f t="shared" si="11"/>
        <v>601.27977415668875</v>
      </c>
      <c r="CD44" s="59">
        <f ca="1">AVERAGE(OFFSET($CC$3,0,0,'Données projet'!$E$12+1,1))-AVERAGE(OFFSET($H$3,0,0,'Données projet'!$E$12+1,1))</f>
        <v>377.27600411578322</v>
      </c>
      <c r="CE44" s="59">
        <f t="shared" si="40"/>
        <v>364.58250627635425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21.435918908565508</v>
      </c>
      <c r="CL44" s="21">
        <f>EXP(-LN(2)/25)*CL43+(1-EXP(-LN(2)/25))/(LN(2)/25)*Calculateur!CG44*Calculateur!CI44*VLOOKUP('Données projet'!$B$12,Paramètres!$A$1:$I$89,3,0)*0.475*44/12</f>
        <v>15.661553274518662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37.097472183084172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11.142857142857142</v>
      </c>
      <c r="CT44" s="12">
        <f>IF('Données projet'!$A$140&gt;35,CT43+CS44-DB43,IF(A44&lt;'Données projet'!$A$140,$CQ$205^A44,IF(A44='Données projet'!$A$140,'Données projet'!$B$140,CT43+CS44-DB43)))</f>
        <v>196.57142857142856</v>
      </c>
      <c r="CU44" s="17">
        <f>CT44*VLOOKUP('Données projet'!$B$13,Paramètres!$A$1:$I$89,3,0)*VLOOKUP('Données projet'!$B$13,Paramètres!$A$1:$I$89,5,0)</f>
        <v>153.32571428571427</v>
      </c>
      <c r="CV44" s="13">
        <f t="shared" si="41"/>
        <v>39.33339883761419</v>
      </c>
      <c r="CW44" s="20">
        <f t="shared" si="13"/>
        <v>335.54795535646372</v>
      </c>
      <c r="CX44" s="59">
        <f t="shared" si="14"/>
        <v>584.15064495096772</v>
      </c>
      <c r="CY44" s="59">
        <f ca="1">AVERAGE(OFFSET($CX$3,0,0,'Données projet'!$E$13+1,1))-AVERAGE(OFFSET($H$3,0,0,'Données projet'!$E$13+1,1))</f>
        <v>308.82719216177946</v>
      </c>
      <c r="CZ44" s="59">
        <f t="shared" si="42"/>
        <v>302.59481222418219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6.8930695336490775</v>
      </c>
      <c r="DG44" s="21">
        <f>EXP(-LN(2)/25)*DG43+(1-EXP(-LN(2)/25))/(LN(2)/25)*Calculateur!DB44*Calculateur!DD44*VLOOKUP('Données projet'!$B$13,Paramètres!$A$1:$I$89,3,0)*0.475*44/12</f>
        <v>14.45666360698762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21.349733140636697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6</v>
      </c>
      <c r="DO44" s="12">
        <f>IF('Données projet'!$A$166&gt;35,DO43+DN44-DW43,IF(A44&lt;'Données projet'!$A$166,$DL$205^A44,IF(A44='Données projet'!$A$166,'Données projet'!$B$166,DO43+DN44-DW43)))</f>
        <v>287.99999999999983</v>
      </c>
      <c r="DP44" s="17">
        <f>DO44*VLOOKUP('Données projet'!$B$14,Paramètres!$A$1:$I$89,3,0)*VLOOKUP('Données projet'!$B$14,Paramètres!$A$1:$I$89,5,0)</f>
        <v>260.58239999999984</v>
      </c>
      <c r="DQ44" s="13">
        <f t="shared" si="43"/>
        <v>62.84650592989685</v>
      </c>
      <c r="DR44" s="20">
        <f t="shared" si="16"/>
        <v>563.30534449457014</v>
      </c>
      <c r="DS44" s="59">
        <f t="shared" si="17"/>
        <v>811.90803408907414</v>
      </c>
      <c r="DT44" s="59">
        <f ca="1">AVERAGE(OFFSET($DS$3,0,0,'Données projet'!$E$14+1,1))-AVERAGE(OFFSET($H$3,0,0,'Données projet'!$E$14+1,1))</f>
        <v>376.51107072413777</v>
      </c>
      <c r="DU44" s="59">
        <f t="shared" si="44"/>
        <v>532.90758914457615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0.61778789543328905</v>
      </c>
      <c r="EB44" s="21">
        <f>EXP(-LN(2)/25)*EB43+(1-EXP(-LN(2)/25))/(LN(2)/25)*Calculateur!DW44*Calculateur!DY44*VLOOKUP('Données projet'!$B$14,Paramètres!$A$1:$I$89,3,0)*0.475*44/12</f>
        <v>4.5072275094883576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5.1250154049216468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15.21153846153846</v>
      </c>
      <c r="EJ44" s="12">
        <f>IF('Données projet'!$A$192&gt;35,EJ43+EI44-ER43,IF(A44&lt;'Données projet'!$A$192,$EG$205^A44,IF(A44='Données projet'!$A$192,'Données projet'!$B$192,EJ43+EI44-ER43)))</f>
        <v>321.26538461538462</v>
      </c>
      <c r="EK44" s="17">
        <f>EJ44*VLOOKUP('Données projet'!$B$15,Paramètres!$A$1:$I$89,3,0)*VLOOKUP('Données projet'!$B$15,Paramètres!$A$1:$I$89,5,0)</f>
        <v>192.11670000000004</v>
      </c>
      <c r="EL44" s="13">
        <f t="shared" si="45"/>
        <v>48.007622995174927</v>
      </c>
      <c r="EM44" s="20">
        <f t="shared" si="19"/>
        <v>418.21652921659637</v>
      </c>
      <c r="EN44" s="59">
        <f t="shared" si="20"/>
        <v>666.81921881110031</v>
      </c>
      <c r="EO44" s="59">
        <f ca="1">AVERAGE(OFFSET($EN$3,0,0,'Données projet'!$E$15+1,1))-AVERAGE(OFFSET($H$3,0,0,'Données projet'!$E$15+1,1))</f>
        <v>337.99164391755608</v>
      </c>
      <c r="EP44" s="59">
        <f t="shared" si="46"/>
        <v>421.45428231923393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44.915118653935743</v>
      </c>
      <c r="EW44" s="21">
        <f>EXP(-LN(2)/25)*EW43+(1-EXP(-LN(2)/25))/(LN(2)/25)*Calculateur!ER44*Calculateur!ET44*VLOOKUP('Données projet'!$B$15,Paramètres!$A$1:$I$89,3,0)*0.475*44/12</f>
        <v>20.479675424105601</v>
      </c>
      <c r="EX44" s="21">
        <f>EXP(-LN(2)/2)*EX43+(1-EXP(-LN(2)/2))/(LN(2)/2)*ER44*EU44*VLOOKUP('Données projet'!$B$15,Paramètres!$A$1:$I$89,3,0)*0.475*44/12</f>
        <v>6.1458052181619323</v>
      </c>
      <c r="EY44" s="22">
        <f t="shared" si="21"/>
        <v>71.540599296203283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5.3369963369963358</v>
      </c>
      <c r="N45" s="13">
        <f>IF('Données projet'!$A$36&gt;35,N44+M45-V44,IF(A45&lt;'Données projet'!$A$36,$K$205^A45,IF(A45='Données projet'!$A$36,'Données projet'!$B$36,N44+M45-V44)))</f>
        <v>151.74908424908421</v>
      </c>
      <c r="O45" s="13">
        <f>N45*VLOOKUP('Données projet'!$B$9,Paramètres!$A$1:$I$89,3,0)*VLOOKUP('Données projet'!$B$9,Paramètres!$A$1:$I$89,5,0)</f>
        <v>137.30257142857138</v>
      </c>
      <c r="P45" s="13">
        <f t="shared" si="33"/>
        <v>35.678364531877897</v>
      </c>
      <c r="Q45" s="20">
        <f t="shared" si="53"/>
        <v>301.27513013111576</v>
      </c>
      <c r="R45" s="59">
        <f t="shared" si="0"/>
        <v>550.65379639175046</v>
      </c>
      <c r="S45" s="59">
        <f ca="1">AVERAGE(OFFSET($R$3,0,0,'Données projet'!$E$9+1,1))-AVERAGE(OFFSET($H$3,0,0,'Données projet'!$E$9+1,1))</f>
        <v>388.1278150896951</v>
      </c>
      <c r="T45" s="59">
        <f t="shared" si="34"/>
        <v>232.26614607059227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5.3369963369963358</v>
      </c>
      <c r="AI45" s="13">
        <f>IF('Données projet'!$A$62&gt;35,AI44+AH45-AQ44,IF(A45&lt;'Données projet'!$A$62,$AF$205^A45,IF(A45='Données projet'!$A$62,'Données projet'!$B$62,AI44+AH45-AQ44)))</f>
        <v>151.74908424908421</v>
      </c>
      <c r="AJ45" s="13">
        <f>AI45*VLOOKUP('Données projet'!$B$10,Paramètres!$A$1:$I$89,3,0)*VLOOKUP('Données projet'!$B$10,Paramètres!$A$1:$I$89,5,0)</f>
        <v>153.87357142857138</v>
      </c>
      <c r="AK45" s="13">
        <f t="shared" si="35"/>
        <v>39.457558153305143</v>
      </c>
      <c r="AL45" s="20">
        <f t="shared" si="4"/>
        <v>336.71838402176826</v>
      </c>
      <c r="AM45" s="59">
        <f t="shared" si="5"/>
        <v>586.09705028240296</v>
      </c>
      <c r="AN45" s="59">
        <f ca="1">AVERAGE(OFFSET($AM$3,0,0,'Données projet'!$E$10+1,1))-AVERAGE(OFFSET($H$3,0,0,'Données projet'!$E$10+1,1))</f>
        <v>424.89201140676084</v>
      </c>
      <c r="AO45" s="59">
        <f t="shared" si="36"/>
        <v>253.0016648946303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5.3369963369963358</v>
      </c>
      <c r="BD45" s="12">
        <f>IF('Données projet'!$A$88&gt;35,BD44+BC45-BL44,IF(A45&lt;'Données projet'!$A$88,$BA$205^A45,IF(A45='Données projet'!$A$88,'Données projet'!$B$88,BD44+BC45-BL44)))</f>
        <v>151.74908424908421</v>
      </c>
      <c r="BE45" s="13">
        <f>BD45*VLOOKUP('Données projet'!$B$11,Paramètres!$A$1:$I$89,3,0)*VLOOKUP('Données projet'!$B$11,Paramètres!$A$1:$I$89,5,0)</f>
        <v>144.40442857142855</v>
      </c>
      <c r="BF45" s="13">
        <f t="shared" si="37"/>
        <v>37.304172057968501</v>
      </c>
      <c r="BG45" s="20">
        <f t="shared" si="7"/>
        <v>316.4758127628665</v>
      </c>
      <c r="BH45" s="59">
        <f t="shared" si="8"/>
        <v>565.8544790235012</v>
      </c>
      <c r="BI45" s="59">
        <f ca="1">AVERAGE(OFFSET($BH$3,0,0,'Données projet'!$E$11+1,1))-AVERAGE(OFFSET($H$3,0,0,'Données projet'!$E$11+1,1))</f>
        <v>403.89478276355294</v>
      </c>
      <c r="BJ45" s="59">
        <f t="shared" si="38"/>
        <v>241.1593989733278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9.8000000000000007</v>
      </c>
      <c r="BY45" s="12">
        <f>IF('Données projet'!$A$114&gt;35,BY44+BX45-CG44,IF(A45&lt;'Données projet'!$A$114,$BV$205^A45,IF(A45='Données projet'!$A$114,'Données projet'!$B$114,BY44+BX45-CG44)))</f>
        <v>212.60000000000002</v>
      </c>
      <c r="BZ45" s="13">
        <f>BY45*VLOOKUP('Données projet'!$B$12,Paramètres!$A$1:$I$89,3,0)*VLOOKUP('Données projet'!$B$12,Paramètres!$A$1:$I$89,5,0)</f>
        <v>169.14456000000004</v>
      </c>
      <c r="CA45" s="13">
        <f t="shared" si="39"/>
        <v>42.898377267189964</v>
      </c>
      <c r="CB45" s="20">
        <f t="shared" si="10"/>
        <v>369.30811574035596</v>
      </c>
      <c r="CC45" s="59">
        <f t="shared" si="11"/>
        <v>618.68678200099066</v>
      </c>
      <c r="CD45" s="59">
        <f ca="1">AVERAGE(OFFSET($CC$3,0,0,'Données projet'!$E$12+1,1))-AVERAGE(OFFSET($H$3,0,0,'Données projet'!$E$12+1,1))</f>
        <v>377.27600411578322</v>
      </c>
      <c r="CE45" s="59">
        <f t="shared" si="40"/>
        <v>364.58250627635425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21.01557361338806</v>
      </c>
      <c r="CL45" s="21">
        <f>EXP(-LN(2)/25)*CL44+(1-EXP(-LN(2)/25))/(LN(2)/25)*Calculateur!CG45*Calculateur!CI45*VLOOKUP('Données projet'!$B$12,Paramètres!$A$1:$I$89,3,0)*0.475*44/12</f>
        <v>15.233287276621658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36.248860890009716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11.142857142857142</v>
      </c>
      <c r="CT45" s="12">
        <f>IF('Données projet'!$A$140&gt;35,CT44+CS45-DB44,IF(A45&lt;'Données projet'!$A$140,$CQ$205^A45,IF(A45='Données projet'!$A$140,'Données projet'!$B$140,CT44+CS45-DB44)))</f>
        <v>207.71428571428569</v>
      </c>
      <c r="CU45" s="17">
        <f>CT45*VLOOKUP('Données projet'!$B$13,Paramètres!$A$1:$I$89,3,0)*VLOOKUP('Données projet'!$B$13,Paramètres!$A$1:$I$89,5,0)</f>
        <v>162.01714285714286</v>
      </c>
      <c r="CV45" s="13">
        <f t="shared" si="41"/>
        <v>41.297155335096676</v>
      </c>
      <c r="CW45" s="20">
        <f t="shared" si="13"/>
        <v>354.10573601815054</v>
      </c>
      <c r="CX45" s="59">
        <f t="shared" si="14"/>
        <v>603.4844022787853</v>
      </c>
      <c r="CY45" s="59">
        <f ca="1">AVERAGE(OFFSET($CX$3,0,0,'Données projet'!$E$13+1,1))-AVERAGE(OFFSET($H$3,0,0,'Données projet'!$E$13+1,1))</f>
        <v>308.82719216177946</v>
      </c>
      <c r="CZ45" s="59">
        <f t="shared" si="42"/>
        <v>302.59481222418219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6.7579006444514889</v>
      </c>
      <c r="DG45" s="21">
        <f>EXP(-LN(2)/25)*DG44+(1-EXP(-LN(2)/25))/(LN(2)/25)*Calculateur!DB45*Calculateur!DD45*VLOOKUP('Données projet'!$B$13,Paramètres!$A$1:$I$89,3,0)*0.475*44/12</f>
        <v>14.061345380411646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20.819246024863133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6</v>
      </c>
      <c r="DO45" s="12">
        <f>IF('Données projet'!$A$166&gt;35,DO44+DN45-DW44,IF(A45&lt;'Données projet'!$A$166,$DL$205^A45,IF(A45='Données projet'!$A$166,'Données projet'!$B$166,DO44+DN45-DW44)))</f>
        <v>293.99999999999983</v>
      </c>
      <c r="DP45" s="17">
        <f>DO45*VLOOKUP('Données projet'!$B$14,Paramètres!$A$1:$I$89,3,0)*VLOOKUP('Données projet'!$B$14,Paramètres!$A$1:$I$89,5,0)</f>
        <v>266.01119999999986</v>
      </c>
      <c r="DQ45" s="13">
        <f t="shared" si="43"/>
        <v>64.00201337612566</v>
      </c>
      <c r="DR45" s="20">
        <f t="shared" si="16"/>
        <v>574.77301329675186</v>
      </c>
      <c r="DS45" s="59">
        <f t="shared" si="17"/>
        <v>824.15167955738661</v>
      </c>
      <c r="DT45" s="59">
        <f ca="1">AVERAGE(OFFSET($DS$3,0,0,'Données projet'!$E$14+1,1))-AVERAGE(OFFSET($H$3,0,0,'Données projet'!$E$14+1,1))</f>
        <v>376.51107072413777</v>
      </c>
      <c r="DU45" s="59">
        <f t="shared" si="44"/>
        <v>532.90758914457615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0.60567345161725128</v>
      </c>
      <c r="EB45" s="21">
        <f>EXP(-LN(2)/25)*EB44+(1-EXP(-LN(2)/25))/(LN(2)/25)*Calculateur!DW45*Calculateur!DY45*VLOOKUP('Données projet'!$B$14,Paramètres!$A$1:$I$89,3,0)*0.475*44/12</f>
        <v>4.3839771362166049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4.9896505878338564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15.21153846153846</v>
      </c>
      <c r="EJ45" s="12">
        <f>IF('Données projet'!$A$192&gt;35,EJ44+EI45-ER44,IF(A45&lt;'Données projet'!$A$192,$EG$205^A45,IF(A45='Données projet'!$A$192,'Données projet'!$B$192,EJ44+EI45-ER44)))</f>
        <v>336.47692307692307</v>
      </c>
      <c r="EK45" s="17">
        <f>EJ45*VLOOKUP('Données projet'!$B$15,Paramètres!$A$1:$I$89,3,0)*VLOOKUP('Données projet'!$B$15,Paramètres!$A$1:$I$89,5,0)</f>
        <v>201.21320000000003</v>
      </c>
      <c r="EL45" s="13">
        <f t="shared" si="45"/>
        <v>50.010698447793764</v>
      </c>
      <c r="EM45" s="20">
        <f t="shared" si="19"/>
        <v>437.54828979657418</v>
      </c>
      <c r="EN45" s="59">
        <f t="shared" si="20"/>
        <v>686.92695605720894</v>
      </c>
      <c r="EO45" s="59">
        <f ca="1">AVERAGE(OFFSET($EN$3,0,0,'Données projet'!$E$15+1,1))-AVERAGE(OFFSET($H$3,0,0,'Données projet'!$E$15+1,1))</f>
        <v>337.99164391755608</v>
      </c>
      <c r="EP45" s="59">
        <f t="shared" si="46"/>
        <v>421.45428231923393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44.034360572649362</v>
      </c>
      <c r="EW45" s="21">
        <f>EXP(-LN(2)/25)*EW44+(1-EXP(-LN(2)/25))/(LN(2)/25)*Calculateur!ER45*Calculateur!ET45*VLOOKUP('Données projet'!$B$15,Paramètres!$A$1:$I$89,3,0)*0.475*44/12</f>
        <v>19.91965762265411</v>
      </c>
      <c r="EX45" s="21">
        <f>EXP(-LN(2)/2)*EX44+(1-EXP(-LN(2)/2))/(LN(2)/2)*ER45*EU45*VLOOKUP('Données projet'!$B$15,Paramètres!$A$1:$I$89,3,0)*0.475*44/12</f>
        <v>4.3457405456139719</v>
      </c>
      <c r="EY45" s="22">
        <f t="shared" si="21"/>
        <v>68.299758740917454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5.3369963369963358</v>
      </c>
      <c r="N46" s="13">
        <f>IF('Données projet'!$A$36&gt;35,N45+M46-V45,IF(A46&lt;'Données projet'!$A$36,$K$205^A46,IF(A46='Données projet'!$A$36,'Données projet'!$B$36,N45+M46-V45)))</f>
        <v>157.08608058608053</v>
      </c>
      <c r="O46" s="13">
        <f>N46*VLOOKUP('Données projet'!$B$9,Paramètres!$A$1:$I$89,3,0)*VLOOKUP('Données projet'!$B$9,Paramètres!$A$1:$I$89,5,0)</f>
        <v>142.13148571428567</v>
      </c>
      <c r="P46" s="13">
        <f t="shared" si="33"/>
        <v>36.784868701185438</v>
      </c>
      <c r="Q46" s="20">
        <f t="shared" si="53"/>
        <v>311.61265060694552</v>
      </c>
      <c r="R46" s="59">
        <f t="shared" si="0"/>
        <v>561.75383207337757</v>
      </c>
      <c r="S46" s="59">
        <f ca="1">AVERAGE(OFFSET($R$3,0,0,'Données projet'!$E$9+1,1))-AVERAGE(OFFSET($H$3,0,0,'Données projet'!$E$9+1,1))</f>
        <v>388.1278150896951</v>
      </c>
      <c r="T46" s="59">
        <f t="shared" si="34"/>
        <v>232.26614607059227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5.3369963369963358</v>
      </c>
      <c r="AI46" s="13">
        <f>IF('Données projet'!$A$62&gt;35,AI45+AH46-AQ45,IF(A46&lt;'Données projet'!$A$62,$AF$205^A46,IF(A46='Données projet'!$A$62,'Données projet'!$B$62,AI45+AH46-AQ45)))</f>
        <v>157.08608058608053</v>
      </c>
      <c r="AJ46" s="13">
        <f>AI46*VLOOKUP('Données projet'!$B$10,Paramètres!$A$1:$I$89,3,0)*VLOOKUP('Données projet'!$B$10,Paramètres!$A$1:$I$89,5,0)</f>
        <v>159.28528571428566</v>
      </c>
      <c r="AK46" s="13">
        <f t="shared" si="35"/>
        <v>40.681267624862308</v>
      </c>
      <c r="AL46" s="20">
        <f t="shared" si="4"/>
        <v>348.27508039901596</v>
      </c>
      <c r="AM46" s="59">
        <f t="shared" si="5"/>
        <v>598.41626186544795</v>
      </c>
      <c r="AN46" s="59">
        <f ca="1">AVERAGE(OFFSET($AM$3,0,0,'Données projet'!$E$10+1,1))-AVERAGE(OFFSET($H$3,0,0,'Données projet'!$E$10+1,1))</f>
        <v>424.89201140676084</v>
      </c>
      <c r="AO46" s="59">
        <f t="shared" si="36"/>
        <v>253.0016648946303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5.3369963369963358</v>
      </c>
      <c r="BD46" s="12">
        <f>IF('Données projet'!$A$88&gt;35,BD45+BC46-BL45,IF(A46&lt;'Données projet'!$A$88,$BA$205^A46,IF(A46='Données projet'!$A$88,'Données projet'!$B$88,BD45+BC46-BL45)))</f>
        <v>157.08608058608053</v>
      </c>
      <c r="BE46" s="13">
        <f>BD46*VLOOKUP('Données projet'!$B$11,Paramètres!$A$1:$I$89,3,0)*VLOOKUP('Données projet'!$B$11,Paramètres!$A$1:$I$89,5,0)</f>
        <v>149.48311428571424</v>
      </c>
      <c r="BF46" s="13">
        <f t="shared" si="37"/>
        <v>38.461097899617613</v>
      </c>
      <c r="BG46" s="20">
        <f t="shared" si="7"/>
        <v>327.33616955611961</v>
      </c>
      <c r="BH46" s="59">
        <f t="shared" si="8"/>
        <v>577.4773510225516</v>
      </c>
      <c r="BI46" s="59">
        <f ca="1">AVERAGE(OFFSET($BH$3,0,0,'Données projet'!$E$11+1,1))-AVERAGE(OFFSET($H$3,0,0,'Données projet'!$E$11+1,1))</f>
        <v>403.89478276355294</v>
      </c>
      <c r="BJ46" s="59">
        <f t="shared" si="38"/>
        <v>241.1593989733278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9.8000000000000007</v>
      </c>
      <c r="BY46" s="12">
        <f>IF('Données projet'!$A$114&gt;35,BY45+BX46-CG45,IF(A46&lt;'Données projet'!$A$114,$BV$205^A46,IF(A46='Données projet'!$A$114,'Données projet'!$B$114,BY45+BX46-CG45)))</f>
        <v>222.40000000000003</v>
      </c>
      <c r="BZ46" s="13">
        <f>BY46*VLOOKUP('Données projet'!$B$12,Paramètres!$A$1:$I$89,3,0)*VLOOKUP('Données projet'!$B$12,Paramètres!$A$1:$I$89,5,0)</f>
        <v>176.94144000000003</v>
      </c>
      <c r="CA46" s="13">
        <f t="shared" si="39"/>
        <v>44.641035679901449</v>
      </c>
      <c r="CB46" s="20">
        <f t="shared" si="10"/>
        <v>385.92281180916171</v>
      </c>
      <c r="CC46" s="59">
        <f t="shared" si="11"/>
        <v>636.0639932755937</v>
      </c>
      <c r="CD46" s="59">
        <f ca="1">AVERAGE(OFFSET($CC$3,0,0,'Données projet'!$E$12+1,1))-AVERAGE(OFFSET($H$3,0,0,'Données projet'!$E$12+1,1))</f>
        <v>377.27600411578322</v>
      </c>
      <c r="CE46" s="59">
        <f t="shared" si="40"/>
        <v>364.58250627635425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20.60347103306373</v>
      </c>
      <c r="CL46" s="21">
        <f>EXP(-LN(2)/25)*CL45+(1-EXP(-LN(2)/25))/(LN(2)/25)*Calculateur!CG46*Calculateur!CI46*VLOOKUP('Données projet'!$B$12,Paramètres!$A$1:$I$89,3,0)*0.475*44/12</f>
        <v>14.816732234958677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35.420203268022405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11.142857142857142</v>
      </c>
      <c r="CT46" s="12">
        <f>IF('Données projet'!$A$140&gt;35,CT45+CS46-DB45,IF(A46&lt;'Données projet'!$A$140,$CQ$205^A46,IF(A46='Données projet'!$A$140,'Données projet'!$B$140,CT45+CS46-DB45)))</f>
        <v>218.85714285714283</v>
      </c>
      <c r="CU46" s="17">
        <f>CT46*VLOOKUP('Données projet'!$B$13,Paramètres!$A$1:$I$89,3,0)*VLOOKUP('Données projet'!$B$13,Paramètres!$A$1:$I$89,5,0)</f>
        <v>170.70857142857142</v>
      </c>
      <c r="CV46" s="13">
        <f t="shared" si="41"/>
        <v>43.248681576985412</v>
      </c>
      <c r="CW46" s="20">
        <f t="shared" si="13"/>
        <v>372.64221565134477</v>
      </c>
      <c r="CX46" s="59">
        <f t="shared" si="14"/>
        <v>622.78339711777676</v>
      </c>
      <c r="CY46" s="59">
        <f ca="1">AVERAGE(OFFSET($CX$3,0,0,'Données projet'!$E$13+1,1))-AVERAGE(OFFSET($H$3,0,0,'Données projet'!$E$13+1,1))</f>
        <v>308.82719216177946</v>
      </c>
      <c r="CZ46" s="59">
        <f t="shared" si="42"/>
        <v>302.59481222418219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6.6253823347261829</v>
      </c>
      <c r="DG46" s="21">
        <f>EXP(-LN(2)/25)*DG45+(1-EXP(-LN(2)/25))/(LN(2)/25)*Calculateur!DB46*Calculateur!DD46*VLOOKUP('Données projet'!$B$13,Paramètres!$A$1:$I$89,3,0)*0.475*44/12</f>
        <v>13.676837151530274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20.302219486256455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6</v>
      </c>
      <c r="DO46" s="12">
        <f>IF('Données projet'!$A$166&gt;35,DO45+DN46-DW45,IF(A46&lt;'Données projet'!$A$166,$DL$205^A46,IF(A46='Données projet'!$A$166,'Données projet'!$B$166,DO45+DN46-DW45)))</f>
        <v>299.99999999999983</v>
      </c>
      <c r="DP46" s="17">
        <f>DO46*VLOOKUP('Données projet'!$B$14,Paramètres!$A$1:$I$89,3,0)*VLOOKUP('Données projet'!$B$14,Paramètres!$A$1:$I$89,5,0)</f>
        <v>271.43999999999983</v>
      </c>
      <c r="DQ46" s="13">
        <f t="shared" si="43"/>
        <v>65.154778959151173</v>
      </c>
      <c r="DR46" s="20">
        <f t="shared" si="16"/>
        <v>586.23590668718793</v>
      </c>
      <c r="DS46" s="59">
        <f t="shared" si="17"/>
        <v>836.37708815361998</v>
      </c>
      <c r="DT46" s="59">
        <f ca="1">AVERAGE(OFFSET($DS$3,0,0,'Données projet'!$E$14+1,1))-AVERAGE(OFFSET($H$3,0,0,'Données projet'!$E$14+1,1))</f>
        <v>376.51107072413777</v>
      </c>
      <c r="DU46" s="59">
        <f t="shared" si="44"/>
        <v>532.90758914457615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0.5937965646553649</v>
      </c>
      <c r="EB46" s="21">
        <f>EXP(-LN(2)/25)*EB45+(1-EXP(-LN(2)/25))/(LN(2)/25)*Calculateur!DW46*Calculateur!DY46*VLOOKUP('Données projet'!$B$14,Paramètres!$A$1:$I$89,3,0)*0.475*44/12</f>
        <v>4.2640970508834242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4.8578936155387886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15.21153846153846</v>
      </c>
      <c r="EJ46" s="12">
        <f>IF('Données projet'!$A$192&gt;35,EJ45+EI46-ER45,IF(A46&lt;'Données projet'!$A$192,$EG$205^A46,IF(A46='Données projet'!$A$192,'Données projet'!$B$192,EJ45+EI46-ER45)))</f>
        <v>351.68846153846152</v>
      </c>
      <c r="EK46" s="17">
        <f>EJ46*VLOOKUP('Données projet'!$B$15,Paramètres!$A$1:$I$89,3,0)*VLOOKUP('Données projet'!$B$15,Paramètres!$A$1:$I$89,5,0)</f>
        <v>210.30970000000002</v>
      </c>
      <c r="EL46" s="13">
        <f t="shared" si="45"/>
        <v>52.003257134609832</v>
      </c>
      <c r="EM46" s="20">
        <f t="shared" si="19"/>
        <v>456.86173367611218</v>
      </c>
      <c r="EN46" s="59">
        <f t="shared" si="20"/>
        <v>707.00291514254423</v>
      </c>
      <c r="EO46" s="59">
        <f ca="1">AVERAGE(OFFSET($EN$3,0,0,'Données projet'!$E$15+1,1))-AVERAGE(OFFSET($H$3,0,0,'Données projet'!$E$15+1,1))</f>
        <v>337.99164391755608</v>
      </c>
      <c r="EP46" s="59">
        <f t="shared" si="46"/>
        <v>421.45428231923393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43.170873620127622</v>
      </c>
      <c r="EW46" s="21">
        <f>EXP(-LN(2)/25)*EW45+(1-EXP(-LN(2)/25))/(LN(2)/25)*Calculateur!ER46*Calculateur!ET46*VLOOKUP('Données projet'!$B$15,Paramètres!$A$1:$I$89,3,0)*0.475*44/12</f>
        <v>19.374953537433367</v>
      </c>
      <c r="EX46" s="21">
        <f>EXP(-LN(2)/2)*EX45+(1-EXP(-LN(2)/2))/(LN(2)/2)*ER46*EU46*VLOOKUP('Données projet'!$B$15,Paramètres!$A$1:$I$89,3,0)*0.475*44/12</f>
        <v>3.0729026090809666</v>
      </c>
      <c r="EY46" s="22">
        <f t="shared" si="21"/>
        <v>65.618729766641962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>
        <f>VLOOKUP(A47,'Données projet'!$A$35:$I$55,2,0)</f>
        <v>162.42307692307691</v>
      </c>
      <c r="L47" s="12">
        <f>VLOOKUP(A47,'Données projet'!$A$35:$I$55,9,0)</f>
        <v>5.3369963369963358</v>
      </c>
      <c r="M47" s="12">
        <f t="array" ref="M47">INDEX(L:L,MIN(IF(ISNUMBER(L47:L243),ROW(L47:L243),"")))</f>
        <v>5.3369963369963358</v>
      </c>
      <c r="N47" s="13">
        <f>IF('Données projet'!$A$36&gt;35,N46+M47-V46,IF(A47&lt;'Données projet'!$A$36,$K$205^A47,IF(A47='Données projet'!$A$36,'Données projet'!$B$36,N46+M47-V46)))</f>
        <v>162.42307692307685</v>
      </c>
      <c r="O47" s="13">
        <f>N47*VLOOKUP('Données projet'!$B$9,Paramètres!$A$1:$I$89,3,0)*VLOOKUP('Données projet'!$B$9,Paramètres!$A$1:$I$89,5,0)</f>
        <v>146.96039999999991</v>
      </c>
      <c r="P47" s="13">
        <f t="shared" si="33"/>
        <v>37.887004745652405</v>
      </c>
      <c r="Q47" s="20">
        <f t="shared" si="53"/>
        <v>321.94256326534446</v>
      </c>
      <c r="R47" s="59">
        <f t="shared" si="0"/>
        <v>572.83303200348189</v>
      </c>
      <c r="S47" s="59">
        <f ca="1">AVERAGE(OFFSET($R$3,0,0,'Données projet'!$E$9+1,1))-AVERAGE(OFFSET($H$3,0,0,'Données projet'!$E$9+1,1))</f>
        <v>388.1278150896951</v>
      </c>
      <c r="T47" s="59">
        <f t="shared" si="34"/>
        <v>232.26614607059227</v>
      </c>
      <c r="U47" s="15">
        <f>IF(ISNA(VLOOKUP(A47,'Données projet'!$A$35:$I$55,3,0)),0,VLOOKUP(A47,'Données projet'!$A$35:$I$55,3,0))</f>
        <v>1</v>
      </c>
      <c r="V47" s="15">
        <f>IF(ISNA(VLOOKUP(A47,'Données projet'!$A$35:$I$55,4,0)),0,VLOOKUP(A47,'Données projet'!$A$35:$I$55,4,0))</f>
        <v>64.416666666666657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>
        <f>VLOOKUP(A47,'Données projet'!$A$61:$I$81,2,0)</f>
        <v>162.42307692307691</v>
      </c>
      <c r="AG47" s="12">
        <f>VLOOKUP(A47,'Données projet'!$A$61:$I$81,9,0)</f>
        <v>5.3369963369963358</v>
      </c>
      <c r="AH47" s="12">
        <f t="array" ref="AH47">INDEX(AG:AG,MIN(IF(ISNUMBER(AG47:AG243),ROW(AG47:AG243),"")))</f>
        <v>5.3369963369963358</v>
      </c>
      <c r="AI47" s="13">
        <f>IF('Données projet'!$A$62&gt;35,AI46+AH47-AQ46,IF(A47&lt;'Données projet'!$A$62,$AF$205^A47,IF(A47='Données projet'!$A$62,'Données projet'!$B$62,AI46+AH47-AQ46)))</f>
        <v>162.42307692307685</v>
      </c>
      <c r="AJ47" s="13">
        <f>AI47*VLOOKUP('Données projet'!$B$10,Paramètres!$A$1:$I$89,3,0)*VLOOKUP('Données projet'!$B$10,Paramètres!$A$1:$I$89,5,0)</f>
        <v>164.69699999999995</v>
      </c>
      <c r="AK47" s="13">
        <f t="shared" si="35"/>
        <v>41.900146282502362</v>
      </c>
      <c r="AL47" s="20">
        <f t="shared" si="4"/>
        <v>359.82336310869147</v>
      </c>
      <c r="AM47" s="59">
        <f t="shared" si="5"/>
        <v>610.71383184682895</v>
      </c>
      <c r="AN47" s="59">
        <f ca="1">AVERAGE(OFFSET($AM$3,0,0,'Données projet'!$E$10+1,1))-AVERAGE(OFFSET($H$3,0,0,'Données projet'!$E$10+1,1))</f>
        <v>424.89201140676084</v>
      </c>
      <c r="AO47" s="59">
        <f t="shared" si="36"/>
        <v>253.0016648946303</v>
      </c>
      <c r="AP47" s="15">
        <f>IF(ISNA(VLOOKUP(A47,'Données projet'!$A$61:$I$81,3,0)),0,VLOOKUP(A47,'Données projet'!$A$61:$I$81,3,0))</f>
        <v>1</v>
      </c>
      <c r="AQ47" s="15">
        <f>IF(ISNA(VLOOKUP(A47,'Données projet'!$A$61:$I$81,4,0)),0,VLOOKUP(A47,'Données projet'!$A$61:$I$81,4,0))</f>
        <v>64.416666666666657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>
        <f>VLOOKUP(A47,'Données projet'!$A$87:$I$107,2,0)</f>
        <v>162.42307692307691</v>
      </c>
      <c r="BB47" s="12">
        <f>VLOOKUP(A47,'Données projet'!$A$87:$I$107,9,0)</f>
        <v>5.3369963369963358</v>
      </c>
      <c r="BC47" s="12">
        <f t="array" ref="BC47">INDEX(BB:BB,MIN(IF(ISNUMBER(BB47:BB243),ROW(BB47:BB243),"")))</f>
        <v>5.3369963369963358</v>
      </c>
      <c r="BD47" s="12">
        <f>IF('Données projet'!$A$88&gt;35,BD46+BC47-BL46,IF(A47&lt;'Données projet'!$A$88,$BA$205^A47,IF(A47='Données projet'!$A$88,'Données projet'!$B$88,BD46+BC47-BL46)))</f>
        <v>162.42307692307685</v>
      </c>
      <c r="BE47" s="13">
        <f>BD47*VLOOKUP('Données projet'!$B$11,Paramètres!$A$1:$I$89,3,0)*VLOOKUP('Données projet'!$B$11,Paramètres!$A$1:$I$89,5,0)</f>
        <v>154.56179999999995</v>
      </c>
      <c r="BF47" s="13">
        <f t="shared" si="37"/>
        <v>39.613456567777732</v>
      </c>
      <c r="BG47" s="20">
        <f t="shared" si="7"/>
        <v>338.18857185554612</v>
      </c>
      <c r="BH47" s="59">
        <f t="shared" si="8"/>
        <v>589.07904059368354</v>
      </c>
      <c r="BI47" s="59">
        <f ca="1">AVERAGE(OFFSET($BH$3,0,0,'Données projet'!$E$11+1,1))-AVERAGE(OFFSET($H$3,0,0,'Données projet'!$E$11+1,1))</f>
        <v>403.89478276355294</v>
      </c>
      <c r="BJ47" s="59">
        <f t="shared" si="38"/>
        <v>241.1593989733278</v>
      </c>
      <c r="BK47" s="15">
        <f>IF(ISNA(VLOOKUP(A47,'Données projet'!$A$87:$I$107,3,0)),0,VLOOKUP(A47,'Données projet'!$A$87:$I$107,3,0))</f>
        <v>1</v>
      </c>
      <c r="BL47" s="15">
        <f>IF(ISNA(VLOOKUP(A47,'Données projet'!$A$87:$I$107,4,0)),0,VLOOKUP(A47,'Données projet'!$A$87:$I$107,4,0))</f>
        <v>64.416666666666657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9.8000000000000007</v>
      </c>
      <c r="BY47" s="12">
        <f>IF('Données projet'!$A$114&gt;35,BY46+BX47-CG46,IF(A47&lt;'Données projet'!$A$114,$BV$205^A47,IF(A47='Données projet'!$A$114,'Données projet'!$B$114,BY46+BX47-CG46)))</f>
        <v>232.20000000000005</v>
      </c>
      <c r="BZ47" s="13">
        <f>BY47*VLOOKUP('Données projet'!$B$12,Paramètres!$A$1:$I$89,3,0)*VLOOKUP('Données projet'!$B$12,Paramètres!$A$1:$I$89,5,0)</f>
        <v>184.73832000000004</v>
      </c>
      <c r="CA47" s="13">
        <f t="shared" si="39"/>
        <v>46.374775595471988</v>
      </c>
      <c r="CB47" s="20">
        <f t="shared" si="10"/>
        <v>402.52197482878046</v>
      </c>
      <c r="CC47" s="59">
        <f t="shared" si="11"/>
        <v>653.41244356691789</v>
      </c>
      <c r="CD47" s="59">
        <f ca="1">AVERAGE(OFFSET($CC$3,0,0,'Données projet'!$E$12+1,1))-AVERAGE(OFFSET($H$3,0,0,'Données projet'!$E$12+1,1))</f>
        <v>377.27600411578322</v>
      </c>
      <c r="CE47" s="59">
        <f t="shared" si="40"/>
        <v>364.58250627635425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20.199449532981806</v>
      </c>
      <c r="CL47" s="21">
        <f>EXP(-LN(2)/25)*CL46+(1-EXP(-LN(2)/25))/(LN(2)/25)*Calculateur!CG47*Calculateur!CI47*VLOOKUP('Données projet'!$B$12,Paramètres!$A$1:$I$89,3,0)*0.475*44/12</f>
        <v>14.411567912815647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34.611017445797451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>
        <f>VLOOKUP(A47,'Données projet'!$A$139:$I$159,2,0)</f>
        <v>230</v>
      </c>
      <c r="CR47" s="12">
        <f>VLOOKUP(A47,'Données projet'!$A$139:$I$159,9,0)</f>
        <v>11.142857142857142</v>
      </c>
      <c r="CS47" s="12">
        <f t="array" ref="CS47">INDEX(CR:CR,MIN(IF(ISNUMBER(CR47:CR243),ROW(CR47:CR243),"")))</f>
        <v>11.142857142857142</v>
      </c>
      <c r="CT47" s="12">
        <f>IF('Données projet'!$A$140&gt;35,CT46+CS47-DB46,IF(A47&lt;'Données projet'!$A$140,$CQ$205^A47,IF(A47='Données projet'!$A$140,'Données projet'!$B$140,CT46+CS47-DB46)))</f>
        <v>229.99999999999997</v>
      </c>
      <c r="CU47" s="17">
        <f>CT47*VLOOKUP('Données projet'!$B$13,Paramètres!$A$1:$I$89,3,0)*VLOOKUP('Données projet'!$B$13,Paramètres!$A$1:$I$89,5,0)</f>
        <v>179.39999999999998</v>
      </c>
      <c r="CV47" s="13">
        <f t="shared" si="41"/>
        <v>45.188671291872232</v>
      </c>
      <c r="CW47" s="20">
        <f t="shared" si="13"/>
        <v>391.15860250001077</v>
      </c>
      <c r="CX47" s="59">
        <f t="shared" si="14"/>
        <v>642.04907123814814</v>
      </c>
      <c r="CY47" s="59">
        <f ca="1">AVERAGE(OFFSET($CX$3,0,0,'Données projet'!$E$13+1,1))-AVERAGE(OFFSET($H$3,0,0,'Données projet'!$E$13+1,1))</f>
        <v>308.82719216177946</v>
      </c>
      <c r="CZ47" s="59">
        <f t="shared" si="42"/>
        <v>302.59481222418219</v>
      </c>
      <c r="DA47" s="15">
        <f>IF(ISNA(VLOOKUP(A47,'Données projet'!$A$139:$I$159,3,0)),0,VLOOKUP(A47,'Données projet'!$A$139:$I$159,3,0))</f>
        <v>6</v>
      </c>
      <c r="DB47" s="15">
        <f>IF(ISNA(VLOOKUP(A47,'Données projet'!$A$139:$I$159,4,0)),0,VLOOKUP(A47,'Données projet'!$A$139:$I$159,4,0))</f>
        <v>43</v>
      </c>
      <c r="DC47" s="16">
        <f>IF(ISNA(VLOOKUP(A47,'Données projet'!$A$139:$I$159,5,0)),0%,VLOOKUP(A47,'Données projet'!$A$139:$I$159,5,0)*VLOOKUP('Données projet'!$B$13,Paramètres!$A$1:$I$89,7,0))</f>
        <v>0.17200000000000001</v>
      </c>
      <c r="DD47" s="16">
        <f>IF(ISNA(VLOOKUP(A47,'Données projet'!$A$139:$I$159,6,0)),0%,VLOOKUP(A47,'Données projet'!$A$139:$I$159,6,0)*VLOOKUP('Données projet'!$B$13,Paramètres!$A$1:$I$89,7,0))</f>
        <v>0.17200000000000001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12.872788591306449</v>
      </c>
      <c r="DG47" s="21">
        <f>EXP(-LN(2)/25)*DG46+(1-EXP(-LN(2)/25))/(LN(2)/25)*Calculateur!DB47*Calculateur!DD47*VLOOKUP('Données projet'!$B$13,Paramètres!$A$1:$I$89,3,0)*0.475*44/12</f>
        <v>19.655059321199772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32.527847912506218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6</v>
      </c>
      <c r="DO47" s="12">
        <f>IF('Données projet'!$A$166&gt;35,DO46+DN47-DW46,IF(A47&lt;'Données projet'!$A$166,$DL$205^A47,IF(A47='Données projet'!$A$166,'Données projet'!$B$166,DO46+DN47-DW46)))</f>
        <v>305.99999999999983</v>
      </c>
      <c r="DP47" s="17">
        <f>DO47*VLOOKUP('Données projet'!$B$14,Paramètres!$A$1:$I$89,3,0)*VLOOKUP('Données projet'!$B$14,Paramètres!$A$1:$I$89,5,0)</f>
        <v>276.86879999999979</v>
      </c>
      <c r="DQ47" s="13">
        <f t="shared" si="43"/>
        <v>66.304863836318603</v>
      </c>
      <c r="DR47" s="20">
        <f t="shared" si="16"/>
        <v>597.69413118158775</v>
      </c>
      <c r="DS47" s="59">
        <f t="shared" si="17"/>
        <v>848.58459991972518</v>
      </c>
      <c r="DT47" s="59">
        <f ca="1">AVERAGE(OFFSET($DS$3,0,0,'Données projet'!$E$14+1,1))-AVERAGE(OFFSET($H$3,0,0,'Données projet'!$E$14+1,1))</f>
        <v>376.51107072413777</v>
      </c>
      <c r="DU47" s="59">
        <f t="shared" si="44"/>
        <v>532.90758914457615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0.58215257620261529</v>
      </c>
      <c r="EB47" s="21">
        <f>EXP(-LN(2)/25)*EB46+(1-EXP(-LN(2)/25))/(LN(2)/25)*Calculateur!DW47*Calculateur!DY47*VLOOKUP('Données projet'!$B$14,Paramètres!$A$1:$I$89,3,0)*0.475*44/12</f>
        <v>4.1474950927878984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4.7296476689905136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15.21153846153846</v>
      </c>
      <c r="EJ47" s="12">
        <f>IF('Données projet'!$A$192&gt;35,EJ46+EI47-ER46,IF(A47&lt;'Données projet'!$A$192,$EG$205^A47,IF(A47='Données projet'!$A$192,'Données projet'!$B$192,EJ46+EI47-ER46)))</f>
        <v>366.9</v>
      </c>
      <c r="EK47" s="17">
        <f>EJ47*VLOOKUP('Données projet'!$B$15,Paramètres!$A$1:$I$89,3,0)*VLOOKUP('Données projet'!$B$15,Paramètres!$A$1:$I$89,5,0)</f>
        <v>219.40620000000001</v>
      </c>
      <c r="EL47" s="13">
        <f t="shared" si="45"/>
        <v>53.985805930473333</v>
      </c>
      <c r="EM47" s="20">
        <f t="shared" si="19"/>
        <v>476.15774366224105</v>
      </c>
      <c r="EN47" s="59">
        <f t="shared" si="20"/>
        <v>727.04821240037847</v>
      </c>
      <c r="EO47" s="59">
        <f ca="1">AVERAGE(OFFSET($EN$3,0,0,'Données projet'!$E$15+1,1))-AVERAGE(OFFSET($H$3,0,0,'Données projet'!$E$15+1,1))</f>
        <v>337.99164391755608</v>
      </c>
      <c r="EP47" s="59">
        <f t="shared" si="46"/>
        <v>421.45428231923393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42.324319120069795</v>
      </c>
      <c r="EW47" s="21">
        <f>EXP(-LN(2)/25)*EW46+(1-EXP(-LN(2)/25))/(LN(2)/25)*Calculateur!ER47*Calculateur!ET47*VLOOKUP('Données projet'!$B$15,Paramètres!$A$1:$I$89,3,0)*0.475*44/12</f>
        <v>18.845144414067725</v>
      </c>
      <c r="EX47" s="21">
        <f>EXP(-LN(2)/2)*EX46+(1-EXP(-LN(2)/2))/(LN(2)/2)*ER47*EU47*VLOOKUP('Données projet'!$B$15,Paramètres!$A$1:$I$89,3,0)*0.475*44/12</f>
        <v>2.172870272806986</v>
      </c>
      <c r="EY47" s="22">
        <f t="shared" si="21"/>
        <v>63.342333806944509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6.826007326007324</v>
      </c>
      <c r="N48" s="13">
        <f>IF('Données projet'!$A$36&gt;35,N47+M48-V47,IF(A48&lt;'Données projet'!$A$36,$K$205^A48,IF(A48='Données projet'!$A$36,'Données projet'!$B$36,N47+M48-V47)))</f>
        <v>104.83241758241752</v>
      </c>
      <c r="O48" s="13">
        <f>N48*VLOOKUP('Données projet'!$B$9,Paramètres!$A$1:$I$89,3,0)*VLOOKUP('Données projet'!$B$9,Paramètres!$A$1:$I$89,5,0)</f>
        <v>94.852371428571374</v>
      </c>
      <c r="P48" s="13">
        <f t="shared" si="33"/>
        <v>25.731899613510901</v>
      </c>
      <c r="Q48" s="20">
        <f t="shared" si="53"/>
        <v>210.01760539829328</v>
      </c>
      <c r="R48" s="59">
        <f t="shared" si="0"/>
        <v>461.64436294912741</v>
      </c>
      <c r="S48" s="59">
        <f ca="1">AVERAGE(OFFSET($R$3,0,0,'Données projet'!$E$9+1,1))-AVERAGE(OFFSET($H$3,0,0,'Données projet'!$E$9+1,1))</f>
        <v>388.1278150896951</v>
      </c>
      <c r="T48" s="59">
        <f t="shared" si="34"/>
        <v>232.26614607059227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6.826007326007324</v>
      </c>
      <c r="AI48" s="13">
        <f>IF('Données projet'!$A$62&gt;35,AI47+AH48-AQ47,IF(A48&lt;'Données projet'!$A$62,$AF$205^A48,IF(A48='Données projet'!$A$62,'Données projet'!$B$62,AI47+AH48-AQ47)))</f>
        <v>104.83241758241752</v>
      </c>
      <c r="AJ48" s="13">
        <f>AI48*VLOOKUP('Données projet'!$B$10,Paramètres!$A$1:$I$89,3,0)*VLOOKUP('Données projet'!$B$10,Paramètres!$A$1:$I$89,5,0)</f>
        <v>106.30007142857137</v>
      </c>
      <c r="AK48" s="13">
        <f t="shared" si="35"/>
        <v>28.457524292851215</v>
      </c>
      <c r="AL48" s="20">
        <f t="shared" si="4"/>
        <v>234.70281254814427</v>
      </c>
      <c r="AM48" s="59">
        <f t="shared" si="5"/>
        <v>486.32957009897837</v>
      </c>
      <c r="AN48" s="59">
        <f ca="1">AVERAGE(OFFSET($AM$3,0,0,'Données projet'!$E$10+1,1))-AVERAGE(OFFSET($H$3,0,0,'Données projet'!$E$10+1,1))</f>
        <v>424.89201140676084</v>
      </c>
      <c r="AO48" s="59">
        <f t="shared" si="36"/>
        <v>253.0016648946303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6.826007326007324</v>
      </c>
      <c r="BD48" s="12">
        <f>IF('Données projet'!$A$88&gt;35,BD47+BC48-BL47,IF(A48&lt;'Données projet'!$A$88,$BA$205^A48,IF(A48='Données projet'!$A$88,'Données projet'!$B$88,BD47+BC48-BL47)))</f>
        <v>104.83241758241752</v>
      </c>
      <c r="BE48" s="13">
        <f>BD48*VLOOKUP('Données projet'!$B$11,Paramètres!$A$1:$I$89,3,0)*VLOOKUP('Données projet'!$B$11,Paramètres!$A$1:$I$89,5,0)</f>
        <v>99.758528571428513</v>
      </c>
      <c r="BF48" s="13">
        <f t="shared" si="37"/>
        <v>26.90446221835996</v>
      </c>
      <c r="BG48" s="20">
        <f t="shared" si="7"/>
        <v>220.60470895888159</v>
      </c>
      <c r="BH48" s="59">
        <f t="shared" si="8"/>
        <v>472.23146650971569</v>
      </c>
      <c r="BI48" s="59">
        <f ca="1">AVERAGE(OFFSET($BH$3,0,0,'Données projet'!$E$11+1,1))-AVERAGE(OFFSET($H$3,0,0,'Données projet'!$E$11+1,1))</f>
        <v>403.89478276355294</v>
      </c>
      <c r="BJ48" s="59">
        <f t="shared" si="38"/>
        <v>241.1593989733278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242</v>
      </c>
      <c r="BW48" s="12">
        <f>VLOOKUP(A48,'Données projet'!$A$113:$I$133,9,0)</f>
        <v>9.8000000000000007</v>
      </c>
      <c r="BX48" s="12">
        <f t="array" ref="BX48">INDEX(BW:BW,MIN(IF(ISNUMBER(BW48:BW244),ROW(BW48:BW244),"")))</f>
        <v>9.8000000000000007</v>
      </c>
      <c r="BY48" s="12">
        <f>IF('Données projet'!$A$114&gt;35,BY47+BX48-CG47,IF(A48&lt;'Données projet'!$A$114,$BV$205^A48,IF(A48='Données projet'!$A$114,'Données projet'!$B$114,BY47+BX48-CG47)))</f>
        <v>242.00000000000006</v>
      </c>
      <c r="BZ48" s="13">
        <f>BY48*VLOOKUP('Données projet'!$B$12,Paramètres!$A$1:$I$89,3,0)*VLOOKUP('Données projet'!$B$12,Paramètres!$A$1:$I$89,5,0)</f>
        <v>192.53520000000006</v>
      </c>
      <c r="CA48" s="13">
        <f t="shared" si="39"/>
        <v>48.100016456123079</v>
      </c>
      <c r="CB48" s="20">
        <f t="shared" si="10"/>
        <v>419.10633532774779</v>
      </c>
      <c r="CC48" s="59">
        <f t="shared" si="11"/>
        <v>670.73309287858194</v>
      </c>
      <c r="CD48" s="59">
        <f ca="1">AVERAGE(OFFSET($CC$3,0,0,'Données projet'!$E$12+1,1))-AVERAGE(OFFSET($H$3,0,0,'Données projet'!$E$12+1,1))</f>
        <v>377.27600411578322</v>
      </c>
      <c r="CE48" s="59">
        <f t="shared" si="40"/>
        <v>364.58250627635425</v>
      </c>
      <c r="CF48" s="15">
        <f>IF(ISNA(VLOOKUP(A48,'Données projet'!$A$113:$I$133,3,0)),0,VLOOKUP(A48,'Données projet'!$A$113:$I$133,3,0))</f>
        <v>7</v>
      </c>
      <c r="CG48" s="15">
        <f>IF(ISNA(VLOOKUP(A48,'Données projet'!$A$113:$I$133,4,0)),0,VLOOKUP(A48,'Données projet'!$A$113:$I$133,4,0))</f>
        <v>24</v>
      </c>
      <c r="CH48" s="16">
        <f>IF(ISNA(VLOOKUP(A48,'Données projet'!$A$113:$I$133,5,0)),0%,VLOOKUP(A48,'Données projet'!$A$113:$I$133,5,0)*VLOOKUP('Données projet'!$B$12,Paramètres!$A$1:$I$89,7,0))</f>
        <v>0.43990000000000001</v>
      </c>
      <c r="CI48" s="16">
        <f>IF(ISNA(VLOOKUP(A48,'Données projet'!$A$113:$I$133,6,0)),0%,VLOOKUP(A48,'Données projet'!$A$113:$I$133,6,0)*VLOOKUP('Données projet'!$B$12,Paramètres!$A$1:$I$89,7,0))</f>
        <v>6.8900000000000003E-2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29.088889009305952</v>
      </c>
      <c r="CL48" s="21">
        <f>EXP(-LN(2)/25)*CL47+(1-EXP(-LN(2)/25))/(LN(2)/25)*Calculateur!CG48*Calculateur!CI48*VLOOKUP('Données projet'!$B$12,Paramètres!$A$1:$I$89,3,0)*0.475*44/12</f>
        <v>15.466117885333276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44.555006894639227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10.375</v>
      </c>
      <c r="CT48" s="12">
        <f>IF('Données projet'!$A$140&gt;35,CT47+CS48-DB47,IF(A48&lt;'Données projet'!$A$140,$CQ$205^A48,IF(A48='Données projet'!$A$140,'Données projet'!$B$140,CT47+CS48-DB47)))</f>
        <v>197.37499999999997</v>
      </c>
      <c r="CU48" s="17">
        <f>CT48*VLOOKUP('Données projet'!$B$13,Paramètres!$A$1:$I$89,3,0)*VLOOKUP('Données projet'!$B$13,Paramètres!$A$1:$I$89,5,0)</f>
        <v>153.95249999999999</v>
      </c>
      <c r="CV48" s="13">
        <f t="shared" si="41"/>
        <v>39.475441267837397</v>
      </c>
      <c r="CW48" s="20">
        <f t="shared" si="13"/>
        <v>336.88699770815009</v>
      </c>
      <c r="CX48" s="59">
        <f t="shared" si="14"/>
        <v>588.51375525898425</v>
      </c>
      <c r="CY48" s="59">
        <f ca="1">AVERAGE(OFFSET($CX$3,0,0,'Données projet'!$E$13+1,1))-AVERAGE(OFFSET($H$3,0,0,'Données projet'!$E$13+1,1))</f>
        <v>308.82719216177946</v>
      </c>
      <c r="CZ48" s="59">
        <f t="shared" si="42"/>
        <v>302.59481222418219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12.620361058656687</v>
      </c>
      <c r="DG48" s="21">
        <f>EXP(-LN(2)/25)*DG47+(1-EXP(-LN(2)/25))/(LN(2)/25)*Calculateur!DB48*Calculateur!DD48*VLOOKUP('Données projet'!$B$13,Paramètres!$A$1:$I$89,3,0)*0.475*44/12</f>
        <v>19.117590690446917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31.737951749103605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312</v>
      </c>
      <c r="DM48" s="12">
        <f>VLOOKUP(A48,'Données projet'!$A$165:$I$185,9,0)</f>
        <v>6</v>
      </c>
      <c r="DN48" s="12">
        <f t="array" ref="DN48">INDEX(DM:DM,MIN(IF(ISNUMBER(DM48:DM244),ROW(DM48:DM244),"")))</f>
        <v>6</v>
      </c>
      <c r="DO48" s="12">
        <f>IF('Données projet'!$A$166&gt;35,DO47+DN48-DW47,IF(A48&lt;'Données projet'!$A$166,$DL$205^A48,IF(A48='Données projet'!$A$166,'Données projet'!$B$166,DO47+DN48-DW47)))</f>
        <v>311.99999999999983</v>
      </c>
      <c r="DP48" s="17">
        <f>DO48*VLOOKUP('Données projet'!$B$14,Paramètres!$A$1:$I$89,3,0)*VLOOKUP('Données projet'!$B$14,Paramètres!$A$1:$I$89,5,0)</f>
        <v>282.29759999999982</v>
      </c>
      <c r="DQ48" s="13">
        <f t="shared" si="43"/>
        <v>67.452326629470107</v>
      </c>
      <c r="DR48" s="20">
        <f t="shared" si="16"/>
        <v>609.1477888796602</v>
      </c>
      <c r="DS48" s="59">
        <f t="shared" si="17"/>
        <v>860.7745464304943</v>
      </c>
      <c r="DT48" s="59">
        <f ca="1">AVERAGE(OFFSET($DS$3,0,0,'Données projet'!$E$14+1,1))-AVERAGE(OFFSET($H$3,0,0,'Données projet'!$E$14+1,1))</f>
        <v>376.51107072413777</v>
      </c>
      <c r="DU48" s="59">
        <f t="shared" si="44"/>
        <v>532.90758914457615</v>
      </c>
      <c r="DV48" s="15">
        <f>IF(ISNA(VLOOKUP(A48,'Données projet'!$A$165:$I$185,3,0)),0,VLOOKUP(A48,'Données projet'!$A$165:$I$185,3,0))</f>
        <v>9</v>
      </c>
      <c r="DW48" s="15">
        <f>IF(ISNA(VLOOKUP(A48,'Données projet'!$A$165:$I$185,4,0)),0,VLOOKUP(A48,'Données projet'!$A$165:$I$185,4,0))</f>
        <v>7</v>
      </c>
      <c r="DX48" s="16">
        <f>IF(ISNA(VLOOKUP(A48,'Données projet'!$A$165:$I$185,5,0)),0%,VLOOKUP(A48,'Données projet'!$A$165:$I$185,5,0)*VLOOKUP('Données projet'!$B$14,Paramètres!$A$1:$I$89,7,0))</f>
        <v>0.09</v>
      </c>
      <c r="DY48" s="16">
        <f>IF(ISNA(VLOOKUP(A48,'Données projet'!$A$165:$I$185,6,0)),0%,VLOOKUP(A48,'Données projet'!$A$165:$I$185,6,0)*VLOOKUP('Données projet'!$B$14,Paramètres!$A$1:$I$89,7,0))</f>
        <v>0.12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1.2008815668841828</v>
      </c>
      <c r="EB48" s="21">
        <f>EXP(-LN(2)/25)*EB47+(1-EXP(-LN(2)/25))/(LN(2)/25)*Calculateur!DW48*Calculateur!DY48*VLOOKUP('Données projet'!$B$14,Paramètres!$A$1:$I$89,3,0)*0.475*44/12</f>
        <v>4.8709663254233444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6.0718478923075274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15.21153846153846</v>
      </c>
      <c r="EJ48" s="12">
        <f>IF('Données projet'!$A$192&gt;35,EJ47+EI48-ER47,IF(A48&lt;'Données projet'!$A$192,$EG$205^A48,IF(A48='Données projet'!$A$192,'Données projet'!$B$192,EJ47+EI48-ER47)))</f>
        <v>382.11153846153843</v>
      </c>
      <c r="EK48" s="17">
        <f>EJ48*VLOOKUP('Données projet'!$B$15,Paramètres!$A$1:$I$89,3,0)*VLOOKUP('Données projet'!$B$15,Paramètres!$A$1:$I$89,5,0)</f>
        <v>228.5027</v>
      </c>
      <c r="EL48" s="13">
        <f t="shared" si="45"/>
        <v>55.958807302542631</v>
      </c>
      <c r="EM48" s="20">
        <f t="shared" si="19"/>
        <v>495.4371252185951</v>
      </c>
      <c r="EN48" s="59">
        <f t="shared" si="20"/>
        <v>747.06388276942926</v>
      </c>
      <c r="EO48" s="59">
        <f ca="1">AVERAGE(OFFSET($EN$3,0,0,'Données projet'!$E$15+1,1))-AVERAGE(OFFSET($H$3,0,0,'Données projet'!$E$15+1,1))</f>
        <v>337.99164391755608</v>
      </c>
      <c r="EP48" s="59">
        <f t="shared" si="46"/>
        <v>421.45428231923393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41.494365037410844</v>
      </c>
      <c r="EW48" s="21">
        <f>EXP(-LN(2)/25)*EW47+(1-EXP(-LN(2)/25))/(LN(2)/25)*Calculateur!ER48*Calculateur!ET48*VLOOKUP('Données projet'!$B$15,Paramètres!$A$1:$I$89,3,0)*0.475*44/12</f>
        <v>18.329822949041969</v>
      </c>
      <c r="EX48" s="21">
        <f>EXP(-LN(2)/2)*EX47+(1-EXP(-LN(2)/2))/(LN(2)/2)*ER48*EU48*VLOOKUP('Données projet'!$B$15,Paramètres!$A$1:$I$89,3,0)*0.475*44/12</f>
        <v>1.5364513045404833</v>
      </c>
      <c r="EY48" s="22">
        <f t="shared" si="21"/>
        <v>61.360639290993298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6.826007326007324</v>
      </c>
      <c r="N49" s="13">
        <f>IF('Données projet'!$A$36&gt;35,N48+M49-V48,IF(A49&lt;'Données projet'!$A$36,$K$205^A49,IF(A49='Données projet'!$A$36,'Données projet'!$B$36,N48+M49-V48)))</f>
        <v>111.65842490842485</v>
      </c>
      <c r="O49" s="13">
        <f>N49*VLOOKUP('Données projet'!$B$9,Paramètres!$A$1:$I$89,3,0)*VLOOKUP('Données projet'!$B$9,Paramètres!$A$1:$I$89,5,0)</f>
        <v>101.0285428571428</v>
      </c>
      <c r="P49" s="13">
        <f t="shared" si="33"/>
        <v>27.206887577634099</v>
      </c>
      <c r="Q49" s="20">
        <f t="shared" si="53"/>
        <v>223.3433746739031</v>
      </c>
      <c r="R49" s="59">
        <f t="shared" si="0"/>
        <v>475.69364807262878</v>
      </c>
      <c r="S49" s="59">
        <f ca="1">AVERAGE(OFFSET($R$3,0,0,'Données projet'!$E$9+1,1))-AVERAGE(OFFSET($H$3,0,0,'Données projet'!$E$9+1,1))</f>
        <v>388.1278150896951</v>
      </c>
      <c r="T49" s="59">
        <f t="shared" si="34"/>
        <v>232.26614607059227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6.826007326007324</v>
      </c>
      <c r="AI49" s="13">
        <f>IF('Données projet'!$A$62&gt;35,AI48+AH49-AQ48,IF(A49&lt;'Données projet'!$A$62,$AF$205^A49,IF(A49='Données projet'!$A$62,'Données projet'!$B$62,AI48+AH49-AQ48)))</f>
        <v>111.65842490842485</v>
      </c>
      <c r="AJ49" s="13">
        <f>AI49*VLOOKUP('Données projet'!$B$10,Paramètres!$A$1:$I$89,3,0)*VLOOKUP('Données projet'!$B$10,Paramètres!$A$1:$I$89,5,0)</f>
        <v>113.2216428571428</v>
      </c>
      <c r="AK49" s="13">
        <f t="shared" si="35"/>
        <v>30.088748821593761</v>
      </c>
      <c r="AL49" s="20">
        <f t="shared" si="4"/>
        <v>249.59893217379951</v>
      </c>
      <c r="AM49" s="59">
        <f t="shared" si="5"/>
        <v>501.94920557252516</v>
      </c>
      <c r="AN49" s="59">
        <f ca="1">AVERAGE(OFFSET($AM$3,0,0,'Données projet'!$E$10+1,1))-AVERAGE(OFFSET($H$3,0,0,'Données projet'!$E$10+1,1))</f>
        <v>424.89201140676084</v>
      </c>
      <c r="AO49" s="59">
        <f t="shared" si="36"/>
        <v>253.0016648946303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6.826007326007324</v>
      </c>
      <c r="BD49" s="12">
        <f>IF('Données projet'!$A$88&gt;35,BD48+BC49-BL48,IF(A49&lt;'Données projet'!$A$88,$BA$205^A49,IF(A49='Données projet'!$A$88,'Données projet'!$B$88,BD48+BC49-BL48)))</f>
        <v>111.65842490842485</v>
      </c>
      <c r="BE49" s="13">
        <f>BD49*VLOOKUP('Données projet'!$B$11,Paramètres!$A$1:$I$89,3,0)*VLOOKUP('Données projet'!$B$11,Paramètres!$A$1:$I$89,5,0)</f>
        <v>106.2541571428571</v>
      </c>
      <c r="BF49" s="13">
        <f t="shared" si="37"/>
        <v>28.446663087682943</v>
      </c>
      <c r="BG49" s="20">
        <f t="shared" si="7"/>
        <v>234.60392856819058</v>
      </c>
      <c r="BH49" s="59">
        <f t="shared" si="8"/>
        <v>486.95420196691623</v>
      </c>
      <c r="BI49" s="59">
        <f ca="1">AVERAGE(OFFSET($BH$3,0,0,'Données projet'!$E$11+1,1))-AVERAGE(OFFSET($H$3,0,0,'Données projet'!$E$11+1,1))</f>
        <v>403.89478276355294</v>
      </c>
      <c r="BJ49" s="59">
        <f t="shared" si="38"/>
        <v>241.1593989733278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8.6</v>
      </c>
      <c r="BY49" s="12">
        <f>IF('Données projet'!$A$114&gt;35,BY48+BX49-CG48,IF(A49&lt;'Données projet'!$A$114,$BV$205^A49,IF(A49='Données projet'!$A$114,'Données projet'!$B$114,BY48+BX49-CG48)))</f>
        <v>226.60000000000005</v>
      </c>
      <c r="BZ49" s="13">
        <f>BY49*VLOOKUP('Données projet'!$B$12,Paramètres!$A$1:$I$89,3,0)*VLOOKUP('Données projet'!$B$12,Paramètres!$A$1:$I$89,5,0)</f>
        <v>180.28296000000006</v>
      </c>
      <c r="CA49" s="13">
        <f t="shared" si="39"/>
        <v>45.385133797071397</v>
      </c>
      <c r="CB49" s="20">
        <f t="shared" si="10"/>
        <v>393.03859669656612</v>
      </c>
      <c r="CC49" s="59">
        <f t="shared" si="11"/>
        <v>645.38887009529174</v>
      </c>
      <c r="CD49" s="59">
        <f ca="1">AVERAGE(OFFSET($CC$3,0,0,'Données projet'!$E$12+1,1))-AVERAGE(OFFSET($H$3,0,0,'Données projet'!$E$12+1,1))</f>
        <v>377.27600411578322</v>
      </c>
      <c r="CE49" s="59">
        <f t="shared" si="40"/>
        <v>364.58250627635425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28.518473638303835</v>
      </c>
      <c r="CL49" s="21">
        <f>EXP(-LN(2)/25)*CL48+(1-EXP(-LN(2)/25))/(LN(2)/25)*Calculateur!CG49*Calculateur!CI49*VLOOKUP('Données projet'!$B$12,Paramètres!$A$1:$I$89,3,0)*0.475*44/12</f>
        <v>15.043196078431047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43.561669716734883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10.375</v>
      </c>
      <c r="CT49" s="12">
        <f>IF('Données projet'!$A$140&gt;35,CT48+CS49-DB48,IF(A49&lt;'Données projet'!$A$140,$CQ$205^A49,IF(A49='Données projet'!$A$140,'Données projet'!$B$140,CT48+CS49-DB48)))</f>
        <v>207.74999999999997</v>
      </c>
      <c r="CU49" s="17">
        <f>CT49*VLOOKUP('Données projet'!$B$13,Paramètres!$A$1:$I$89,3,0)*VLOOKUP('Données projet'!$B$13,Paramètres!$A$1:$I$89,5,0)</f>
        <v>162.04499999999999</v>
      </c>
      <c r="CV49" s="13">
        <f t="shared" si="41"/>
        <v>41.303429372463391</v>
      </c>
      <c r="CW49" s="20">
        <f t="shared" si="13"/>
        <v>354.16518115704031</v>
      </c>
      <c r="CX49" s="59">
        <f t="shared" si="14"/>
        <v>606.51545455576593</v>
      </c>
      <c r="CY49" s="59">
        <f ca="1">AVERAGE(OFFSET($CX$3,0,0,'Données projet'!$E$13+1,1))-AVERAGE(OFFSET($H$3,0,0,'Données projet'!$E$13+1,1))</f>
        <v>308.82719216177946</v>
      </c>
      <c r="CZ49" s="59">
        <f t="shared" si="42"/>
        <v>302.59481222418219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12.372883475956595</v>
      </c>
      <c r="DG49" s="21">
        <f>EXP(-LN(2)/25)*DG48+(1-EXP(-LN(2)/25))/(LN(2)/25)*Calculateur!DB49*Calculateur!DD49*VLOOKUP('Données projet'!$B$13,Paramètres!$A$1:$I$89,3,0)*0.475*44/12</f>
        <v>18.594819167666245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30.96770264362284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304.99999999999983</v>
      </c>
      <c r="DP49" s="17">
        <f>DO49*VLOOKUP('Données projet'!$B$14,Paramètres!$A$1:$I$89,3,0)*VLOOKUP('Données projet'!$B$14,Paramètres!$A$1:$I$89,5,0)</f>
        <v>275.96399999999983</v>
      </c>
      <c r="DQ49" s="13">
        <f t="shared" si="43"/>
        <v>66.113366665488854</v>
      </c>
      <c r="DR49" s="20">
        <f t="shared" si="16"/>
        <v>595.78474694239264</v>
      </c>
      <c r="DS49" s="59">
        <f t="shared" si="17"/>
        <v>848.13502034111832</v>
      </c>
      <c r="DT49" s="59">
        <f ca="1">AVERAGE(OFFSET($DS$3,0,0,'Données projet'!$E$14+1,1))-AVERAGE(OFFSET($H$3,0,0,'Données projet'!$E$14+1,1))</f>
        <v>376.51107072413777</v>
      </c>
      <c r="DU49" s="59">
        <f t="shared" si="44"/>
        <v>532.90758914457615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1.1773330118230148</v>
      </c>
      <c r="EB49" s="21">
        <f>EXP(-LN(2)/25)*EB48+(1-EXP(-LN(2)/25))/(LN(2)/25)*Calculateur!DW49*Calculateur!DY49*VLOOKUP('Données projet'!$B$14,Paramètres!$A$1:$I$89,3,0)*0.475*44/12</f>
        <v>4.7377694951016567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5.9151025069246712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15.21153846153846</v>
      </c>
      <c r="EJ49" s="12">
        <f>IF('Données projet'!$A$192&gt;35,EJ48+EI49-ER48,IF(A49&lt;'Données projet'!$A$192,$EG$205^A49,IF(A49='Données projet'!$A$192,'Données projet'!$B$192,EJ48+EI49-ER48)))</f>
        <v>397.32307692307688</v>
      </c>
      <c r="EK49" s="17">
        <f>EJ49*VLOOKUP('Données projet'!$B$15,Paramètres!$A$1:$I$89,3,0)*VLOOKUP('Données projet'!$B$15,Paramètres!$A$1:$I$89,5,0)</f>
        <v>237.5992</v>
      </c>
      <c r="EL49" s="13">
        <f t="shared" si="45"/>
        <v>57.922684812819405</v>
      </c>
      <c r="EM49" s="20">
        <f t="shared" si="19"/>
        <v>514.70061604899377</v>
      </c>
      <c r="EN49" s="59">
        <f t="shared" si="20"/>
        <v>767.05088944771944</v>
      </c>
      <c r="EO49" s="59">
        <f ca="1">AVERAGE(OFFSET($EN$3,0,0,'Données projet'!$E$15+1,1))-AVERAGE(OFFSET($H$3,0,0,'Données projet'!$E$15+1,1))</f>
        <v>337.99164391755608</v>
      </c>
      <c r="EP49" s="59">
        <f t="shared" si="46"/>
        <v>421.45428231923393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40.680685848090825</v>
      </c>
      <c r="EW49" s="21">
        <f>EXP(-LN(2)/25)*EW48+(1-EXP(-LN(2)/25))/(LN(2)/25)*Calculateur!ER49*Calculateur!ET49*VLOOKUP('Données projet'!$B$15,Paramètres!$A$1:$I$89,3,0)*0.475*44/12</f>
        <v>17.828592976576921</v>
      </c>
      <c r="EX49" s="21">
        <f>EXP(-LN(2)/2)*EX48+(1-EXP(-LN(2)/2))/(LN(2)/2)*ER49*EU49*VLOOKUP('Données projet'!$B$15,Paramètres!$A$1:$I$89,3,0)*0.475*44/12</f>
        <v>1.086435136403493</v>
      </c>
      <c r="EY49" s="22">
        <f t="shared" si="21"/>
        <v>59.59571396107124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6.826007326007324</v>
      </c>
      <c r="N50" s="13">
        <f>IF('Données projet'!$A$36&gt;35,N49+M50-V49,IF(A50&lt;'Données projet'!$A$36,$K$205^A50,IF(A50='Données projet'!$A$36,'Données projet'!$B$36,N49+M50-V49)))</f>
        <v>118.48443223443218</v>
      </c>
      <c r="O50" s="13">
        <f>N50*VLOOKUP('Données projet'!$B$9,Paramètres!$A$1:$I$89,3,0)*VLOOKUP('Données projet'!$B$9,Paramètres!$A$1:$I$89,5,0)</f>
        <v>107.20471428571423</v>
      </c>
      <c r="P50" s="13">
        <f t="shared" si="33"/>
        <v>28.671410088969473</v>
      </c>
      <c r="Q50" s="20">
        <f t="shared" si="53"/>
        <v>236.65091661924077</v>
      </c>
      <c r="R50" s="59">
        <f t="shared" si="0"/>
        <v>489.71215448343617</v>
      </c>
      <c r="S50" s="59">
        <f ca="1">AVERAGE(OFFSET($R$3,0,0,'Données projet'!$E$9+1,1))-AVERAGE(OFFSET($H$3,0,0,'Données projet'!$E$9+1,1))</f>
        <v>388.1278150896951</v>
      </c>
      <c r="T50" s="59">
        <f t="shared" si="34"/>
        <v>232.26614607059227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6.826007326007324</v>
      </c>
      <c r="AI50" s="13">
        <f>IF('Données projet'!$A$62&gt;35,AI49+AH50-AQ49,IF(A50&lt;'Données projet'!$A$62,$AF$205^A50,IF(A50='Données projet'!$A$62,'Données projet'!$B$62,AI49+AH50-AQ49)))</f>
        <v>118.48443223443218</v>
      </c>
      <c r="AJ50" s="13">
        <f>AI50*VLOOKUP('Données projet'!$B$10,Paramètres!$A$1:$I$89,3,0)*VLOOKUP('Données projet'!$B$10,Paramètres!$A$1:$I$89,5,0)</f>
        <v>120.14321428571424</v>
      </c>
      <c r="AK50" s="13">
        <f t="shared" si="35"/>
        <v>31.708399355356544</v>
      </c>
      <c r="AL50" s="20">
        <f t="shared" si="4"/>
        <v>264.47489375819822</v>
      </c>
      <c r="AM50" s="59">
        <f t="shared" si="5"/>
        <v>517.53613162239367</v>
      </c>
      <c r="AN50" s="59">
        <f ca="1">AVERAGE(OFFSET($AM$3,0,0,'Données projet'!$E$10+1,1))-AVERAGE(OFFSET($H$3,0,0,'Données projet'!$E$10+1,1))</f>
        <v>424.89201140676084</v>
      </c>
      <c r="AO50" s="59">
        <f t="shared" si="36"/>
        <v>253.0016648946303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6.826007326007324</v>
      </c>
      <c r="BD50" s="12">
        <f>IF('Données projet'!$A$88&gt;35,BD49+BC50-BL49,IF(A50&lt;'Données projet'!$A$88,$BA$205^A50,IF(A50='Données projet'!$A$88,'Données projet'!$B$88,BD49+BC50-BL49)))</f>
        <v>118.48443223443218</v>
      </c>
      <c r="BE50" s="13">
        <f>BD50*VLOOKUP('Données projet'!$B$11,Paramètres!$A$1:$I$89,3,0)*VLOOKUP('Données projet'!$B$11,Paramètres!$A$1:$I$89,5,0)</f>
        <v>112.74978571428566</v>
      </c>
      <c r="BF50" s="13">
        <f t="shared" si="37"/>
        <v>29.977921609827636</v>
      </c>
      <c r="BG50" s="20">
        <f t="shared" si="7"/>
        <v>248.58409025616402</v>
      </c>
      <c r="BH50" s="59">
        <f t="shared" si="8"/>
        <v>501.64532812035941</v>
      </c>
      <c r="BI50" s="59">
        <f ca="1">AVERAGE(OFFSET($BH$3,0,0,'Données projet'!$E$11+1,1))-AVERAGE(OFFSET($H$3,0,0,'Données projet'!$E$11+1,1))</f>
        <v>403.89478276355294</v>
      </c>
      <c r="BJ50" s="59">
        <f t="shared" si="38"/>
        <v>241.1593989733278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8.6</v>
      </c>
      <c r="BY50" s="12">
        <f>IF('Données projet'!$A$114&gt;35,BY49+BX50-CG49,IF(A50&lt;'Données projet'!$A$114,$BV$205^A50,IF(A50='Données projet'!$A$114,'Données projet'!$B$114,BY49+BX50-CG49)))</f>
        <v>235.20000000000005</v>
      </c>
      <c r="BZ50" s="13">
        <f>BY50*VLOOKUP('Données projet'!$B$12,Paramètres!$A$1:$I$89,3,0)*VLOOKUP('Données projet'!$B$12,Paramètres!$A$1:$I$89,5,0)</f>
        <v>187.12512000000004</v>
      </c>
      <c r="CA50" s="13">
        <f t="shared" si="39"/>
        <v>46.903794805770545</v>
      </c>
      <c r="CB50" s="20">
        <f t="shared" si="10"/>
        <v>407.60035995338376</v>
      </c>
      <c r="CC50" s="59">
        <f t="shared" si="11"/>
        <v>660.66159781757915</v>
      </c>
      <c r="CD50" s="59">
        <f ca="1">AVERAGE(OFFSET($CC$3,0,0,'Données projet'!$E$12+1,1))-AVERAGE(OFFSET($H$3,0,0,'Données projet'!$E$12+1,1))</f>
        <v>377.27600411578322</v>
      </c>
      <c r="CE50" s="59">
        <f t="shared" si="40"/>
        <v>364.58250627635425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27.959243764808047</v>
      </c>
      <c r="CL50" s="21">
        <f>EXP(-LN(2)/25)*CL49+(1-EXP(-LN(2)/25))/(LN(2)/25)*Calculateur!CG50*Calculateur!CI50*VLOOKUP('Données projet'!$B$12,Paramètres!$A$1:$I$89,3,0)*0.475*44/12</f>
        <v>14.631839090579049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42.5910828553871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10.375</v>
      </c>
      <c r="CT50" s="12">
        <f>IF('Données projet'!$A$140&gt;35,CT49+CS50-DB49,IF(A50&lt;'Données projet'!$A$140,$CQ$205^A50,IF(A50='Données projet'!$A$140,'Données projet'!$B$140,CT49+CS50-DB49)))</f>
        <v>218.12499999999997</v>
      </c>
      <c r="CU50" s="17">
        <f>CT50*VLOOKUP('Données projet'!$B$13,Paramètres!$A$1:$I$89,3,0)*VLOOKUP('Données projet'!$B$13,Paramètres!$A$1:$I$89,5,0)</f>
        <v>170.13749999999999</v>
      </c>
      <c r="CV50" s="13">
        <f t="shared" si="41"/>
        <v>43.120817562072411</v>
      </c>
      <c r="CW50" s="20">
        <f t="shared" si="13"/>
        <v>371.42490308727605</v>
      </c>
      <c r="CX50" s="59">
        <f t="shared" si="14"/>
        <v>624.4861409514715</v>
      </c>
      <c r="CY50" s="59">
        <f ca="1">AVERAGE(OFFSET($CX$3,0,0,'Données projet'!$E$13+1,1))-AVERAGE(OFFSET($H$3,0,0,'Données projet'!$E$13+1,1))</f>
        <v>308.82719216177946</v>
      </c>
      <c r="CZ50" s="59">
        <f t="shared" si="42"/>
        <v>302.59481222418219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12.13025877770683</v>
      </c>
      <c r="DG50" s="21">
        <f>EXP(-LN(2)/25)*DG49+(1-EXP(-LN(2)/25))/(LN(2)/25)*Calculateur!DB50*Calculateur!DD50*VLOOKUP('Données projet'!$B$13,Paramètres!$A$1:$I$89,3,0)*0.475*44/12</f>
        <v>18.086342859667369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30.216601637374197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304.99999999999983</v>
      </c>
      <c r="DP50" s="17">
        <f>DO50*VLOOKUP('Données projet'!$B$14,Paramètres!$A$1:$I$89,3,0)*VLOOKUP('Données projet'!$B$14,Paramètres!$A$1:$I$89,5,0)</f>
        <v>275.96399999999983</v>
      </c>
      <c r="DQ50" s="13">
        <f t="shared" si="43"/>
        <v>66.113366665488854</v>
      </c>
      <c r="DR50" s="20">
        <f t="shared" si="16"/>
        <v>595.78474694239264</v>
      </c>
      <c r="DS50" s="59">
        <f t="shared" si="17"/>
        <v>848.84598480658804</v>
      </c>
      <c r="DT50" s="59">
        <f ca="1">AVERAGE(OFFSET($DS$3,0,0,'Données projet'!$E$14+1,1))-AVERAGE(OFFSET($H$3,0,0,'Données projet'!$E$14+1,1))</f>
        <v>376.51107072413777</v>
      </c>
      <c r="DU50" s="59">
        <f t="shared" si="44"/>
        <v>532.90758914457615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1.154246229563396</v>
      </c>
      <c r="EB50" s="21">
        <f>EXP(-LN(2)/25)*EB49+(1-EXP(-LN(2)/25))/(LN(2)/25)*Calculateur!DW50*Calculateur!DY50*VLOOKUP('Données projet'!$B$14,Paramètres!$A$1:$I$89,3,0)*0.475*44/12</f>
        <v>4.6082149391096321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5.7624611686730276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15.21153846153846</v>
      </c>
      <c r="EJ50" s="12">
        <f>IF('Données projet'!$A$192&gt;35,EJ49+EI50-ER49,IF(A50&lt;'Données projet'!$A$192,$EG$205^A50,IF(A50='Données projet'!$A$192,'Données projet'!$B$192,EJ49+EI50-ER49)))</f>
        <v>412.53461538461534</v>
      </c>
      <c r="EK50" s="17">
        <f>EJ50*VLOOKUP('Données projet'!$B$15,Paramètres!$A$1:$I$89,3,0)*VLOOKUP('Données projet'!$B$15,Paramètres!$A$1:$I$89,5,0)</f>
        <v>246.69569999999999</v>
      </c>
      <c r="EL50" s="13">
        <f t="shared" si="45"/>
        <v>59.877827754324372</v>
      </c>
      <c r="EM50" s="20">
        <f t="shared" si="19"/>
        <v>533.94889417211482</v>
      </c>
      <c r="EN50" s="59">
        <f t="shared" si="20"/>
        <v>787.01013203631021</v>
      </c>
      <c r="EO50" s="59">
        <f ca="1">AVERAGE(OFFSET($EN$3,0,0,'Données projet'!$E$15+1,1))-AVERAGE(OFFSET($H$3,0,0,'Données projet'!$E$15+1,1))</f>
        <v>337.99164391755608</v>
      </c>
      <c r="EP50" s="59">
        <f t="shared" si="46"/>
        <v>421.45428231923393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39.882962411378074</v>
      </c>
      <c r="EW50" s="21">
        <f>EXP(-LN(2)/25)*EW49+(1-EXP(-LN(2)/25))/(LN(2)/25)*Calculateur!ER50*Calculateur!ET50*VLOOKUP('Données projet'!$B$15,Paramètres!$A$1:$I$89,3,0)*0.475*44/12</f>
        <v>17.34106916406747</v>
      </c>
      <c r="EX50" s="21">
        <f>EXP(-LN(2)/2)*EX49+(1-EXP(-LN(2)/2))/(LN(2)/2)*ER50*EU50*VLOOKUP('Données projet'!$B$15,Paramètres!$A$1:$I$89,3,0)*0.475*44/12</f>
        <v>0.76822565227024164</v>
      </c>
      <c r="EY50" s="22">
        <f t="shared" si="21"/>
        <v>57.992257227715783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6.826007326007324</v>
      </c>
      <c r="N51" s="13">
        <f>IF('Données projet'!$A$36&gt;35,N50+M51-V50,IF(A51&lt;'Données projet'!$A$36,$K$205^A51,IF(A51='Données projet'!$A$36,'Données projet'!$B$36,N50+M51-V50)))</f>
        <v>125.31043956043951</v>
      </c>
      <c r="O51" s="13">
        <f>N51*VLOOKUP('Données projet'!$B$9,Paramètres!$A$1:$I$89,3,0)*VLOOKUP('Données projet'!$B$9,Paramètres!$A$1:$I$89,5,0)</f>
        <v>113.38088571428565</v>
      </c>
      <c r="P51" s="13">
        <f t="shared" si="33"/>
        <v>30.126138765380961</v>
      </c>
      <c r="Q51" s="20">
        <f t="shared" si="53"/>
        <v>249.94140096875267</v>
      </c>
      <c r="R51" s="59">
        <f t="shared" si="0"/>
        <v>503.70126965442034</v>
      </c>
      <c r="S51" s="59">
        <f ca="1">AVERAGE(OFFSET($R$3,0,0,'Données projet'!$E$9+1,1))-AVERAGE(OFFSET($H$3,0,0,'Données projet'!$E$9+1,1))</f>
        <v>388.1278150896951</v>
      </c>
      <c r="T51" s="59">
        <f t="shared" si="34"/>
        <v>232.26614607059227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6.826007326007324</v>
      </c>
      <c r="AI51" s="13">
        <f>IF('Données projet'!$A$62&gt;35,AI50+AH51-AQ50,IF(A51&lt;'Données projet'!$A$62,$AF$205^A51,IF(A51='Données projet'!$A$62,'Données projet'!$B$62,AI50+AH51-AQ50)))</f>
        <v>125.31043956043951</v>
      </c>
      <c r="AJ51" s="13">
        <f>AI51*VLOOKUP('Données projet'!$B$10,Paramètres!$A$1:$I$89,3,0)*VLOOKUP('Données projet'!$B$10,Paramètres!$A$1:$I$89,5,0)</f>
        <v>127.06478571428566</v>
      </c>
      <c r="AK51" s="13">
        <f t="shared" si="35"/>
        <v>33.317218652426654</v>
      </c>
      <c r="AL51" s="20">
        <f t="shared" si="4"/>
        <v>279.33199093869058</v>
      </c>
      <c r="AM51" s="59">
        <f t="shared" si="5"/>
        <v>533.09185962435822</v>
      </c>
      <c r="AN51" s="59">
        <f ca="1">AVERAGE(OFFSET($AM$3,0,0,'Données projet'!$E$10+1,1))-AVERAGE(OFFSET($H$3,0,0,'Données projet'!$E$10+1,1))</f>
        <v>424.89201140676084</v>
      </c>
      <c r="AO51" s="59">
        <f t="shared" si="36"/>
        <v>253.0016648946303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6.826007326007324</v>
      </c>
      <c r="BD51" s="12">
        <f>IF('Données projet'!$A$88&gt;35,BD50+BC51-BL50,IF(A51&lt;'Données projet'!$A$88,$BA$205^A51,IF(A51='Données projet'!$A$88,'Données projet'!$B$88,BD50+BC51-BL50)))</f>
        <v>125.31043956043951</v>
      </c>
      <c r="BE51" s="13">
        <f>BD51*VLOOKUP('Données projet'!$B$11,Paramètres!$A$1:$I$89,3,0)*VLOOKUP('Données projet'!$B$11,Paramètres!$A$1:$I$89,5,0)</f>
        <v>119.24541428571423</v>
      </c>
      <c r="BF51" s="13">
        <f t="shared" si="37"/>
        <v>31.498940007238424</v>
      </c>
      <c r="BG51" s="20">
        <f t="shared" si="7"/>
        <v>262.54641706022585</v>
      </c>
      <c r="BH51" s="59">
        <f t="shared" si="8"/>
        <v>516.30628574589355</v>
      </c>
      <c r="BI51" s="59">
        <f ca="1">AVERAGE(OFFSET($BH$3,0,0,'Données projet'!$E$11+1,1))-AVERAGE(OFFSET($H$3,0,0,'Données projet'!$E$11+1,1))</f>
        <v>403.89478276355294</v>
      </c>
      <c r="BJ51" s="59">
        <f t="shared" si="38"/>
        <v>241.1593989733278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8.6</v>
      </c>
      <c r="BY51" s="12">
        <f>IF('Données projet'!$A$114&gt;35,BY50+BX51-CG50,IF(A51&lt;'Données projet'!$A$114,$BV$205^A51,IF(A51='Données projet'!$A$114,'Données projet'!$B$114,BY50+BX51-CG50)))</f>
        <v>243.80000000000004</v>
      </c>
      <c r="BZ51" s="13">
        <f>BY51*VLOOKUP('Données projet'!$B$12,Paramètres!$A$1:$I$89,3,0)*VLOOKUP('Données projet'!$B$12,Paramètres!$A$1:$I$89,5,0)</f>
        <v>193.96728000000004</v>
      </c>
      <c r="CA51" s="13">
        <f t="shared" si="39"/>
        <v>48.41600442423902</v>
      </c>
      <c r="CB51" s="20">
        <f t="shared" si="10"/>
        <v>422.15088703888301</v>
      </c>
      <c r="CC51" s="59">
        <f t="shared" si="11"/>
        <v>675.91075572455065</v>
      </c>
      <c r="CD51" s="59">
        <f ca="1">AVERAGE(OFFSET($CC$3,0,0,'Données projet'!$E$12+1,1))-AVERAGE(OFFSET($H$3,0,0,'Données projet'!$E$12+1,1))</f>
        <v>377.27600411578322</v>
      </c>
      <c r="CE51" s="59">
        <f t="shared" si="40"/>
        <v>364.58250627635425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27.410980048034968</v>
      </c>
      <c r="CL51" s="21">
        <f>EXP(-LN(2)/25)*CL50+(1-EXP(-LN(2)/25))/(LN(2)/25)*Calculateur!CG51*Calculateur!CI51*VLOOKUP('Données projet'!$B$12,Paramètres!$A$1:$I$89,3,0)*0.475*44/12</f>
        <v>14.23173068119219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41.642710729227161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10.375</v>
      </c>
      <c r="CT51" s="12">
        <f>IF('Données projet'!$A$140&gt;35,CT50+CS51-DB50,IF(A51&lt;'Données projet'!$A$140,$CQ$205^A51,IF(A51='Données projet'!$A$140,'Données projet'!$B$140,CT50+CS51-DB50)))</f>
        <v>228.49999999999997</v>
      </c>
      <c r="CU51" s="17">
        <f>CT51*VLOOKUP('Données projet'!$B$13,Paramètres!$A$1:$I$89,3,0)*VLOOKUP('Données projet'!$B$13,Paramètres!$A$1:$I$89,5,0)</f>
        <v>178.23</v>
      </c>
      <c r="CV51" s="13">
        <f t="shared" si="41"/>
        <v>44.928167580487852</v>
      </c>
      <c r="CW51" s="20">
        <f t="shared" si="13"/>
        <v>388.66714186934956</v>
      </c>
      <c r="CX51" s="59">
        <f t="shared" si="14"/>
        <v>642.4270105550172</v>
      </c>
      <c r="CY51" s="59">
        <f ca="1">AVERAGE(OFFSET($CX$3,0,0,'Données projet'!$E$13+1,1))-AVERAGE(OFFSET($H$3,0,0,'Données projet'!$E$13+1,1))</f>
        <v>308.82719216177946</v>
      </c>
      <c r="CZ51" s="59">
        <f t="shared" si="42"/>
        <v>302.59481222418219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11.89239180180329</v>
      </c>
      <c r="DG51" s="21">
        <f>EXP(-LN(2)/25)*DG50+(1-EXP(-LN(2)/25))/(LN(2)/25)*Calculateur!DB51*Calculateur!DD51*VLOOKUP('Données projet'!$B$13,Paramètres!$A$1:$I$89,3,0)*0.475*44/12</f>
        <v>17.591770863050332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29.484162664853621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304.99999999999983</v>
      </c>
      <c r="DP51" s="17">
        <f>DO51*VLOOKUP('Données projet'!$B$14,Paramètres!$A$1:$I$89,3,0)*VLOOKUP('Données projet'!$B$14,Paramètres!$A$1:$I$89,5,0)</f>
        <v>275.96399999999983</v>
      </c>
      <c r="DQ51" s="13">
        <f t="shared" si="43"/>
        <v>66.113366665488854</v>
      </c>
      <c r="DR51" s="20">
        <f t="shared" si="16"/>
        <v>595.78474694239264</v>
      </c>
      <c r="DS51" s="59">
        <f t="shared" si="17"/>
        <v>849.54461562806034</v>
      </c>
      <c r="DT51" s="59">
        <f ca="1">AVERAGE(OFFSET($DS$3,0,0,'Données projet'!$E$14+1,1))-AVERAGE(OFFSET($H$3,0,0,'Données projet'!$E$14+1,1))</f>
        <v>376.51107072413777</v>
      </c>
      <c r="DU51" s="59">
        <f t="shared" si="44"/>
        <v>532.90758914457615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1.1316121650223416</v>
      </c>
      <c r="EB51" s="21">
        <f>EXP(-LN(2)/25)*EB50+(1-EXP(-LN(2)/25))/(LN(2)/25)*Calculateur!DW51*Calculateur!DY51*VLOOKUP('Données projet'!$B$14,Paramètres!$A$1:$I$89,3,0)*0.475*44/12</f>
        <v>4.4822030592641875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5.6138152242865296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>
        <f>VLOOKUP(A51,'Données projet'!$A$191:$I$211,2,0)</f>
        <v>427.74615384615385</v>
      </c>
      <c r="EH51" s="12">
        <f>VLOOKUP(A51,'Données projet'!$A$191:$I$211,9,0)</f>
        <v>15.21153846153846</v>
      </c>
      <c r="EI51" s="12">
        <f t="array" ref="EI51">INDEX(EH:EH,MIN(IF(ISNUMBER(EH51:EH247),ROW(EH51:EH247),"")))</f>
        <v>15.21153846153846</v>
      </c>
      <c r="EJ51" s="12">
        <f>IF('Données projet'!$A$192&gt;35,EJ50+EI51-ER50,IF(A51&lt;'Données projet'!$A$192,$EG$205^A51,IF(A51='Données projet'!$A$192,'Données projet'!$B$192,EJ50+EI51-ER50)))</f>
        <v>427.74615384615379</v>
      </c>
      <c r="EK51" s="17">
        <f>EJ51*VLOOKUP('Données projet'!$B$15,Paramètres!$A$1:$I$89,3,0)*VLOOKUP('Données projet'!$B$15,Paramètres!$A$1:$I$89,5,0)</f>
        <v>255.79219999999998</v>
      </c>
      <c r="EL51" s="13">
        <f t="shared" si="45"/>
        <v>61.824595084245523</v>
      </c>
      <c r="EM51" s="20">
        <f t="shared" si="19"/>
        <v>553.18258477172765</v>
      </c>
      <c r="EN51" s="59">
        <f t="shared" si="20"/>
        <v>806.94245345739535</v>
      </c>
      <c r="EO51" s="59">
        <f ca="1">AVERAGE(OFFSET($EN$3,0,0,'Données projet'!$E$15+1,1))-AVERAGE(OFFSET($H$3,0,0,'Données projet'!$E$15+1,1))</f>
        <v>337.99164391755608</v>
      </c>
      <c r="EP51" s="59">
        <f t="shared" si="46"/>
        <v>421.45428231923393</v>
      </c>
      <c r="EQ51" s="15">
        <f>IF(ISNA(VLOOKUP(A51,'Données projet'!$A$191:$I$211,3,0)),0,VLOOKUP(A51,'Données projet'!$A$191:$I$211,3,0))</f>
        <v>6</v>
      </c>
      <c r="ER51" s="15">
        <f>IF(ISNA(VLOOKUP(A51,'Données projet'!$A$191:$I$211,4,0)),0,VLOOKUP(A51,'Données projet'!$A$191:$I$211,4,0))</f>
        <v>83.969230769230762</v>
      </c>
      <c r="ES51" s="16">
        <f>IF(ISNA(VLOOKUP(A51,'Données projet'!$A$191:$I$211,5,0)),0%,VLOOKUP(A51,'Données projet'!$A$191:$I$211,5,0)*VLOOKUP('Données projet'!$B$15,Paramètres!$A$1:$I$89,7,0))</f>
        <v>0.315</v>
      </c>
      <c r="ET51" s="16">
        <f>IF(ISNA(VLOOKUP(A51,'Données projet'!$A$191:$I$211,6,0)),0%,VLOOKUP(A51,'Données projet'!$A$191:$I$211,6,0)*VLOOKUP('Données projet'!$B$15,Paramètres!$A$1:$I$89,7,0))</f>
        <v>7.5600000000000001E-2</v>
      </c>
      <c r="EU51" s="16">
        <f>IF(ISNA(VLOOKUP(A51,'Données projet'!$A$191:$I$211,7,0)),0%,VLOOKUP(A51,'Données projet'!$A$191:$I$211,7,0))</f>
        <v>0.13200000000000001</v>
      </c>
      <c r="EV51" s="21">
        <f>EXP(-LN(2)/35)*EV50+(1-EXP(-LN(2)/35))/(LN(2)/35)*ER51*ES51*VLOOKUP('Données projet'!$B$15,Paramètres!$A$1:$I$89,3,0)*0.475*44/12</f>
        <v>60.083528580688551</v>
      </c>
      <c r="EW51" s="21">
        <f>EXP(-LN(2)/25)*EW50+(1-EXP(-LN(2)/25))/(LN(2)/25)*Calculateur!ER51*Calculateur!ET51*VLOOKUP('Données projet'!$B$15,Paramètres!$A$1:$I$89,3,0)*0.475*44/12</f>
        <v>21.882883930435508</v>
      </c>
      <c r="EX51" s="21">
        <f>EXP(-LN(2)/2)*EX50+(1-EXP(-LN(2)/2))/(LN(2)/2)*ER51*EU51*VLOOKUP('Données projet'!$B$15,Paramètres!$A$1:$I$89,3,0)*0.475*44/12</f>
        <v>8.0478742479516399</v>
      </c>
      <c r="EY51" s="22">
        <f t="shared" si="21"/>
        <v>90.014286759075702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6.826007326007324</v>
      </c>
      <c r="N52" s="13">
        <f>IF('Données projet'!$A$36&gt;35,N51+M52-V51,IF(A52&lt;'Données projet'!$A$36,$K$205^A52,IF(A52='Données projet'!$A$36,'Données projet'!$B$36,N51+M52-V51)))</f>
        <v>132.13644688644683</v>
      </c>
      <c r="O52" s="13">
        <f>N52*VLOOKUP('Données projet'!$B$9,Paramètres!$A$1:$I$89,3,0)*VLOOKUP('Données projet'!$B$9,Paramètres!$A$1:$I$89,5,0)</f>
        <v>119.55705714285709</v>
      </c>
      <c r="P52" s="13">
        <f t="shared" si="33"/>
        <v>31.571667922473026</v>
      </c>
      <c r="Q52" s="20">
        <f t="shared" si="53"/>
        <v>263.21586282211655</v>
      </c>
      <c r="R52" s="59">
        <f t="shared" si="0"/>
        <v>517.66224264640846</v>
      </c>
      <c r="S52" s="59">
        <f ca="1">AVERAGE(OFFSET($R$3,0,0,'Données projet'!$E$9+1,1))-AVERAGE(OFFSET($H$3,0,0,'Données projet'!$E$9+1,1))</f>
        <v>388.1278150896951</v>
      </c>
      <c r="T52" s="59">
        <f t="shared" si="34"/>
        <v>232.26614607059227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6.826007326007324</v>
      </c>
      <c r="AI52" s="13">
        <f>IF('Données projet'!$A$62&gt;35,AI51+AH52-AQ51,IF(A52&lt;'Données projet'!$A$62,$AF$205^A52,IF(A52='Données projet'!$A$62,'Données projet'!$B$62,AI51+AH52-AQ51)))</f>
        <v>132.13644688644683</v>
      </c>
      <c r="AJ52" s="13">
        <f>AI52*VLOOKUP('Données projet'!$B$10,Paramètres!$A$1:$I$89,3,0)*VLOOKUP('Données projet'!$B$10,Paramètres!$A$1:$I$89,5,0)</f>
        <v>133.98635714285712</v>
      </c>
      <c r="AK52" s="13">
        <f t="shared" si="35"/>
        <v>34.915863980670267</v>
      </c>
      <c r="AL52" s="20">
        <f t="shared" si="4"/>
        <v>294.17136845681017</v>
      </c>
      <c r="AM52" s="59">
        <f t="shared" si="5"/>
        <v>548.61774828110219</v>
      </c>
      <c r="AN52" s="59">
        <f ca="1">AVERAGE(OFFSET($AM$3,0,0,'Données projet'!$E$10+1,1))-AVERAGE(OFFSET($H$3,0,0,'Données projet'!$E$10+1,1))</f>
        <v>424.89201140676084</v>
      </c>
      <c r="AO52" s="59">
        <f t="shared" si="36"/>
        <v>253.0016648946303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6.826007326007324</v>
      </c>
      <c r="BD52" s="12">
        <f>IF('Données projet'!$A$88&gt;35,BD51+BC52-BL51,IF(A52&lt;'Données projet'!$A$88,$BA$205^A52,IF(A52='Données projet'!$A$88,'Données projet'!$B$88,BD51+BC52-BL51)))</f>
        <v>132.13644688644683</v>
      </c>
      <c r="BE52" s="13">
        <f>BD52*VLOOKUP('Données projet'!$B$11,Paramètres!$A$1:$I$89,3,0)*VLOOKUP('Données projet'!$B$11,Paramètres!$A$1:$I$89,5,0)</f>
        <v>125.74104285714282</v>
      </c>
      <c r="BF52" s="13">
        <f t="shared" si="37"/>
        <v>33.010339677556644</v>
      </c>
      <c r="BG52" s="20">
        <f t="shared" si="7"/>
        <v>276.49199124793489</v>
      </c>
      <c r="BH52" s="59">
        <f t="shared" si="8"/>
        <v>530.9383710722268</v>
      </c>
      <c r="BI52" s="59">
        <f ca="1">AVERAGE(OFFSET($BH$3,0,0,'Données projet'!$E$11+1,1))-AVERAGE(OFFSET($H$3,0,0,'Données projet'!$E$11+1,1))</f>
        <v>403.89478276355294</v>
      </c>
      <c r="BJ52" s="59">
        <f t="shared" si="38"/>
        <v>241.1593989733278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8.6</v>
      </c>
      <c r="BY52" s="12">
        <f>IF('Données projet'!$A$114&gt;35,BY51+BX52-CG51,IF(A52&lt;'Données projet'!$A$114,$BV$205^A52,IF(A52='Données projet'!$A$114,'Données projet'!$B$114,BY51+BX52-CG51)))</f>
        <v>252.40000000000003</v>
      </c>
      <c r="BZ52" s="13">
        <f>BY52*VLOOKUP('Données projet'!$B$12,Paramètres!$A$1:$I$89,3,0)*VLOOKUP('Données projet'!$B$12,Paramètres!$A$1:$I$89,5,0)</f>
        <v>200.80944000000002</v>
      </c>
      <c r="CA52" s="13">
        <f t="shared" si="39"/>
        <v>49.922016299484312</v>
      </c>
      <c r="CB52" s="20">
        <f t="shared" si="10"/>
        <v>436.69061972160188</v>
      </c>
      <c r="CC52" s="59">
        <f t="shared" si="11"/>
        <v>691.13699954589379</v>
      </c>
      <c r="CD52" s="59">
        <f ca="1">AVERAGE(OFFSET($CC$3,0,0,'Données projet'!$E$12+1,1))-AVERAGE(OFFSET($H$3,0,0,'Données projet'!$E$12+1,1))</f>
        <v>377.27600411578322</v>
      </c>
      <c r="CE52" s="59">
        <f t="shared" si="40"/>
        <v>364.58250627635425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26.873467448339962</v>
      </c>
      <c r="CL52" s="21">
        <f>EXP(-LN(2)/25)*CL51+(1-EXP(-LN(2)/25))/(LN(2)/25)*Calculateur!CG52*Calculateur!CI52*VLOOKUP('Données projet'!$B$12,Paramètres!$A$1:$I$89,3,0)*0.475*44/12</f>
        <v>13.8425632573008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40.716030705640762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10.375</v>
      </c>
      <c r="CT52" s="12">
        <f>IF('Données projet'!$A$140&gt;35,CT51+CS52-DB51,IF(A52&lt;'Données projet'!$A$140,$CQ$205^A52,IF(A52='Données projet'!$A$140,'Données projet'!$B$140,CT51+CS52-DB51)))</f>
        <v>238.87499999999997</v>
      </c>
      <c r="CU52" s="17">
        <f>CT52*VLOOKUP('Données projet'!$B$13,Paramètres!$A$1:$I$89,3,0)*VLOOKUP('Données projet'!$B$13,Paramètres!$A$1:$I$89,5,0)</f>
        <v>186.32249999999999</v>
      </c>
      <c r="CV52" s="13">
        <f t="shared" si="41"/>
        <v>46.725987276254116</v>
      </c>
      <c r="CW52" s="20">
        <f t="shared" si="13"/>
        <v>405.89278200614257</v>
      </c>
      <c r="CX52" s="59">
        <f t="shared" si="14"/>
        <v>660.33916183043448</v>
      </c>
      <c r="CY52" s="59">
        <f ca="1">AVERAGE(OFFSET($CX$3,0,0,'Données projet'!$E$13+1,1))-AVERAGE(OFFSET($H$3,0,0,'Données projet'!$E$13+1,1))</f>
        <v>308.82719216177946</v>
      </c>
      <c r="CZ52" s="59">
        <f t="shared" si="42"/>
        <v>302.59481222418219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11.659189252212689</v>
      </c>
      <c r="DG52" s="21">
        <f>EXP(-LN(2)/25)*DG51+(1-EXP(-LN(2)/25))/(LN(2)/25)*Calculateur!DB52*Calculateur!DD52*VLOOKUP('Données projet'!$B$13,Paramètres!$A$1:$I$89,3,0)*0.475*44/12</f>
        <v>17.110722963689199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28.76991221590189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304.99999999999983</v>
      </c>
      <c r="DP52" s="17">
        <f>DO52*VLOOKUP('Données projet'!$B$14,Paramètres!$A$1:$I$89,3,0)*VLOOKUP('Données projet'!$B$14,Paramètres!$A$1:$I$89,5,0)</f>
        <v>275.96399999999983</v>
      </c>
      <c r="DQ52" s="13">
        <f t="shared" si="43"/>
        <v>66.113366665488854</v>
      </c>
      <c r="DR52" s="20">
        <f t="shared" si="16"/>
        <v>595.78474694239264</v>
      </c>
      <c r="DS52" s="59">
        <f t="shared" si="17"/>
        <v>850.23112676668461</v>
      </c>
      <c r="DT52" s="59">
        <f ca="1">AVERAGE(OFFSET($DS$3,0,0,'Données projet'!$E$14+1,1))-AVERAGE(OFFSET($H$3,0,0,'Données projet'!$E$14+1,1))</f>
        <v>376.51107072413777</v>
      </c>
      <c r="DU52" s="59">
        <f t="shared" si="44"/>
        <v>532.90758914457615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1.1094219406815211</v>
      </c>
      <c r="EB52" s="21">
        <f>EXP(-LN(2)/25)*EB51+(1-EXP(-LN(2)/25))/(LN(2)/25)*Calculateur!DW52*Calculateur!DY52*VLOOKUP('Données projet'!$B$14,Paramètres!$A$1:$I$89,3,0)*0.475*44/12</f>
        <v>4.3596369808997935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5.4690589215813148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12.837499999999991</v>
      </c>
      <c r="EJ52" s="12">
        <f>IF('Données projet'!$A$192&gt;35,EJ51+EI52-ER51,IF(A52&lt;'Données projet'!$A$192,$EG$205^A52,IF(A52='Données projet'!$A$192,'Données projet'!$B$192,EJ51+EI52-ER51)))</f>
        <v>356.614423076923</v>
      </c>
      <c r="EK52" s="17">
        <f>EJ52*VLOOKUP('Données projet'!$B$15,Paramètres!$A$1:$I$89,3,0)*VLOOKUP('Données projet'!$B$15,Paramètres!$A$1:$I$89,5,0)</f>
        <v>213.25542499999997</v>
      </c>
      <c r="EL52" s="13">
        <f t="shared" si="45"/>
        <v>52.646339807871037</v>
      </c>
      <c r="EM52" s="20">
        <f t="shared" si="19"/>
        <v>463.11224037370863</v>
      </c>
      <c r="EN52" s="59">
        <f t="shared" si="20"/>
        <v>717.55862019800065</v>
      </c>
      <c r="EO52" s="59">
        <f ca="1">AVERAGE(OFFSET($EN$3,0,0,'Données projet'!$E$15+1,1))-AVERAGE(OFFSET($H$3,0,0,'Données projet'!$E$15+1,1))</f>
        <v>337.99164391755608</v>
      </c>
      <c r="EP52" s="59">
        <f t="shared" si="46"/>
        <v>421.45428231923393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58.905327232555059</v>
      </c>
      <c r="EW52" s="21">
        <f>EXP(-LN(2)/25)*EW51+(1-EXP(-LN(2)/25))/(LN(2)/25)*Calculateur!ER52*Calculateur!ET52*VLOOKUP('Données projet'!$B$15,Paramètres!$A$1:$I$89,3,0)*0.475*44/12</f>
        <v>21.284495318586895</v>
      </c>
      <c r="EX52" s="21">
        <f>EXP(-LN(2)/2)*EX51+(1-EXP(-LN(2)/2))/(LN(2)/2)*ER52*EU52*VLOOKUP('Données projet'!$B$15,Paramètres!$A$1:$I$89,3,0)*0.475*44/12</f>
        <v>5.6907064548631912</v>
      </c>
      <c r="EY52" s="22">
        <f t="shared" si="21"/>
        <v>85.880529006005148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6.826007326007324</v>
      </c>
      <c r="N53" s="13">
        <f>IF('Données projet'!$A$36&gt;35,N52+M53-V52,IF(A53&lt;'Données projet'!$A$36,$K$205^A53,IF(A53='Données projet'!$A$36,'Données projet'!$B$36,N52+M53-V52)))</f>
        <v>138.96245421245416</v>
      </c>
      <c r="O53" s="13">
        <f>N53*VLOOKUP('Données projet'!$B$9,Paramètres!$A$1:$I$89,3,0)*VLOOKUP('Données projet'!$B$9,Paramètres!$A$1:$I$89,5,0)</f>
        <v>125.73322857142851</v>
      </c>
      <c r="P53" s="13">
        <f t="shared" si="33"/>
        <v>33.008527004415768</v>
      </c>
      <c r="Q53" s="20">
        <f t="shared" si="53"/>
        <v>276.47522429459542</v>
      </c>
      <c r="R53" s="59">
        <f t="shared" si="0"/>
        <v>531.59620582406546</v>
      </c>
      <c r="S53" s="59">
        <f ca="1">AVERAGE(OFFSET($R$3,0,0,'Données projet'!$E$9+1,1))-AVERAGE(OFFSET($H$3,0,0,'Données projet'!$E$9+1,1))</f>
        <v>388.1278150896951</v>
      </c>
      <c r="T53" s="59">
        <f t="shared" si="34"/>
        <v>232.26614607059227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6.826007326007324</v>
      </c>
      <c r="AI53" s="13">
        <f>IF('Données projet'!$A$62&gt;35,AI52+AH53-AQ52,IF(A53&lt;'Données projet'!$A$62,$AF$205^A53,IF(A53='Données projet'!$A$62,'Données projet'!$B$62,AI52+AH53-AQ52)))</f>
        <v>138.96245421245416</v>
      </c>
      <c r="AJ53" s="13">
        <f>AI53*VLOOKUP('Données projet'!$B$10,Paramètres!$A$1:$I$89,3,0)*VLOOKUP('Données projet'!$B$10,Paramètres!$A$1:$I$89,5,0)</f>
        <v>140.90792857142853</v>
      </c>
      <c r="AK53" s="13">
        <f t="shared" si="35"/>
        <v>36.504920865079967</v>
      </c>
      <c r="AL53" s="20">
        <f t="shared" si="4"/>
        <v>308.99404610191897</v>
      </c>
      <c r="AM53" s="59">
        <f t="shared" si="5"/>
        <v>564.11502763138901</v>
      </c>
      <c r="AN53" s="59">
        <f ca="1">AVERAGE(OFFSET($AM$3,0,0,'Données projet'!$E$10+1,1))-AVERAGE(OFFSET($H$3,0,0,'Données projet'!$E$10+1,1))</f>
        <v>424.89201140676084</v>
      </c>
      <c r="AO53" s="59">
        <f t="shared" si="36"/>
        <v>253.0016648946303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6.826007326007324</v>
      </c>
      <c r="BD53" s="12">
        <f>IF('Données projet'!$A$88&gt;35,BD52+BC53-BL52,IF(A53&lt;'Données projet'!$A$88,$BA$205^A53,IF(A53='Données projet'!$A$88,'Données projet'!$B$88,BD52+BC53-BL52)))</f>
        <v>138.96245421245416</v>
      </c>
      <c r="BE53" s="13">
        <f>BD53*VLOOKUP('Données projet'!$B$11,Paramètres!$A$1:$I$89,3,0)*VLOOKUP('Données projet'!$B$11,Paramètres!$A$1:$I$89,5,0)</f>
        <v>132.23667142857138</v>
      </c>
      <c r="BF53" s="13">
        <f t="shared" si="37"/>
        <v>34.512674190898878</v>
      </c>
      <c r="BG53" s="20">
        <f t="shared" si="7"/>
        <v>290.42177695391069</v>
      </c>
      <c r="BH53" s="59">
        <f t="shared" si="8"/>
        <v>545.54275848338079</v>
      </c>
      <c r="BI53" s="59">
        <f ca="1">AVERAGE(OFFSET($BH$3,0,0,'Données projet'!$E$11+1,1))-AVERAGE(OFFSET($H$3,0,0,'Données projet'!$E$11+1,1))</f>
        <v>403.89478276355294</v>
      </c>
      <c r="BJ53" s="59">
        <f t="shared" si="38"/>
        <v>241.1593989733278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261</v>
      </c>
      <c r="BW53" s="12">
        <f>VLOOKUP(A53,'Données projet'!$A$113:$I$133,9,0)</f>
        <v>8.6</v>
      </c>
      <c r="BX53" s="12">
        <f t="array" ref="BX53">INDEX(BW:BW,MIN(IF(ISNUMBER(BW53:BW249),ROW(BW53:BW249),"")))</f>
        <v>8.6</v>
      </c>
      <c r="BY53" s="12">
        <f>IF('Données projet'!$A$114&gt;35,BY52+BX53-CG52,IF(A53&lt;'Données projet'!$A$114,$BV$205^A53,IF(A53='Données projet'!$A$114,'Données projet'!$B$114,BY52+BX53-CG52)))</f>
        <v>261.00000000000006</v>
      </c>
      <c r="BZ53" s="13">
        <f>BY53*VLOOKUP('Données projet'!$B$12,Paramètres!$A$1:$I$89,3,0)*VLOOKUP('Données projet'!$B$12,Paramètres!$A$1:$I$89,5,0)</f>
        <v>207.65160000000006</v>
      </c>
      <c r="CA53" s="13">
        <f t="shared" si="39"/>
        <v>51.422065813018108</v>
      </c>
      <c r="CB53" s="20">
        <f t="shared" si="10"/>
        <v>451.2199679576733</v>
      </c>
      <c r="CC53" s="59">
        <f t="shared" si="11"/>
        <v>706.34094948714346</v>
      </c>
      <c r="CD53" s="59">
        <f ca="1">AVERAGE(OFFSET($CC$3,0,0,'Données projet'!$E$12+1,1))-AVERAGE(OFFSET($H$3,0,0,'Données projet'!$E$12+1,1))</f>
        <v>377.27600411578322</v>
      </c>
      <c r="CE53" s="59">
        <f t="shared" si="40"/>
        <v>364.58250627635425</v>
      </c>
      <c r="CF53" s="15">
        <f>IF(ISNA(VLOOKUP(A53,'Données projet'!$A$113:$I$133,3,0)),0,VLOOKUP(A53,'Données projet'!$A$113:$I$133,3,0))</f>
        <v>8</v>
      </c>
      <c r="CG53" s="15">
        <f>IF(ISNA(VLOOKUP(A53,'Données projet'!$A$113:$I$133,4,0)),0,VLOOKUP(A53,'Données projet'!$A$113:$I$133,4,0))</f>
        <v>19</v>
      </c>
      <c r="CH53" s="16">
        <f>IF(ISNA(VLOOKUP(A53,'Données projet'!$A$113:$I$133,5,0)),0%,VLOOKUP(A53,'Données projet'!$A$113:$I$133,5,0)*VLOOKUP('Données projet'!$B$12,Paramètres!$A$1:$I$89,7,0))</f>
        <v>0.44519999999999998</v>
      </c>
      <c r="CI53" s="16">
        <f>IF(ISNA(VLOOKUP(A53,'Données projet'!$A$113:$I$133,6,0)),0%,VLOOKUP(A53,'Données projet'!$A$113:$I$133,6,0)*VLOOKUP('Données projet'!$B$12,Paramètres!$A$1:$I$89,7,0))</f>
        <v>5.8300000000000005E-2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33.786113227465187</v>
      </c>
      <c r="CL53" s="21">
        <f>EXP(-LN(2)/25)*CL52+(1-EXP(-LN(2)/25))/(LN(2)/25)*Calculateur!CG53*Calculateur!CI53*VLOOKUP('Données projet'!$B$12,Paramètres!$A$1:$I$89,3,0)*0.475*44/12</f>
        <v>14.434437401464745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48.220550628929928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10.375</v>
      </c>
      <c r="CT53" s="12">
        <f>IF('Données projet'!$A$140&gt;35,CT52+CS53-DB52,IF(A53&lt;'Données projet'!$A$140,$CQ$205^A53,IF(A53='Données projet'!$A$140,'Données projet'!$B$140,CT52+CS53-DB52)))</f>
        <v>249.24999999999997</v>
      </c>
      <c r="CU53" s="17">
        <f>CT53*VLOOKUP('Données projet'!$B$13,Paramètres!$A$1:$I$89,3,0)*VLOOKUP('Données projet'!$B$13,Paramètres!$A$1:$I$89,5,0)</f>
        <v>194.41499999999999</v>
      </c>
      <c r="CV53" s="13">
        <f t="shared" si="41"/>
        <v>48.514737888684969</v>
      </c>
      <c r="CW53" s="20">
        <f t="shared" si="13"/>
        <v>423.10262682279296</v>
      </c>
      <c r="CX53" s="59">
        <f t="shared" si="14"/>
        <v>678.223608352263</v>
      </c>
      <c r="CY53" s="59">
        <f ca="1">AVERAGE(OFFSET($CX$3,0,0,'Données projet'!$E$13+1,1))-AVERAGE(OFFSET($H$3,0,0,'Données projet'!$E$13+1,1))</f>
        <v>308.82719216177946</v>
      </c>
      <c r="CZ53" s="59">
        <f t="shared" si="42"/>
        <v>302.59481222418219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11.43055966238005</v>
      </c>
      <c r="DG53" s="21">
        <f>EXP(-LN(2)/25)*DG52+(1-EXP(-LN(2)/25))/(LN(2)/25)*Calculateur!DB53*Calculateur!DD53*VLOOKUP('Données projet'!$B$13,Paramètres!$A$1:$I$89,3,0)*0.475*44/12</f>
        <v>16.642829344433302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28.07338900681335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304.99999999999983</v>
      </c>
      <c r="DP53" s="17">
        <f>DO53*VLOOKUP('Données projet'!$B$14,Paramètres!$A$1:$I$89,3,0)*VLOOKUP('Données projet'!$B$14,Paramètres!$A$1:$I$89,5,0)</f>
        <v>275.96399999999983</v>
      </c>
      <c r="DQ53" s="13">
        <f t="shared" si="43"/>
        <v>66.113366665488854</v>
      </c>
      <c r="DR53" s="20">
        <f t="shared" si="16"/>
        <v>595.78474694239264</v>
      </c>
      <c r="DS53" s="59">
        <f t="shared" si="17"/>
        <v>850.90572847186274</v>
      </c>
      <c r="DT53" s="59">
        <f ca="1">AVERAGE(OFFSET($DS$3,0,0,'Données projet'!$E$14+1,1))-AVERAGE(OFFSET($H$3,0,0,'Données projet'!$E$14+1,1))</f>
        <v>376.51107072413777</v>
      </c>
      <c r="DU53" s="59">
        <f t="shared" si="44"/>
        <v>532.90758914457615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1.0876668531053237</v>
      </c>
      <c r="EB53" s="21">
        <f>EXP(-LN(2)/25)*EB52+(1-EXP(-LN(2)/25))/(LN(2)/25)*Calculateur!DW53*Calculateur!DY53*VLOOKUP('Données projet'!$B$14,Paramètres!$A$1:$I$89,3,0)*0.475*44/12</f>
        <v>4.2404224783937439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5.3280893314990676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12.837499999999991</v>
      </c>
      <c r="EJ53" s="12">
        <f>IF('Données projet'!$A$192&gt;35,EJ52+EI53-ER52,IF(A53&lt;'Données projet'!$A$192,$EG$205^A53,IF(A53='Données projet'!$A$192,'Données projet'!$B$192,EJ52+EI53-ER52)))</f>
        <v>369.45192307692298</v>
      </c>
      <c r="EK53" s="17">
        <f>EJ53*VLOOKUP('Données projet'!$B$15,Paramètres!$A$1:$I$89,3,0)*VLOOKUP('Données projet'!$B$15,Paramètres!$A$1:$I$89,5,0)</f>
        <v>220.93224999999995</v>
      </c>
      <c r="EL53" s="13">
        <f t="shared" si="45"/>
        <v>54.31745576001893</v>
      </c>
      <c r="EM53" s="20">
        <f t="shared" si="19"/>
        <v>479.3932375320328</v>
      </c>
      <c r="EN53" s="59">
        <f t="shared" si="20"/>
        <v>734.5142190615029</v>
      </c>
      <c r="EO53" s="59">
        <f ca="1">AVERAGE(OFFSET($EN$3,0,0,'Données projet'!$E$15+1,1))-AVERAGE(OFFSET($H$3,0,0,'Données projet'!$E$15+1,1))</f>
        <v>337.99164391755608</v>
      </c>
      <c r="EP53" s="59">
        <f t="shared" si="46"/>
        <v>421.45428231923393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57.750229694226604</v>
      </c>
      <c r="EW53" s="21">
        <f>EXP(-LN(2)/25)*EW52+(1-EXP(-LN(2)/25))/(LN(2)/25)*Calculateur!ER53*Calculateur!ET53*VLOOKUP('Données projet'!$B$15,Paramètres!$A$1:$I$89,3,0)*0.475*44/12</f>
        <v>20.702469674797175</v>
      </c>
      <c r="EX53" s="21">
        <f>EXP(-LN(2)/2)*EX52+(1-EXP(-LN(2)/2))/(LN(2)/2)*ER53*EU53*VLOOKUP('Données projet'!$B$15,Paramètres!$A$1:$I$89,3,0)*0.475*44/12</f>
        <v>4.0239371239758199</v>
      </c>
      <c r="EY53" s="22">
        <f t="shared" si="21"/>
        <v>82.476636492999603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>
        <f>VLOOKUP(A54,'Données projet'!$A$35:$I$55,2,0)</f>
        <v>145.78846153846152</v>
      </c>
      <c r="L54" s="12">
        <f>VLOOKUP(A54,'Données projet'!$A$35:$I$55,9,0)</f>
        <v>6.826007326007324</v>
      </c>
      <c r="M54" s="12">
        <f t="array" ref="M54">INDEX(L:L,MIN(IF(ISNUMBER(L54:L250),ROW(L54:L250),"")))</f>
        <v>6.826007326007324</v>
      </c>
      <c r="N54" s="13">
        <f>IF('Données projet'!$A$36&gt;35,N53+M54-V53,IF(A54&lt;'Données projet'!$A$36,$K$205^A54,IF(A54='Données projet'!$A$36,'Données projet'!$B$36,N53+M54-V53)))</f>
        <v>145.78846153846149</v>
      </c>
      <c r="O54" s="13">
        <f>N54*VLOOKUP('Données projet'!$B$9,Paramètres!$A$1:$I$89,3,0)*VLOOKUP('Données projet'!$B$9,Paramètres!$A$1:$I$89,5,0)</f>
        <v>131.90939999999995</v>
      </c>
      <c r="P54" s="13">
        <f t="shared" si="33"/>
        <v>34.437190502969557</v>
      </c>
      <c r="Q54" s="20">
        <f t="shared" si="53"/>
        <v>289.72031179267179</v>
      </c>
      <c r="R54" s="59">
        <f t="shared" si="0"/>
        <v>545.50419219591868</v>
      </c>
      <c r="S54" s="59">
        <f ca="1">AVERAGE(OFFSET($R$3,0,0,'Données projet'!$E$9+1,1))-AVERAGE(OFFSET($H$3,0,0,'Données projet'!$E$9+1,1))</f>
        <v>388.1278150896951</v>
      </c>
      <c r="T54" s="59">
        <f t="shared" si="34"/>
        <v>232.26614607059227</v>
      </c>
      <c r="U54" s="15">
        <f>IF(ISNA(VLOOKUP(A54,'Données projet'!$A$35:$I$55,3,0)),0,VLOOKUP(A54,'Données projet'!$A$35:$I$55,3,0))</f>
        <v>2</v>
      </c>
      <c r="V54" s="15">
        <f>IF(ISNA(VLOOKUP(A54,'Données projet'!$A$35:$I$55,4,0)),0,VLOOKUP(A54,'Données projet'!$A$35:$I$55,4,0))</f>
        <v>37.685897435897431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0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>
        <f>VLOOKUP(A54,'Données projet'!$A$61:$I$81,2,0)</f>
        <v>145.78846153846152</v>
      </c>
      <c r="AG54" s="12">
        <f>VLOOKUP(A54,'Données projet'!$A$61:$I$81,9,0)</f>
        <v>6.826007326007324</v>
      </c>
      <c r="AH54" s="12">
        <f t="array" ref="AH54">INDEX(AG:AG,MIN(IF(ISNUMBER(AG54:AG250),ROW(AG54:AG250),"")))</f>
        <v>6.826007326007324</v>
      </c>
      <c r="AI54" s="13">
        <f>IF('Données projet'!$A$62&gt;35,AI53+AH54-AQ53,IF(A54&lt;'Données projet'!$A$62,$AF$205^A54,IF(A54='Données projet'!$A$62,'Données projet'!$B$62,AI53+AH54-AQ53)))</f>
        <v>145.78846153846149</v>
      </c>
      <c r="AJ54" s="13">
        <f>AI54*VLOOKUP('Données projet'!$B$10,Paramètres!$A$1:$I$89,3,0)*VLOOKUP('Données projet'!$B$10,Paramètres!$A$1:$I$89,5,0)</f>
        <v>147.82949999999997</v>
      </c>
      <c r="AK54" s="13">
        <f t="shared" si="35"/>
        <v>38.084914057462001</v>
      </c>
      <c r="AL54" s="20">
        <f t="shared" si="4"/>
        <v>323.80093781674623</v>
      </c>
      <c r="AM54" s="59">
        <f t="shared" si="5"/>
        <v>579.58481821999305</v>
      </c>
      <c r="AN54" s="59">
        <f ca="1">AVERAGE(OFFSET($AM$3,0,0,'Données projet'!$E$10+1,1))-AVERAGE(OFFSET($H$3,0,0,'Données projet'!$E$10+1,1))</f>
        <v>424.89201140676084</v>
      </c>
      <c r="AO54" s="59">
        <f t="shared" si="36"/>
        <v>253.0016648946303</v>
      </c>
      <c r="AP54" s="15">
        <f>IF(ISNA(VLOOKUP(A54,'Données projet'!$A$61:$I$81,3,0)),0,VLOOKUP(A54,'Données projet'!$A$61:$I$81,3,0))</f>
        <v>2</v>
      </c>
      <c r="AQ54" s="15">
        <f>IF(ISNA(VLOOKUP(A54,'Données projet'!$A$61:$I$81,4,0)),0,VLOOKUP(A54,'Données projet'!$A$61:$I$81,4,0))</f>
        <v>37.685897435897431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>
        <f>VLOOKUP(A54,'Données projet'!$A$87:$I$107,2,0)</f>
        <v>145.78846153846152</v>
      </c>
      <c r="BB54" s="12">
        <f>VLOOKUP(A54,'Données projet'!$A$87:$I$107,9,0)</f>
        <v>6.826007326007324</v>
      </c>
      <c r="BC54" s="12">
        <f t="array" ref="BC54">INDEX(BB:BB,MIN(IF(ISNUMBER(BB54:BB250),ROW(BB54:BB250),"")))</f>
        <v>6.826007326007324</v>
      </c>
      <c r="BD54" s="12">
        <f>IF('Données projet'!$A$88&gt;35,BD53+BC54-BL53,IF(A54&lt;'Données projet'!$A$88,$BA$205^A54,IF(A54='Données projet'!$A$88,'Données projet'!$B$88,BD53+BC54-BL53)))</f>
        <v>145.78846153846149</v>
      </c>
      <c r="BE54" s="13">
        <f>BD54*VLOOKUP('Données projet'!$B$11,Paramètres!$A$1:$I$89,3,0)*VLOOKUP('Données projet'!$B$11,Paramètres!$A$1:$I$89,5,0)</f>
        <v>138.73229999999995</v>
      </c>
      <c r="BF54" s="13">
        <f t="shared" si="37"/>
        <v>36.006439660876396</v>
      </c>
      <c r="BG54" s="20">
        <f t="shared" si="7"/>
        <v>304.33663824269297</v>
      </c>
      <c r="BH54" s="59">
        <f t="shared" si="8"/>
        <v>560.1205186459398</v>
      </c>
      <c r="BI54" s="59">
        <f ca="1">AVERAGE(OFFSET($BH$3,0,0,'Données projet'!$E$11+1,1))-AVERAGE(OFFSET($H$3,0,0,'Données projet'!$E$11+1,1))</f>
        <v>403.89478276355294</v>
      </c>
      <c r="BJ54" s="59">
        <f t="shared" si="38"/>
        <v>241.1593989733278</v>
      </c>
      <c r="BK54" s="15">
        <f>IF(ISNA(VLOOKUP(A54,'Données projet'!$A$87:$I$107,3,0)),0,VLOOKUP(A54,'Données projet'!$A$87:$I$107,3,0))</f>
        <v>2</v>
      </c>
      <c r="BL54" s="15">
        <f>IF(ISNA(VLOOKUP(A54,'Données projet'!$A$87:$I$107,4,0)),0,VLOOKUP(A54,'Données projet'!$A$87:$I$107,4,0))</f>
        <v>37.685897435897431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7.4</v>
      </c>
      <c r="BY54" s="12">
        <f>IF('Données projet'!$A$114&gt;35,BY53+BX54-CG53,IF(A54&lt;'Données projet'!$A$114,$BV$205^A54,IF(A54='Données projet'!$A$114,'Données projet'!$B$114,BY53+BX54-CG53)))</f>
        <v>249.40000000000003</v>
      </c>
      <c r="BZ54" s="13">
        <f>BY54*VLOOKUP('Données projet'!$B$12,Paramètres!$A$1:$I$89,3,0)*VLOOKUP('Données projet'!$B$12,Paramètres!$A$1:$I$89,5,0)</f>
        <v>198.42264000000003</v>
      </c>
      <c r="CA54" s="13">
        <f t="shared" si="39"/>
        <v>49.397352151183256</v>
      </c>
      <c r="CB54" s="20">
        <f t="shared" si="10"/>
        <v>431.61981966331086</v>
      </c>
      <c r="CC54" s="59">
        <f t="shared" si="11"/>
        <v>687.40370006655769</v>
      </c>
      <c r="CD54" s="59">
        <f ca="1">AVERAGE(OFFSET($CC$3,0,0,'Données projet'!$E$12+1,1))-AVERAGE(OFFSET($H$3,0,0,'Données projet'!$E$12+1,1))</f>
        <v>377.27600411578322</v>
      </c>
      <c r="CE54" s="59">
        <f t="shared" si="40"/>
        <v>364.58250627635425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33.123588154568843</v>
      </c>
      <c r="CL54" s="21">
        <f>EXP(-LN(2)/25)*CL53+(1-EXP(-LN(2)/25))/(LN(2)/25)*Calculateur!CG54*Calculateur!CI54*VLOOKUP('Données projet'!$B$12,Paramètres!$A$1:$I$89,3,0)*0.475*44/12</f>
        <v>14.039726951647619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47.163315106216459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10.375</v>
      </c>
      <c r="CT54" s="12">
        <f>IF('Données projet'!$A$140&gt;35,CT53+CS54-DB53,IF(A54&lt;'Données projet'!$A$140,$CQ$205^A54,IF(A54='Données projet'!$A$140,'Données projet'!$B$140,CT53+CS54-DB53)))</f>
        <v>259.625</v>
      </c>
      <c r="CU54" s="17">
        <f>CT54*VLOOKUP('Données projet'!$B$13,Paramètres!$A$1:$I$89,3,0)*VLOOKUP('Données projet'!$B$13,Paramètres!$A$1:$I$89,5,0)</f>
        <v>202.50749999999999</v>
      </c>
      <c r="CV54" s="13">
        <f t="shared" si="41"/>
        <v>50.294840086606349</v>
      </c>
      <c r="CW54" s="20">
        <f t="shared" si="13"/>
        <v>440.29740898417271</v>
      </c>
      <c r="CX54" s="59">
        <f t="shared" si="14"/>
        <v>696.08128938741947</v>
      </c>
      <c r="CY54" s="59">
        <f ca="1">AVERAGE(OFFSET($CX$3,0,0,'Données projet'!$E$13+1,1))-AVERAGE(OFFSET($H$3,0,0,'Données projet'!$E$13+1,1))</f>
        <v>308.82719216177946</v>
      </c>
      <c r="CZ54" s="59">
        <f t="shared" si="42"/>
        <v>302.59481222418219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11.206413359353748</v>
      </c>
      <c r="DG54" s="21">
        <f>EXP(-LN(2)/25)*DG53+(1-EXP(-LN(2)/25))/(LN(2)/25)*Calculateur!DB54*Calculateur!DD54*VLOOKUP('Données projet'!$B$13,Paramètres!$A$1:$I$89,3,0)*0.475*44/12</f>
        <v>16.187730300801416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27.394143660155166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304.99999999999983</v>
      </c>
      <c r="DP54" s="17">
        <f>DO54*VLOOKUP('Données projet'!$B$14,Paramètres!$A$1:$I$89,3,0)*VLOOKUP('Données projet'!$B$14,Paramètres!$A$1:$I$89,5,0)</f>
        <v>275.96399999999983</v>
      </c>
      <c r="DQ54" s="13">
        <f t="shared" si="43"/>
        <v>66.113366665488854</v>
      </c>
      <c r="DR54" s="20">
        <f t="shared" si="16"/>
        <v>595.78474694239264</v>
      </c>
      <c r="DS54" s="59">
        <f t="shared" si="17"/>
        <v>851.56862734563947</v>
      </c>
      <c r="DT54" s="59">
        <f ca="1">AVERAGE(OFFSET($DS$3,0,0,'Données projet'!$E$14+1,1))-AVERAGE(OFFSET($H$3,0,0,'Données projet'!$E$14+1,1))</f>
        <v>376.51107072413777</v>
      </c>
      <c r="DU54" s="59">
        <f t="shared" si="44"/>
        <v>532.90758914457615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1.0663383695272024</v>
      </c>
      <c r="EB54" s="21">
        <f>EXP(-LN(2)/25)*EB53+(1-EXP(-LN(2)/25))/(LN(2)/25)*Calculateur!DW54*Calculateur!DY54*VLOOKUP('Données projet'!$B$14,Paramètres!$A$1:$I$89,3,0)*0.475*44/12</f>
        <v>4.1244679027279405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5.1908062722551431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12.837499999999991</v>
      </c>
      <c r="EJ54" s="12">
        <f>IF('Données projet'!$A$192&gt;35,EJ53+EI54-ER53,IF(A54&lt;'Données projet'!$A$192,$EG$205^A54,IF(A54='Données projet'!$A$192,'Données projet'!$B$192,EJ53+EI54-ER53)))</f>
        <v>382.28942307692296</v>
      </c>
      <c r="EK54" s="17">
        <f>EJ54*VLOOKUP('Données projet'!$B$15,Paramètres!$A$1:$I$89,3,0)*VLOOKUP('Données projet'!$B$15,Paramètres!$A$1:$I$89,5,0)</f>
        <v>228.60907499999993</v>
      </c>
      <c r="EL54" s="13">
        <f t="shared" si="45"/>
        <v>55.981824933821947</v>
      </c>
      <c r="EM54" s="20">
        <f t="shared" si="19"/>
        <v>495.66248405140641</v>
      </c>
      <c r="EN54" s="59">
        <f t="shared" si="20"/>
        <v>751.44636445465324</v>
      </c>
      <c r="EO54" s="59">
        <f ca="1">AVERAGE(OFFSET($EN$3,0,0,'Données projet'!$E$15+1,1))-AVERAGE(OFFSET($H$3,0,0,'Données projet'!$E$15+1,1))</f>
        <v>337.99164391755608</v>
      </c>
      <c r="EP54" s="59">
        <f t="shared" si="46"/>
        <v>421.45428231923393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56.617782914084835</v>
      </c>
      <c r="EW54" s="21">
        <f>EXP(-LN(2)/25)*EW53+(1-EXP(-LN(2)/25))/(LN(2)/25)*Calculateur!ER54*Calculateur!ET54*VLOOKUP('Données projet'!$B$15,Paramètres!$A$1:$I$89,3,0)*0.475*44/12</f>
        <v>20.136359552844283</v>
      </c>
      <c r="EX54" s="21">
        <f>EXP(-LN(2)/2)*EX53+(1-EXP(-LN(2)/2))/(LN(2)/2)*ER54*EU54*VLOOKUP('Données projet'!$B$15,Paramètres!$A$1:$I$89,3,0)*0.475*44/12</f>
        <v>2.8453532274315956</v>
      </c>
      <c r="EY54" s="22">
        <f t="shared" si="21"/>
        <v>79.599495694360726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6.3942307692307701</v>
      </c>
      <c r="N55" s="13">
        <f>IF('Données projet'!$A$36&gt;35,N54+M55-V54,IF(A55&lt;'Données projet'!$A$36,$K$205^A55,IF(A55='Données projet'!$A$36,'Données projet'!$B$36,N54+M55-V54)))</f>
        <v>114.49679487179483</v>
      </c>
      <c r="O55" s="13">
        <f>N55*VLOOKUP('Données projet'!$B$9,Paramètres!$A$1:$I$89,3,0)*VLOOKUP('Données projet'!$B$9,Paramètres!$A$1:$I$89,5,0)</f>
        <v>103.59669999999997</v>
      </c>
      <c r="P55" s="13">
        <f t="shared" si="33"/>
        <v>27.817091630299288</v>
      </c>
      <c r="Q55" s="20">
        <f t="shared" si="53"/>
        <v>228.87902042277122</v>
      </c>
      <c r="R55" s="59">
        <f t="shared" si="0"/>
        <v>485.31429988635455</v>
      </c>
      <c r="S55" s="59">
        <f ca="1">AVERAGE(OFFSET($R$3,0,0,'Données projet'!$E$9+1,1))-AVERAGE(OFFSET($H$3,0,0,'Données projet'!$E$9+1,1))</f>
        <v>388.1278150896951</v>
      </c>
      <c r="T55" s="59">
        <f t="shared" si="34"/>
        <v>232.26614607059227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0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6.3942307692307701</v>
      </c>
      <c r="AI55" s="13">
        <f>IF('Données projet'!$A$62&gt;35,AI54+AH55-AQ54,IF(A55&lt;'Données projet'!$A$62,$AF$205^A55,IF(A55='Données projet'!$A$62,'Données projet'!$B$62,AI54+AH55-AQ54)))</f>
        <v>114.49679487179483</v>
      </c>
      <c r="AJ55" s="13">
        <f>AI55*VLOOKUP('Données projet'!$B$10,Paramètres!$A$1:$I$89,3,0)*VLOOKUP('Données projet'!$B$10,Paramètres!$A$1:$I$89,5,0)</f>
        <v>116.09974999999996</v>
      </c>
      <c r="AK55" s="13">
        <f t="shared" si="35"/>
        <v>30.763588103307637</v>
      </c>
      <c r="AL55" s="20">
        <f t="shared" si="4"/>
        <v>255.78698052992738</v>
      </c>
      <c r="AM55" s="59">
        <f t="shared" si="5"/>
        <v>512.22225999351076</v>
      </c>
      <c r="AN55" s="59">
        <f ca="1">AVERAGE(OFFSET($AM$3,0,0,'Données projet'!$E$10+1,1))-AVERAGE(OFFSET($H$3,0,0,'Données projet'!$E$10+1,1))</f>
        <v>424.89201140676084</v>
      </c>
      <c r="AO55" s="59">
        <f t="shared" si="36"/>
        <v>253.0016648946303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6.3942307692307701</v>
      </c>
      <c r="BD55" s="12">
        <f>IF('Données projet'!$A$88&gt;35,BD54+BC55-BL54,IF(A55&lt;'Données projet'!$A$88,$BA$205^A55,IF(A55='Données projet'!$A$88,'Données projet'!$B$88,BD54+BC55-BL54)))</f>
        <v>114.49679487179483</v>
      </c>
      <c r="BE55" s="13">
        <f>BD55*VLOOKUP('Données projet'!$B$11,Paramètres!$A$1:$I$89,3,0)*VLOOKUP('Données projet'!$B$11,Paramètres!$A$1:$I$89,5,0)</f>
        <v>108.95514999999996</v>
      </c>
      <c r="BF55" s="13">
        <f t="shared" si="37"/>
        <v>29.084673189035946</v>
      </c>
      <c r="BG55" s="20">
        <f t="shared" si="7"/>
        <v>240.41935872090417</v>
      </c>
      <c r="BH55" s="59">
        <f t="shared" si="8"/>
        <v>496.8546381844875</v>
      </c>
      <c r="BI55" s="59">
        <f ca="1">AVERAGE(OFFSET($BH$3,0,0,'Données projet'!$E$11+1,1))-AVERAGE(OFFSET($H$3,0,0,'Données projet'!$E$11+1,1))</f>
        <v>403.89478276355294</v>
      </c>
      <c r="BJ55" s="59">
        <f t="shared" si="38"/>
        <v>241.1593989733278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7.4</v>
      </c>
      <c r="BY55" s="12">
        <f>IF('Données projet'!$A$114&gt;35,BY54+BX55-CG54,IF(A55&lt;'Données projet'!$A$114,$BV$205^A55,IF(A55='Données projet'!$A$114,'Données projet'!$B$114,BY54+BX55-CG54)))</f>
        <v>256.8</v>
      </c>
      <c r="BZ55" s="13">
        <f>BY55*VLOOKUP('Données projet'!$B$12,Paramètres!$A$1:$I$89,3,0)*VLOOKUP('Données projet'!$B$12,Paramètres!$A$1:$I$89,5,0)</f>
        <v>204.31008000000003</v>
      </c>
      <c r="CA55" s="13">
        <f t="shared" si="39"/>
        <v>50.690214235398379</v>
      </c>
      <c r="CB55" s="20">
        <f t="shared" si="10"/>
        <v>444.12551245998549</v>
      </c>
      <c r="CC55" s="59">
        <f t="shared" si="11"/>
        <v>700.56079192356879</v>
      </c>
      <c r="CD55" s="59">
        <f ca="1">AVERAGE(OFFSET($CC$3,0,0,'Données projet'!$E$12+1,1))-AVERAGE(OFFSET($H$3,0,0,'Données projet'!$E$12+1,1))</f>
        <v>377.27600411578322</v>
      </c>
      <c r="CE55" s="59">
        <f t="shared" si="40"/>
        <v>364.58250627635425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32.4740547942516</v>
      </c>
      <c r="CL55" s="21">
        <f>EXP(-LN(2)/25)*CL54+(1-EXP(-LN(2)/25))/(LN(2)/25)*Calculateur!CG55*Calculateur!CI55*VLOOKUP('Données projet'!$B$12,Paramètres!$A$1:$I$89,3,0)*0.475*44/12</f>
        <v>13.655809879837664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46.129864674089262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>
        <f>VLOOKUP(A55,'Données projet'!$A$139:$I$159,2,0)</f>
        <v>270</v>
      </c>
      <c r="CR55" s="12">
        <f>VLOOKUP(A55,'Données projet'!$A$139:$I$159,9,0)</f>
        <v>10.375</v>
      </c>
      <c r="CS55" s="12">
        <f t="array" ref="CS55">INDEX(CR:CR,MIN(IF(ISNUMBER(CR55:CR251),ROW(CR55:CR251),"")))</f>
        <v>10.375</v>
      </c>
      <c r="CT55" s="12">
        <f>IF('Données projet'!$A$140&gt;35,CT54+CS55-DB54,IF(A55&lt;'Données projet'!$A$140,$CQ$205^A55,IF(A55='Données projet'!$A$140,'Données projet'!$B$140,CT54+CS55-DB54)))</f>
        <v>270</v>
      </c>
      <c r="CU55" s="17">
        <f>CT55*VLOOKUP('Données projet'!$B$13,Paramètres!$A$1:$I$89,3,0)*VLOOKUP('Données projet'!$B$13,Paramètres!$A$1:$I$89,5,0)</f>
        <v>210.6</v>
      </c>
      <c r="CV55" s="13">
        <f t="shared" si="41"/>
        <v>52.066679014659961</v>
      </c>
      <c r="CW55" s="20">
        <f t="shared" si="13"/>
        <v>457.47779928386609</v>
      </c>
      <c r="CX55" s="59">
        <f t="shared" si="14"/>
        <v>713.91307874744939</v>
      </c>
      <c r="CY55" s="59">
        <f ca="1">AVERAGE(OFFSET($CX$3,0,0,'Données projet'!$E$13+1,1))-AVERAGE(OFFSET($H$3,0,0,'Données projet'!$E$13+1,1))</f>
        <v>308.82719216177946</v>
      </c>
      <c r="CZ55" s="59">
        <f t="shared" si="42"/>
        <v>302.59481222418219</v>
      </c>
      <c r="DA55" s="15">
        <f>IF(ISNA(VLOOKUP(A55,'Données projet'!$A$139:$I$159,3,0)),0,VLOOKUP(A55,'Données projet'!$A$139:$I$159,3,0))</f>
        <v>7</v>
      </c>
      <c r="DB55" s="15">
        <f>IF(ISNA(VLOOKUP(A55,'Données projet'!$A$139:$I$159,4,0)),0,VLOOKUP(A55,'Données projet'!$A$139:$I$159,4,0))</f>
        <v>49</v>
      </c>
      <c r="DC55" s="16">
        <f>IF(ISNA(VLOOKUP(A55,'Données projet'!$A$139:$I$159,5,0)),0%,VLOOKUP(A55,'Données projet'!$A$139:$I$159,5,0)*VLOOKUP('Données projet'!$B$13,Paramètres!$A$1:$I$89,7,0))</f>
        <v>0.17200000000000001</v>
      </c>
      <c r="DD55" s="16">
        <f>IF(ISNA(VLOOKUP(A55,'Données projet'!$A$139:$I$159,6,0)),0%,VLOOKUP(A55,'Données projet'!$A$139:$I$159,6,0)*VLOOKUP('Données projet'!$B$13,Paramètres!$A$1:$I$89,7,0))</f>
        <v>0.17200000000000001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18.253847828402936</v>
      </c>
      <c r="DG55" s="21">
        <f>EXP(-LN(2)/25)*DG54+(1-EXP(-LN(2)/25))/(LN(2)/25)*Calculateur!DB55*Calculateur!DD55*VLOOKUP('Données projet'!$B$13,Paramètres!$A$1:$I$89,3,0)*0.475*44/12</f>
        <v>22.983647686305456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41.237495514708392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304.99999999999983</v>
      </c>
      <c r="DP55" s="17">
        <f>DO55*VLOOKUP('Données projet'!$B$14,Paramètres!$A$1:$I$89,3,0)*VLOOKUP('Données projet'!$B$14,Paramètres!$A$1:$I$89,5,0)</f>
        <v>275.96399999999983</v>
      </c>
      <c r="DQ55" s="13">
        <f t="shared" si="43"/>
        <v>66.113366665488854</v>
      </c>
      <c r="DR55" s="20">
        <f t="shared" si="16"/>
        <v>595.78474694239264</v>
      </c>
      <c r="DS55" s="59">
        <f t="shared" si="17"/>
        <v>852.220026405976</v>
      </c>
      <c r="DT55" s="59">
        <f ca="1">AVERAGE(OFFSET($DS$3,0,0,'Données projet'!$E$14+1,1))-AVERAGE(OFFSET($H$3,0,0,'Données projet'!$E$14+1,1))</f>
        <v>376.51107072413777</v>
      </c>
      <c r="DU55" s="59">
        <f t="shared" si="44"/>
        <v>532.90758914457615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1.0454281245029575</v>
      </c>
      <c r="EB55" s="21">
        <f>EXP(-LN(2)/25)*EB54+(1-EXP(-LN(2)/25))/(LN(2)/25)*Calculateur!DW55*Calculateur!DY55*VLOOKUP('Données projet'!$B$14,Paramètres!$A$1:$I$89,3,0)*0.475*44/12</f>
        <v>4.0116841110315047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5.0571122355344622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12.837499999999991</v>
      </c>
      <c r="EJ55" s="12">
        <f>IF('Données projet'!$A$192&gt;35,EJ54+EI55-ER54,IF(A55&lt;'Données projet'!$A$192,$EG$205^A55,IF(A55='Données projet'!$A$192,'Données projet'!$B$192,EJ54+EI55-ER54)))</f>
        <v>395.12692307692294</v>
      </c>
      <c r="EK55" s="17">
        <f>EJ55*VLOOKUP('Données projet'!$B$15,Paramètres!$A$1:$I$89,3,0)*VLOOKUP('Données projet'!$B$15,Paramètres!$A$1:$I$89,5,0)</f>
        <v>236.28589999999994</v>
      </c>
      <c r="EL55" s="13">
        <f t="shared" si="45"/>
        <v>57.639699864397812</v>
      </c>
      <c r="EM55" s="20">
        <f t="shared" si="19"/>
        <v>511.92041976382615</v>
      </c>
      <c r="EN55" s="59">
        <f t="shared" si="20"/>
        <v>768.35569922740956</v>
      </c>
      <c r="EO55" s="59">
        <f ca="1">AVERAGE(OFFSET($EN$3,0,0,'Données projet'!$E$15+1,1))-AVERAGE(OFFSET($H$3,0,0,'Données projet'!$E$15+1,1))</f>
        <v>337.99164391755608</v>
      </c>
      <c r="EP55" s="59">
        <f t="shared" si="46"/>
        <v>421.45428231923393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55.507542724577313</v>
      </c>
      <c r="EW55" s="21">
        <f>EXP(-LN(2)/25)*EW54+(1-EXP(-LN(2)/25))/(LN(2)/25)*Calculateur!ER55*Calculateur!ET55*VLOOKUP('Données projet'!$B$15,Paramètres!$A$1:$I$89,3,0)*0.475*44/12</f>
        <v>19.585729741946629</v>
      </c>
      <c r="EX55" s="21">
        <f>EXP(-LN(2)/2)*EX54+(1-EXP(-LN(2)/2))/(LN(2)/2)*ER55*EU55*VLOOKUP('Données projet'!$B$15,Paramètres!$A$1:$I$89,3,0)*0.475*44/12</f>
        <v>2.01196856198791</v>
      </c>
      <c r="EY55" s="22">
        <f t="shared" si="21"/>
        <v>77.105241028511855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6.3942307692307701</v>
      </c>
      <c r="N56" s="13">
        <f>IF('Données projet'!$A$36&gt;35,N55+M56-V55,IF(A56&lt;'Données projet'!$A$36,$K$205^A56,IF(A56='Données projet'!$A$36,'Données projet'!$B$36,N55+M56-V55)))</f>
        <v>120.89102564102561</v>
      </c>
      <c r="O56" s="13">
        <f>N56*VLOOKUP('Données projet'!$B$9,Paramètres!$A$1:$I$89,3,0)*VLOOKUP('Données projet'!$B$9,Paramètres!$A$1:$I$89,5,0)</f>
        <v>109.38219999999997</v>
      </c>
      <c r="P56" s="13">
        <f t="shared" si="33"/>
        <v>29.185378395108014</v>
      </c>
      <c r="Q56" s="20">
        <f t="shared" si="53"/>
        <v>241.33853237147972</v>
      </c>
      <c r="R56" s="59">
        <f t="shared" si="0"/>
        <v>498.41391057801297</v>
      </c>
      <c r="S56" s="59">
        <f ca="1">AVERAGE(OFFSET($R$3,0,0,'Données projet'!$E$9+1,1))-AVERAGE(OFFSET($H$3,0,0,'Données projet'!$E$9+1,1))</f>
        <v>388.1278150896951</v>
      </c>
      <c r="T56" s="59">
        <f t="shared" si="34"/>
        <v>232.26614607059227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0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6.3942307692307701</v>
      </c>
      <c r="AI56" s="13">
        <f>IF('Données projet'!$A$62&gt;35,AI55+AH56-AQ55,IF(A56&lt;'Données projet'!$A$62,$AF$205^A56,IF(A56='Données projet'!$A$62,'Données projet'!$B$62,AI55+AH56-AQ55)))</f>
        <v>120.89102564102561</v>
      </c>
      <c r="AJ56" s="13">
        <f>AI56*VLOOKUP('Données projet'!$B$10,Paramètres!$A$1:$I$89,3,0)*VLOOKUP('Données projet'!$B$10,Paramètres!$A$1:$I$89,5,0)</f>
        <v>122.58349999999999</v>
      </c>
      <c r="AK56" s="13">
        <f t="shared" si="35"/>
        <v>32.276809219275542</v>
      </c>
      <c r="AL56" s="20">
        <f t="shared" si="4"/>
        <v>269.71503855690486</v>
      </c>
      <c r="AM56" s="59">
        <f t="shared" si="5"/>
        <v>526.79041676343809</v>
      </c>
      <c r="AN56" s="59">
        <f ca="1">AVERAGE(OFFSET($AM$3,0,0,'Données projet'!$E$10+1,1))-AVERAGE(OFFSET($H$3,0,0,'Données projet'!$E$10+1,1))</f>
        <v>424.89201140676084</v>
      </c>
      <c r="AO56" s="59">
        <f t="shared" si="36"/>
        <v>253.0016648946303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6.3942307692307701</v>
      </c>
      <c r="BD56" s="12">
        <f>IF('Données projet'!$A$88&gt;35,BD55+BC56-BL55,IF(A56&lt;'Données projet'!$A$88,$BA$205^A56,IF(A56='Données projet'!$A$88,'Données projet'!$B$88,BD55+BC56-BL55)))</f>
        <v>120.89102564102561</v>
      </c>
      <c r="BE56" s="13">
        <f>BD56*VLOOKUP('Données projet'!$B$11,Paramètres!$A$1:$I$89,3,0)*VLOOKUP('Données projet'!$B$11,Paramètres!$A$1:$I$89,5,0)</f>
        <v>115.03989999999996</v>
      </c>
      <c r="BF56" s="13">
        <f t="shared" si="37"/>
        <v>30.515310651508731</v>
      </c>
      <c r="BG56" s="20">
        <f t="shared" si="7"/>
        <v>253.50865855137769</v>
      </c>
      <c r="BH56" s="59">
        <f t="shared" si="8"/>
        <v>510.58403675791089</v>
      </c>
      <c r="BI56" s="59">
        <f ca="1">AVERAGE(OFFSET($BH$3,0,0,'Données projet'!$E$11+1,1))-AVERAGE(OFFSET($H$3,0,0,'Données projet'!$E$11+1,1))</f>
        <v>403.89478276355294</v>
      </c>
      <c r="BJ56" s="59">
        <f t="shared" si="38"/>
        <v>241.1593989733278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7.4</v>
      </c>
      <c r="BY56" s="12">
        <f>IF('Données projet'!$A$114&gt;35,BY55+BX56-CG55,IF(A56&lt;'Données projet'!$A$114,$BV$205^A56,IF(A56='Données projet'!$A$114,'Données projet'!$B$114,BY55+BX56-CG55)))</f>
        <v>264.2</v>
      </c>
      <c r="BZ56" s="13">
        <f>BY56*VLOOKUP('Données projet'!$B$12,Paramètres!$A$1:$I$89,3,0)*VLOOKUP('Données projet'!$B$12,Paramètres!$A$1:$I$89,5,0)</f>
        <v>210.19752</v>
      </c>
      <c r="CA56" s="13">
        <f t="shared" si="39"/>
        <v>51.978746425856599</v>
      </c>
      <c r="CB56" s="20">
        <f t="shared" si="10"/>
        <v>456.62366402503358</v>
      </c>
      <c r="CC56" s="59">
        <f t="shared" si="11"/>
        <v>713.69904223156686</v>
      </c>
      <c r="CD56" s="59">
        <f ca="1">AVERAGE(OFFSET($CC$3,0,0,'Données projet'!$E$12+1,1))-AVERAGE(OFFSET($H$3,0,0,'Données projet'!$E$12+1,1))</f>
        <v>377.27600411578322</v>
      </c>
      <c r="CE56" s="59">
        <f t="shared" si="40"/>
        <v>364.58250627635425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31.837258386953952</v>
      </c>
      <c r="CL56" s="21">
        <f>EXP(-LN(2)/25)*CL55+(1-EXP(-LN(2)/25))/(LN(2)/25)*Calculateur!CG56*Calculateur!CI56*VLOOKUP('Données projet'!$B$12,Paramètres!$A$1:$I$89,3,0)*0.475*44/12</f>
        <v>13.282391040545672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45.119649427499624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9.5</v>
      </c>
      <c r="CT56" s="12">
        <f>IF('Données projet'!$A$140&gt;35,CT55+CS56-DB55,IF(A56&lt;'Données projet'!$A$140,$CQ$205^A56,IF(A56='Données projet'!$A$140,'Données projet'!$B$140,CT55+CS56-DB55)))</f>
        <v>230.5</v>
      </c>
      <c r="CU56" s="17">
        <f>CT56*VLOOKUP('Données projet'!$B$13,Paramètres!$A$1:$I$89,3,0)*VLOOKUP('Données projet'!$B$13,Paramètres!$A$1:$I$89,5,0)</f>
        <v>179.79</v>
      </c>
      <c r="CV56" s="13">
        <f t="shared" si="41"/>
        <v>45.275461861841535</v>
      </c>
      <c r="CW56" s="20">
        <f t="shared" si="13"/>
        <v>391.9890127427073</v>
      </c>
      <c r="CX56" s="59">
        <f t="shared" si="14"/>
        <v>649.06439094924053</v>
      </c>
      <c r="CY56" s="59">
        <f ca="1">AVERAGE(OFFSET($CX$3,0,0,'Données projet'!$E$13+1,1))-AVERAGE(OFFSET($H$3,0,0,'Données projet'!$E$13+1,1))</f>
        <v>308.82719216177946</v>
      </c>
      <c r="CZ56" s="59">
        <f t="shared" si="42"/>
        <v>302.59481222418219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17.895901006235764</v>
      </c>
      <c r="DG56" s="21">
        <f>EXP(-LN(2)/25)*DG55+(1-EXP(-LN(2)/25))/(LN(2)/25)*Calculateur!DB56*Calculateur!DD56*VLOOKUP('Données projet'!$B$13,Paramètres!$A$1:$I$89,3,0)*0.475*44/12</f>
        <v>22.355158631665933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40.251059637901697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304.99999999999983</v>
      </c>
      <c r="DP56" s="17">
        <f>DO56*VLOOKUP('Données projet'!$B$14,Paramètres!$A$1:$I$89,3,0)*VLOOKUP('Données projet'!$B$14,Paramètres!$A$1:$I$89,5,0)</f>
        <v>275.96399999999983</v>
      </c>
      <c r="DQ56" s="13">
        <f t="shared" si="43"/>
        <v>66.113366665488854</v>
      </c>
      <c r="DR56" s="20">
        <f t="shared" si="16"/>
        <v>595.78474694239264</v>
      </c>
      <c r="DS56" s="59">
        <f t="shared" si="17"/>
        <v>852.86012514892582</v>
      </c>
      <c r="DT56" s="59">
        <f ca="1">AVERAGE(OFFSET($DS$3,0,0,'Données projet'!$E$14+1,1))-AVERAGE(OFFSET($H$3,0,0,'Données projet'!$E$14+1,1))</f>
        <v>376.51107072413777</v>
      </c>
      <c r="DU56" s="59">
        <f t="shared" si="44"/>
        <v>532.90758914457615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1.0249279166296479</v>
      </c>
      <c r="EB56" s="21">
        <f>EXP(-LN(2)/25)*EB55+(1-EXP(-LN(2)/25))/(LN(2)/25)*Calculateur!DW56*Calculateur!DY56*VLOOKUP('Données projet'!$B$14,Paramètres!$A$1:$I$89,3,0)*0.475*44/12</f>
        <v>3.9019843980500495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4.9269123146796971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12.837499999999991</v>
      </c>
      <c r="EJ56" s="12">
        <f>IF('Données projet'!$A$192&gt;35,EJ55+EI56-ER55,IF(A56&lt;'Données projet'!$A$192,$EG$205^A56,IF(A56='Données projet'!$A$192,'Données projet'!$B$192,EJ55+EI56-ER55)))</f>
        <v>407.96442307692291</v>
      </c>
      <c r="EK56" s="17">
        <f>EJ56*VLOOKUP('Données projet'!$B$15,Paramètres!$A$1:$I$89,3,0)*VLOOKUP('Données projet'!$B$15,Paramètres!$A$1:$I$89,5,0)</f>
        <v>243.96272499999992</v>
      </c>
      <c r="EL56" s="13">
        <f t="shared" si="45"/>
        <v>59.291315745845196</v>
      </c>
      <c r="EM56" s="20">
        <f t="shared" si="19"/>
        <v>528.16745429901368</v>
      </c>
      <c r="EN56" s="59">
        <f t="shared" si="20"/>
        <v>785.24283250554686</v>
      </c>
      <c r="EO56" s="59">
        <f ca="1">AVERAGE(OFFSET($EN$3,0,0,'Données projet'!$E$15+1,1))-AVERAGE(OFFSET($H$3,0,0,'Données projet'!$E$15+1,1))</f>
        <v>337.99164391755608</v>
      </c>
      <c r="EP56" s="59">
        <f t="shared" si="46"/>
        <v>421.45428231923393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54.419073668006384</v>
      </c>
      <c r="EW56" s="21">
        <f>EXP(-LN(2)/25)*EW55+(1-EXP(-LN(2)/25))/(LN(2)/25)*Calculateur!ER56*Calculateur!ET56*VLOOKUP('Données projet'!$B$15,Paramètres!$A$1:$I$89,3,0)*0.475*44/12</f>
        <v>19.050156932184336</v>
      </c>
      <c r="EX56" s="21">
        <f>EXP(-LN(2)/2)*EX55+(1-EXP(-LN(2)/2))/(LN(2)/2)*ER56*EU56*VLOOKUP('Données projet'!$B$15,Paramètres!$A$1:$I$89,3,0)*0.475*44/12</f>
        <v>1.4226766137157978</v>
      </c>
      <c r="EY56" s="22">
        <f t="shared" si="21"/>
        <v>74.891907213906507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6.3942307692307701</v>
      </c>
      <c r="N57" s="13">
        <f>IF('Données projet'!$A$36&gt;35,N56+M57-V56,IF(A57&lt;'Données projet'!$A$36,$K$205^A57,IF(A57='Données projet'!$A$36,'Données projet'!$B$36,N56+M57-V56)))</f>
        <v>127.28525641025638</v>
      </c>
      <c r="O57" s="13">
        <f>N57*VLOOKUP('Données projet'!$B$9,Paramètres!$A$1:$I$89,3,0)*VLOOKUP('Données projet'!$B$9,Paramètres!$A$1:$I$89,5,0)</f>
        <v>115.16769999999995</v>
      </c>
      <c r="P57" s="13">
        <f t="shared" si="33"/>
        <v>30.545262787038261</v>
      </c>
      <c r="Q57" s="20">
        <f t="shared" si="53"/>
        <v>253.78341018742489</v>
      </c>
      <c r="R57" s="59">
        <f t="shared" si="0"/>
        <v>511.48778285476419</v>
      </c>
      <c r="S57" s="59">
        <f ca="1">AVERAGE(OFFSET($R$3,0,0,'Données projet'!$E$9+1,1))-AVERAGE(OFFSET($H$3,0,0,'Données projet'!$E$9+1,1))</f>
        <v>388.1278150896951</v>
      </c>
      <c r="T57" s="59">
        <f t="shared" si="34"/>
        <v>232.26614607059227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0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6.3942307692307701</v>
      </c>
      <c r="AI57" s="13">
        <f>IF('Données projet'!$A$62&gt;35,AI56+AH57-AQ56,IF(A57&lt;'Données projet'!$A$62,$AF$205^A57,IF(A57='Données projet'!$A$62,'Données projet'!$B$62,AI56+AH57-AQ56)))</f>
        <v>127.28525641025638</v>
      </c>
      <c r="AJ57" s="13">
        <f>AI57*VLOOKUP('Données projet'!$B$10,Paramètres!$A$1:$I$89,3,0)*VLOOKUP('Données projet'!$B$10,Paramètres!$A$1:$I$89,5,0)</f>
        <v>129.06724999999997</v>
      </c>
      <c r="AK57" s="13">
        <f t="shared" si="35"/>
        <v>33.780737949764791</v>
      </c>
      <c r="AL57" s="20">
        <f t="shared" si="4"/>
        <v>283.62691234584025</v>
      </c>
      <c r="AM57" s="59">
        <f t="shared" si="5"/>
        <v>541.33128501317958</v>
      </c>
      <c r="AN57" s="59">
        <f ca="1">AVERAGE(OFFSET($AM$3,0,0,'Données projet'!$E$10+1,1))-AVERAGE(OFFSET($H$3,0,0,'Données projet'!$E$10+1,1))</f>
        <v>424.89201140676084</v>
      </c>
      <c r="AO57" s="59">
        <f t="shared" si="36"/>
        <v>253.0016648946303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6.3942307692307701</v>
      </c>
      <c r="BD57" s="12">
        <f>IF('Données projet'!$A$88&gt;35,BD56+BC57-BL56,IF(A57&lt;'Données projet'!$A$88,$BA$205^A57,IF(A57='Données projet'!$A$88,'Données projet'!$B$88,BD56+BC57-BL56)))</f>
        <v>127.28525641025638</v>
      </c>
      <c r="BE57" s="13">
        <f>BD57*VLOOKUP('Données projet'!$B$11,Paramètres!$A$1:$I$89,3,0)*VLOOKUP('Données projet'!$B$11,Paramètres!$A$1:$I$89,5,0)</f>
        <v>121.12464999999997</v>
      </c>
      <c r="BF57" s="13">
        <f t="shared" si="37"/>
        <v>31.937162858052172</v>
      </c>
      <c r="BG57" s="20">
        <f t="shared" si="7"/>
        <v>266.58265739444079</v>
      </c>
      <c r="BH57" s="59">
        <f t="shared" si="8"/>
        <v>524.28703006178011</v>
      </c>
      <c r="BI57" s="59">
        <f ca="1">AVERAGE(OFFSET($BH$3,0,0,'Données projet'!$E$11+1,1))-AVERAGE(OFFSET($H$3,0,0,'Données projet'!$E$11+1,1))</f>
        <v>403.89478276355294</v>
      </c>
      <c r="BJ57" s="59">
        <f t="shared" si="38"/>
        <v>241.1593989733278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7.4</v>
      </c>
      <c r="BY57" s="12">
        <f>IF('Données projet'!$A$114&gt;35,BY56+BX57-CG56,IF(A57&lt;'Données projet'!$A$114,$BV$205^A57,IF(A57='Données projet'!$A$114,'Données projet'!$B$114,BY56+BX57-CG56)))</f>
        <v>271.59999999999997</v>
      </c>
      <c r="BZ57" s="13">
        <f>BY57*VLOOKUP('Données projet'!$B$12,Paramètres!$A$1:$I$89,3,0)*VLOOKUP('Données projet'!$B$12,Paramètres!$A$1:$I$89,5,0)</f>
        <v>216.08496</v>
      </c>
      <c r="CA57" s="13">
        <f t="shared" si="39"/>
        <v>53.26308393083157</v>
      </c>
      <c r="CB57" s="20">
        <f t="shared" si="10"/>
        <v>469.11450984619825</v>
      </c>
      <c r="CC57" s="59">
        <f t="shared" si="11"/>
        <v>726.81888251353757</v>
      </c>
      <c r="CD57" s="59">
        <f ca="1">AVERAGE(OFFSET($CC$3,0,0,'Données projet'!$E$12+1,1))-AVERAGE(OFFSET($H$3,0,0,'Données projet'!$E$12+1,1))</f>
        <v>377.27600411578322</v>
      </c>
      <c r="CE57" s="59">
        <f t="shared" si="40"/>
        <v>364.58250627635425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31.212949168795951</v>
      </c>
      <c r="CL57" s="21">
        <f>EXP(-LN(2)/25)*CL56+(1-EXP(-LN(2)/25))/(LN(2)/25)*Calculateur!CG57*Calculateur!CI57*VLOOKUP('Données projet'!$B$12,Paramètres!$A$1:$I$89,3,0)*0.475*44/12</f>
        <v>12.919183359051363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44.132132527847318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9.5</v>
      </c>
      <c r="CT57" s="12">
        <f>IF('Données projet'!$A$140&gt;35,CT56+CS57-DB56,IF(A57&lt;'Données projet'!$A$140,$CQ$205^A57,IF(A57='Données projet'!$A$140,'Données projet'!$B$140,CT56+CS57-DB56)))</f>
        <v>240</v>
      </c>
      <c r="CU57" s="17">
        <f>CT57*VLOOKUP('Données projet'!$B$13,Paramètres!$A$1:$I$89,3,0)*VLOOKUP('Données projet'!$B$13,Paramètres!$A$1:$I$89,5,0)</f>
        <v>187.20000000000002</v>
      </c>
      <c r="CV57" s="13">
        <f t="shared" si="41"/>
        <v>46.920378730551299</v>
      </c>
      <c r="CW57" s="20">
        <f t="shared" si="13"/>
        <v>407.75965962237683</v>
      </c>
      <c r="CX57" s="59">
        <f t="shared" si="14"/>
        <v>665.46403228971622</v>
      </c>
      <c r="CY57" s="59">
        <f ca="1">AVERAGE(OFFSET($CX$3,0,0,'Données projet'!$E$13+1,1))-AVERAGE(OFFSET($H$3,0,0,'Données projet'!$E$13+1,1))</f>
        <v>308.82719216177946</v>
      </c>
      <c r="CZ57" s="59">
        <f t="shared" si="42"/>
        <v>302.59481222418219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17.544973302925285</v>
      </c>
      <c r="DG57" s="21">
        <f>EXP(-LN(2)/25)*DG56+(1-EXP(-LN(2)/25))/(LN(2)/25)*Calculateur!DB57*Calculateur!DD57*VLOOKUP('Données projet'!$B$13,Paramètres!$A$1:$I$89,3,0)*0.475*44/12</f>
        <v>21.74385564327633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39.288828946201619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304.99999999999983</v>
      </c>
      <c r="DP57" s="17">
        <f>DO57*VLOOKUP('Données projet'!$B$14,Paramètres!$A$1:$I$89,3,0)*VLOOKUP('Données projet'!$B$14,Paramètres!$A$1:$I$89,5,0)</f>
        <v>275.96399999999983</v>
      </c>
      <c r="DQ57" s="13">
        <f t="shared" si="43"/>
        <v>66.113366665488854</v>
      </c>
      <c r="DR57" s="20">
        <f t="shared" si="16"/>
        <v>595.78474694239264</v>
      </c>
      <c r="DS57" s="59">
        <f t="shared" si="17"/>
        <v>853.48911960973192</v>
      </c>
      <c r="DT57" s="59">
        <f ca="1">AVERAGE(OFFSET($DS$3,0,0,'Données projet'!$E$14+1,1))-AVERAGE(OFFSET($H$3,0,0,'Données projet'!$E$14+1,1))</f>
        <v>376.51107072413777</v>
      </c>
      <c r="DU57" s="59">
        <f t="shared" si="44"/>
        <v>532.90758914457615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1.0048297053288417</v>
      </c>
      <c r="EB57" s="21">
        <f>EXP(-LN(2)/25)*EB56+(1-EXP(-LN(2)/25))/(LN(2)/25)*Calculateur!DW57*Calculateur!DY57*VLOOKUP('Données projet'!$B$14,Paramètres!$A$1:$I$89,3,0)*0.475*44/12</f>
        <v>3.7952844294889294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4.8001141348177709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12.837499999999991</v>
      </c>
      <c r="EJ57" s="12">
        <f>IF('Données projet'!$A$192&gt;35,EJ56+EI57-ER56,IF(A57&lt;'Données projet'!$A$192,$EG$205^A57,IF(A57='Données projet'!$A$192,'Données projet'!$B$192,EJ56+EI57-ER56)))</f>
        <v>420.80192307692289</v>
      </c>
      <c r="EK57" s="17">
        <f>EJ57*VLOOKUP('Données projet'!$B$15,Paramètres!$A$1:$I$89,3,0)*VLOOKUP('Données projet'!$B$15,Paramètres!$A$1:$I$89,5,0)</f>
        <v>251.63954999999993</v>
      </c>
      <c r="EL57" s="13">
        <f t="shared" si="45"/>
        <v>60.936892129812684</v>
      </c>
      <c r="EM57" s="20">
        <f t="shared" si="19"/>
        <v>544.4039700427569</v>
      </c>
      <c r="EN57" s="59">
        <f t="shared" si="20"/>
        <v>802.10834271009617</v>
      </c>
      <c r="EO57" s="59">
        <f ca="1">AVERAGE(OFFSET($EN$3,0,0,'Données projet'!$E$15+1,1))-AVERAGE(OFFSET($H$3,0,0,'Données projet'!$E$15+1,1))</f>
        <v>337.99164391755608</v>
      </c>
      <c r="EP57" s="59">
        <f t="shared" si="46"/>
        <v>421.45428231923393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53.35194882573424</v>
      </c>
      <c r="EW57" s="21">
        <f>EXP(-LN(2)/25)*EW56+(1-EXP(-LN(2)/25))/(LN(2)/25)*Calculateur!ER57*Calculateur!ET57*VLOOKUP('Données projet'!$B$15,Paramètres!$A$1:$I$89,3,0)*0.475*44/12</f>
        <v>18.529229389069542</v>
      </c>
      <c r="EX57" s="21">
        <f>EXP(-LN(2)/2)*EX56+(1-EXP(-LN(2)/2))/(LN(2)/2)*ER57*EU57*VLOOKUP('Données projet'!$B$15,Paramètres!$A$1:$I$89,3,0)*0.475*44/12</f>
        <v>1.005984280993955</v>
      </c>
      <c r="EY57" s="22">
        <f t="shared" si="21"/>
        <v>72.887162495797739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6.3942307692307701</v>
      </c>
      <c r="N58" s="13">
        <f>IF('Données projet'!$A$36&gt;35,N57+M58-V57,IF(A58&lt;'Données projet'!$A$36,$K$205^A58,IF(A58='Données projet'!$A$36,'Données projet'!$B$36,N57+M58-V57)))</f>
        <v>133.67948717948715</v>
      </c>
      <c r="O58" s="13">
        <f>N58*VLOOKUP('Données projet'!$B$9,Paramètres!$A$1:$I$89,3,0)*VLOOKUP('Données projet'!$B$9,Paramètres!$A$1:$I$89,5,0)</f>
        <v>120.95319999999997</v>
      </c>
      <c r="P58" s="13">
        <f t="shared" si="33"/>
        <v>31.897215065171491</v>
      </c>
      <c r="Q58" s="20">
        <f t="shared" si="53"/>
        <v>266.21447290517364</v>
      </c>
      <c r="R58" s="59">
        <f t="shared" si="0"/>
        <v>524.53692838564507</v>
      </c>
      <c r="S58" s="59">
        <f ca="1">AVERAGE(OFFSET($R$3,0,0,'Données projet'!$E$9+1,1))-AVERAGE(OFFSET($H$3,0,0,'Données projet'!$E$9+1,1))</f>
        <v>388.1278150896951</v>
      </c>
      <c r="T58" s="59">
        <f t="shared" si="34"/>
        <v>232.26614607059227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0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6.3942307692307701</v>
      </c>
      <c r="AI58" s="13">
        <f>IF('Données projet'!$A$62&gt;35,AI57+AH58-AQ57,IF(A58&lt;'Données projet'!$A$62,$AF$205^A58,IF(A58='Données projet'!$A$62,'Données projet'!$B$62,AI57+AH58-AQ57)))</f>
        <v>133.67948717948715</v>
      </c>
      <c r="AJ58" s="13">
        <f>AI58*VLOOKUP('Données projet'!$B$10,Paramètres!$A$1:$I$89,3,0)*VLOOKUP('Données projet'!$B$10,Paramètres!$A$1:$I$89,5,0)</f>
        <v>135.55099999999999</v>
      </c>
      <c r="AK58" s="13">
        <f t="shared" si="35"/>
        <v>35.275894365560525</v>
      </c>
      <c r="AL58" s="20">
        <f t="shared" si="4"/>
        <v>297.52350768668458</v>
      </c>
      <c r="AM58" s="59">
        <f t="shared" si="5"/>
        <v>555.84596316715601</v>
      </c>
      <c r="AN58" s="59">
        <f ca="1">AVERAGE(OFFSET($AM$3,0,0,'Données projet'!$E$10+1,1))-AVERAGE(OFFSET($H$3,0,0,'Données projet'!$E$10+1,1))</f>
        <v>424.89201140676084</v>
      </c>
      <c r="AO58" s="59">
        <f t="shared" si="36"/>
        <v>253.0016648946303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6.3942307692307701</v>
      </c>
      <c r="BD58" s="12">
        <f>IF('Données projet'!$A$88&gt;35,BD57+BC58-BL57,IF(A58&lt;'Données projet'!$A$88,$BA$205^A58,IF(A58='Données projet'!$A$88,'Données projet'!$B$88,BD57+BC58-BL57)))</f>
        <v>133.67948717948715</v>
      </c>
      <c r="BE58" s="13">
        <f>BD58*VLOOKUP('Données projet'!$B$11,Paramètres!$A$1:$I$89,3,0)*VLOOKUP('Données projet'!$B$11,Paramètres!$A$1:$I$89,5,0)</f>
        <v>127.20939999999997</v>
      </c>
      <c r="BF58" s="13">
        <f t="shared" si="37"/>
        <v>33.350721496721917</v>
      </c>
      <c r="BG58" s="20">
        <f t="shared" si="7"/>
        <v>279.64221160679057</v>
      </c>
      <c r="BH58" s="59">
        <f t="shared" si="8"/>
        <v>537.96466708726189</v>
      </c>
      <c r="BI58" s="59">
        <f ca="1">AVERAGE(OFFSET($BH$3,0,0,'Données projet'!$E$11+1,1))-AVERAGE(OFFSET($H$3,0,0,'Données projet'!$E$11+1,1))</f>
        <v>403.89478276355294</v>
      </c>
      <c r="BJ58" s="59">
        <f t="shared" si="38"/>
        <v>241.1593989733278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279</v>
      </c>
      <c r="BW58" s="12">
        <f>VLOOKUP(A58,'Données projet'!$A$113:$I$133,9,0)</f>
        <v>7.4</v>
      </c>
      <c r="BX58" s="12">
        <f t="array" ref="BX58">INDEX(BW:BW,MIN(IF(ISNUMBER(BW58:BW254),ROW(BW58:BW254),"")))</f>
        <v>7.4</v>
      </c>
      <c r="BY58" s="12">
        <f>IF('Données projet'!$A$114&gt;35,BY57+BX58-CG57,IF(A58&lt;'Données projet'!$A$114,$BV$205^A58,IF(A58='Données projet'!$A$114,'Données projet'!$B$114,BY57+BX58-CG57)))</f>
        <v>278.99999999999994</v>
      </c>
      <c r="BZ58" s="13">
        <f>BY58*VLOOKUP('Données projet'!$B$12,Paramètres!$A$1:$I$89,3,0)*VLOOKUP('Données projet'!$B$12,Paramètres!$A$1:$I$89,5,0)</f>
        <v>221.97239999999996</v>
      </c>
      <c r="CA58" s="13">
        <f t="shared" si="39"/>
        <v>54.543354171476821</v>
      </c>
      <c r="CB58" s="20">
        <f t="shared" si="10"/>
        <v>481.59827184865543</v>
      </c>
      <c r="CC58" s="59">
        <f t="shared" si="11"/>
        <v>739.92072732912675</v>
      </c>
      <c r="CD58" s="59">
        <f ca="1">AVERAGE(OFFSET($CC$3,0,0,'Données projet'!$E$12+1,1))-AVERAGE(OFFSET($H$3,0,0,'Données projet'!$E$12+1,1))</f>
        <v>377.27600411578322</v>
      </c>
      <c r="CE58" s="59">
        <f t="shared" si="40"/>
        <v>364.58250627635425</v>
      </c>
      <c r="CF58" s="15">
        <f>IF(ISNA(VLOOKUP(A58,'Données projet'!$A$113:$I$133,3,0)),0,VLOOKUP(A58,'Données projet'!$A$113:$I$133,3,0))</f>
        <v>9</v>
      </c>
      <c r="CG58" s="15">
        <f>IF(ISNA(VLOOKUP(A58,'Données projet'!$A$113:$I$133,4,0)),0,VLOOKUP(A58,'Données projet'!$A$113:$I$133,4,0))</f>
        <v>16</v>
      </c>
      <c r="CH58" s="16">
        <f>IF(ISNA(VLOOKUP(A58,'Données projet'!$A$113:$I$133,5,0)),0%,VLOOKUP(A58,'Données projet'!$A$113:$I$133,5,0)*VLOOKUP('Données projet'!$B$12,Paramètres!$A$1:$I$89,7,0))</f>
        <v>0.46640000000000004</v>
      </c>
      <c r="CI58" s="16">
        <f>IF(ISNA(VLOOKUP(A58,'Données projet'!$A$113:$I$133,6,0)),0%,VLOOKUP(A58,'Données projet'!$A$113:$I$133,6,0)*VLOOKUP('Données projet'!$B$12,Paramètres!$A$1:$I$89,7,0))</f>
        <v>3.1800000000000002E-2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37.164154368291364</v>
      </c>
      <c r="CL58" s="21">
        <f>EXP(-LN(2)/25)*CL57+(1-EXP(-LN(2)/25))/(LN(2)/25)*Calculateur!CG58*Calculateur!CI58*VLOOKUP('Données projet'!$B$12,Paramètres!$A$1:$I$89,3,0)*0.475*44/12</f>
        <v>13.011641473773929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50.175795842065291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9.5</v>
      </c>
      <c r="CT58" s="12">
        <f>IF('Données projet'!$A$140&gt;35,CT57+CS58-DB57,IF(A58&lt;'Données projet'!$A$140,$CQ$205^A58,IF(A58='Données projet'!$A$140,'Données projet'!$B$140,CT57+CS58-DB57)))</f>
        <v>249.5</v>
      </c>
      <c r="CU58" s="17">
        <f>CT58*VLOOKUP('Données projet'!$B$13,Paramètres!$A$1:$I$89,3,0)*VLOOKUP('Données projet'!$B$13,Paramètres!$A$1:$I$89,5,0)</f>
        <v>194.61</v>
      </c>
      <c r="CV58" s="13">
        <f t="shared" si="41"/>
        <v>48.557731991923845</v>
      </c>
      <c r="CW58" s="20">
        <f t="shared" si="13"/>
        <v>423.51713321926735</v>
      </c>
      <c r="CX58" s="59">
        <f t="shared" si="14"/>
        <v>681.83958869973867</v>
      </c>
      <c r="CY58" s="59">
        <f ca="1">AVERAGE(OFFSET($CX$3,0,0,'Données projet'!$E$13+1,1))-AVERAGE(OFFSET($H$3,0,0,'Données projet'!$E$13+1,1))</f>
        <v>308.82719216177946</v>
      </c>
      <c r="CZ58" s="59">
        <f t="shared" si="42"/>
        <v>302.59481222418219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17.200927077831963</v>
      </c>
      <c r="DG58" s="21">
        <f>EXP(-LN(2)/25)*DG57+(1-EXP(-LN(2)/25))/(LN(2)/25)*Calculateur!DB58*Calculateur!DD58*VLOOKUP('Données projet'!$B$13,Paramètres!$A$1:$I$89,3,0)*0.475*44/12</f>
        <v>21.149268767251268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38.350195845083235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304.99999999999983</v>
      </c>
      <c r="DP58" s="17">
        <f>DO58*VLOOKUP('Données projet'!$B$14,Paramètres!$A$1:$I$89,3,0)*VLOOKUP('Données projet'!$B$14,Paramètres!$A$1:$I$89,5,0)</f>
        <v>275.96399999999983</v>
      </c>
      <c r="DQ58" s="13">
        <f t="shared" si="43"/>
        <v>66.113366665488854</v>
      </c>
      <c r="DR58" s="20">
        <f t="shared" si="16"/>
        <v>595.78474694239264</v>
      </c>
      <c r="DS58" s="59">
        <f t="shared" si="17"/>
        <v>854.10720242286402</v>
      </c>
      <c r="DT58" s="59">
        <f ca="1">AVERAGE(OFFSET($DS$3,0,0,'Données projet'!$E$14+1,1))-AVERAGE(OFFSET($H$3,0,0,'Données projet'!$E$14+1,1))</f>
        <v>376.51107072413777</v>
      </c>
      <c r="DU58" s="59">
        <f t="shared" si="44"/>
        <v>532.90758914457615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0.98512560769294599</v>
      </c>
      <c r="EB58" s="21">
        <f>EXP(-LN(2)/25)*EB57+(1-EXP(-LN(2)/25))/(LN(2)/25)*Calculateur!DW58*Calculateur!DY58*VLOOKUP('Données projet'!$B$14,Paramètres!$A$1:$I$89,3,0)*0.475*44/12</f>
        <v>3.6915021771792209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4.6766277848721671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12.837499999999991</v>
      </c>
      <c r="EJ58" s="12">
        <f>IF('Données projet'!$A$192&gt;35,EJ57+EI58-ER57,IF(A58&lt;'Données projet'!$A$192,$EG$205^A58,IF(A58='Données projet'!$A$192,'Données projet'!$B$192,EJ57+EI58-ER57)))</f>
        <v>433.63942307692287</v>
      </c>
      <c r="EK58" s="17">
        <f>EJ58*VLOOKUP('Données projet'!$B$15,Paramètres!$A$1:$I$89,3,0)*VLOOKUP('Données projet'!$B$15,Paramètres!$A$1:$I$89,5,0)</f>
        <v>259.31637499999988</v>
      </c>
      <c r="EL58" s="13">
        <f t="shared" si="45"/>
        <v>62.576634410968637</v>
      </c>
      <c r="EM58" s="20">
        <f t="shared" si="19"/>
        <v>560.63032472410339</v>
      </c>
      <c r="EN58" s="59">
        <f t="shared" si="20"/>
        <v>818.95278020457476</v>
      </c>
      <c r="EO58" s="59">
        <f ca="1">AVERAGE(OFFSET($EN$3,0,0,'Données projet'!$E$15+1,1))-AVERAGE(OFFSET($H$3,0,0,'Données projet'!$E$15+1,1))</f>
        <v>337.99164391755608</v>
      </c>
      <c r="EP58" s="59">
        <f t="shared" si="46"/>
        <v>421.45428231923393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52.30574965073717</v>
      </c>
      <c r="EW58" s="21">
        <f>EXP(-LN(2)/25)*EW57+(1-EXP(-LN(2)/25))/(LN(2)/25)*Calculateur!ER58*Calculateur!ET58*VLOOKUP('Données projet'!$B$15,Paramètres!$A$1:$I$89,3,0)*0.475*44/12</f>
        <v>18.022546637015612</v>
      </c>
      <c r="EX58" s="21">
        <f>EXP(-LN(2)/2)*EX57+(1-EXP(-LN(2)/2))/(LN(2)/2)*ER58*EU58*VLOOKUP('Données projet'!$B$15,Paramètres!$A$1:$I$89,3,0)*0.475*44/12</f>
        <v>0.71133830685789889</v>
      </c>
      <c r="EY58" s="22">
        <f t="shared" si="21"/>
        <v>71.039634594610675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6.3942307692307701</v>
      </c>
      <c r="N59" s="13">
        <f>IF('Données projet'!$A$36&gt;35,N58+M59-V58,IF(A59&lt;'Données projet'!$A$36,$K$205^A59,IF(A59='Données projet'!$A$36,'Données projet'!$B$36,N58+M59-V58)))</f>
        <v>140.07371794871793</v>
      </c>
      <c r="O59" s="13">
        <f>N59*VLOOKUP('Données projet'!$B$9,Paramètres!$A$1:$I$89,3,0)*VLOOKUP('Données projet'!$B$9,Paramètres!$A$1:$I$89,5,0)</f>
        <v>126.73869999999998</v>
      </c>
      <c r="P59" s="13">
        <f t="shared" si="33"/>
        <v>33.241657959244336</v>
      </c>
      <c r="Q59" s="20">
        <f t="shared" si="53"/>
        <v>278.63245677901716</v>
      </c>
      <c r="R59" s="59">
        <f t="shared" si="0"/>
        <v>537.56227271763896</v>
      </c>
      <c r="S59" s="59">
        <f ca="1">AVERAGE(OFFSET($R$3,0,0,'Données projet'!$E$9+1,1))-AVERAGE(OFFSET($H$3,0,0,'Données projet'!$E$9+1,1))</f>
        <v>388.1278150896951</v>
      </c>
      <c r="T59" s="59">
        <f t="shared" si="34"/>
        <v>232.26614607059227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0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6.3942307692307701</v>
      </c>
      <c r="AI59" s="13">
        <f>IF('Données projet'!$A$62&gt;35,AI58+AH59-AQ58,IF(A59&lt;'Données projet'!$A$62,$AF$205^A59,IF(A59='Données projet'!$A$62,'Données projet'!$B$62,AI58+AH59-AQ58)))</f>
        <v>140.07371794871793</v>
      </c>
      <c r="AJ59" s="13">
        <f>AI59*VLOOKUP('Données projet'!$B$10,Paramètres!$A$1:$I$89,3,0)*VLOOKUP('Données projet'!$B$10,Paramètres!$A$1:$I$89,5,0)</f>
        <v>142.03474999999997</v>
      </c>
      <c r="AK59" s="13">
        <f t="shared" si="35"/>
        <v>36.762745973606584</v>
      </c>
      <c r="AL59" s="20">
        <f t="shared" si="4"/>
        <v>311.40563882069802</v>
      </c>
      <c r="AM59" s="59">
        <f t="shared" si="5"/>
        <v>570.33545475931976</v>
      </c>
      <c r="AN59" s="59">
        <f ca="1">AVERAGE(OFFSET($AM$3,0,0,'Données projet'!$E$10+1,1))-AVERAGE(OFFSET($H$3,0,0,'Données projet'!$E$10+1,1))</f>
        <v>424.89201140676084</v>
      </c>
      <c r="AO59" s="59">
        <f t="shared" si="36"/>
        <v>253.0016648946303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6.3942307692307701</v>
      </c>
      <c r="BD59" s="12">
        <f>IF('Données projet'!$A$88&gt;35,BD58+BC59-BL58,IF(A59&lt;'Données projet'!$A$88,$BA$205^A59,IF(A59='Données projet'!$A$88,'Données projet'!$B$88,BD58+BC59-BL58)))</f>
        <v>140.07371794871793</v>
      </c>
      <c r="BE59" s="13">
        <f>BD59*VLOOKUP('Données projet'!$B$11,Paramètres!$A$1:$I$89,3,0)*VLOOKUP('Données projet'!$B$11,Paramètres!$A$1:$I$89,5,0)</f>
        <v>133.29414999999997</v>
      </c>
      <c r="BF59" s="13">
        <f t="shared" si="37"/>
        <v>34.756428560390589</v>
      </c>
      <c r="BG59" s="20">
        <f t="shared" si="7"/>
        <v>292.6880909926802</v>
      </c>
      <c r="BH59" s="59">
        <f t="shared" si="8"/>
        <v>551.61790693130195</v>
      </c>
      <c r="BI59" s="59">
        <f ca="1">AVERAGE(OFFSET($BH$3,0,0,'Données projet'!$E$11+1,1))-AVERAGE(OFFSET($H$3,0,0,'Données projet'!$E$11+1,1))</f>
        <v>403.89478276355294</v>
      </c>
      <c r="BJ59" s="59">
        <f t="shared" si="38"/>
        <v>241.1593989733278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6.2</v>
      </c>
      <c r="BY59" s="12">
        <f>IF('Données projet'!$A$114&gt;35,BY58+BX59-CG58,IF(A59&lt;'Données projet'!$A$114,$BV$205^A59,IF(A59='Données projet'!$A$114,'Données projet'!$B$114,BY58+BX59-CG58)))</f>
        <v>269.19999999999993</v>
      </c>
      <c r="BZ59" s="13">
        <f>BY59*VLOOKUP('Données projet'!$B$12,Paramètres!$A$1:$I$89,3,0)*VLOOKUP('Données projet'!$B$12,Paramètres!$A$1:$I$89,5,0)</f>
        <v>214.17551999999998</v>
      </c>
      <c r="CA59" s="13">
        <f t="shared" si="39"/>
        <v>52.846993696165399</v>
      </c>
      <c r="CB59" s="20">
        <f t="shared" si="10"/>
        <v>465.06421135415468</v>
      </c>
      <c r="CC59" s="59">
        <f t="shared" si="11"/>
        <v>723.99402729277642</v>
      </c>
      <c r="CD59" s="59">
        <f ca="1">AVERAGE(OFFSET($CC$3,0,0,'Données projet'!$E$12+1,1))-AVERAGE(OFFSET($H$3,0,0,'Données projet'!$E$12+1,1))</f>
        <v>377.27600411578322</v>
      </c>
      <c r="CE59" s="59">
        <f t="shared" si="40"/>
        <v>364.58250627635425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36.435387969025065</v>
      </c>
      <c r="CL59" s="21">
        <f>EXP(-LN(2)/25)*CL58+(1-EXP(-LN(2)/25))/(LN(2)/25)*Calculateur!CG59*Calculateur!CI59*VLOOKUP('Données projet'!$B$12,Paramètres!$A$1:$I$89,3,0)*0.475*44/12</f>
        <v>12.655837453421094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49.091225422446158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9.5</v>
      </c>
      <c r="CT59" s="12">
        <f>IF('Données projet'!$A$140&gt;35,CT58+CS59-DB58,IF(A59&lt;'Données projet'!$A$140,$CQ$205^A59,IF(A59='Données projet'!$A$140,'Données projet'!$B$140,CT58+CS59-DB58)))</f>
        <v>259</v>
      </c>
      <c r="CU59" s="17">
        <f>CT59*VLOOKUP('Données projet'!$B$13,Paramètres!$A$1:$I$89,3,0)*VLOOKUP('Données projet'!$B$13,Paramètres!$A$1:$I$89,5,0)</f>
        <v>202.02</v>
      </c>
      <c r="CV59" s="13">
        <f t="shared" si="41"/>
        <v>50.187842607873506</v>
      </c>
      <c r="CW59" s="20">
        <f t="shared" si="13"/>
        <v>439.26199254204636</v>
      </c>
      <c r="CX59" s="59">
        <f t="shared" si="14"/>
        <v>698.1918084806681</v>
      </c>
      <c r="CY59" s="59">
        <f ca="1">AVERAGE(OFFSET($CX$3,0,0,'Données projet'!$E$13+1,1))-AVERAGE(OFFSET($H$3,0,0,'Données projet'!$E$13+1,1))</f>
        <v>308.82719216177946</v>
      </c>
      <c r="CZ59" s="59">
        <f t="shared" si="42"/>
        <v>302.59481222418219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16.863627389365245</v>
      </c>
      <c r="DG59" s="21">
        <f>EXP(-LN(2)/25)*DG58+(1-EXP(-LN(2)/25))/(LN(2)/25)*Calculateur!DB59*Calculateur!DD59*VLOOKUP('Données projet'!$B$13,Paramètres!$A$1:$I$89,3,0)*0.475*44/12</f>
        <v>20.570940900619075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37.43456828998432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304.99999999999983</v>
      </c>
      <c r="DP59" s="17">
        <f>DO59*VLOOKUP('Données projet'!$B$14,Paramètres!$A$1:$I$89,3,0)*VLOOKUP('Données projet'!$B$14,Paramètres!$A$1:$I$89,5,0)</f>
        <v>275.96399999999983</v>
      </c>
      <c r="DQ59" s="13">
        <f t="shared" si="43"/>
        <v>66.113366665488854</v>
      </c>
      <c r="DR59" s="20">
        <f t="shared" si="16"/>
        <v>595.78474694239264</v>
      </c>
      <c r="DS59" s="59">
        <f t="shared" si="17"/>
        <v>854.71456288101444</v>
      </c>
      <c r="DT59" s="59">
        <f ca="1">AVERAGE(OFFSET($DS$3,0,0,'Données projet'!$E$14+1,1))-AVERAGE(OFFSET($H$3,0,0,'Données projet'!$E$14+1,1))</f>
        <v>376.51107072413777</v>
      </c>
      <c r="DU59" s="59">
        <f t="shared" si="44"/>
        <v>532.90758914457615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0.9658078953933773</v>
      </c>
      <c r="EB59" s="21">
        <f>EXP(-LN(2)/25)*EB58+(1-EXP(-LN(2)/25))/(LN(2)/25)*Calculateur!DW59*Calculateur!DY59*VLOOKUP('Données projet'!$B$14,Paramètres!$A$1:$I$89,3,0)*0.475*44/12</f>
        <v>3.5905578560165927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4.5563657514099702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>
        <f>VLOOKUP(A59,'Données projet'!$A$191:$I$211,2,0)</f>
        <v>446.47692307692301</v>
      </c>
      <c r="EH59" s="12">
        <f>VLOOKUP(A59,'Données projet'!$A$191:$I$211,9,0)</f>
        <v>12.837499999999991</v>
      </c>
      <c r="EI59" s="12">
        <f t="array" ref="EI59">INDEX(EH:EH,MIN(IF(ISNUMBER(EH59:EH255),ROW(EH59:EH255),"")))</f>
        <v>12.837499999999991</v>
      </c>
      <c r="EJ59" s="12">
        <f>IF('Données projet'!$A$192&gt;35,EJ58+EI59-ER58,IF(A59&lt;'Données projet'!$A$192,$EG$205^A59,IF(A59='Données projet'!$A$192,'Données projet'!$B$192,EJ58+EI59-ER58)))</f>
        <v>446.47692307692284</v>
      </c>
      <c r="EK59" s="17">
        <f>EJ59*VLOOKUP('Données projet'!$B$15,Paramètres!$A$1:$I$89,3,0)*VLOOKUP('Données projet'!$B$15,Paramètres!$A$1:$I$89,5,0)</f>
        <v>266.99319999999989</v>
      </c>
      <c r="EL59" s="13">
        <f t="shared" si="45"/>
        <v>64.210735131625498</v>
      </c>
      <c r="EM59" s="20">
        <f t="shared" si="19"/>
        <v>576.84685368758085</v>
      </c>
      <c r="EN59" s="59">
        <f t="shared" si="20"/>
        <v>835.77666962620265</v>
      </c>
      <c r="EO59" s="59">
        <f ca="1">AVERAGE(OFFSET($EN$3,0,0,'Données projet'!$E$15+1,1))-AVERAGE(OFFSET($H$3,0,0,'Données projet'!$E$15+1,1))</f>
        <v>337.99164391755608</v>
      </c>
      <c r="EP59" s="59">
        <f t="shared" si="46"/>
        <v>421.45428231923393</v>
      </c>
      <c r="EQ59" s="15">
        <f>IF(ISNA(VLOOKUP(A59,'Données projet'!$A$191:$I$211,3,0)),0,VLOOKUP(A59,'Données projet'!$A$191:$I$211,3,0))</f>
        <v>7</v>
      </c>
      <c r="ER59" s="15">
        <f>IF(ISNA(VLOOKUP(A59,'Données projet'!$A$191:$I$211,4,0)),0,VLOOKUP(A59,'Données projet'!$A$191:$I$211,4,0))</f>
        <v>446.47692307692301</v>
      </c>
      <c r="ES59" s="16">
        <f>IF(ISNA(VLOOKUP(A59,'Données projet'!$A$191:$I$211,5,0)),0%,VLOOKUP(A59,'Données projet'!$A$191:$I$211,5,0)*VLOOKUP('Données projet'!$B$15,Paramètres!$A$1:$I$89,7,0))</f>
        <v>0.315</v>
      </c>
      <c r="ET59" s="16">
        <f>IF(ISNA(VLOOKUP(A59,'Données projet'!$A$191:$I$211,6,0)),0%,VLOOKUP(A59,'Données projet'!$A$191:$I$211,6,0)*VLOOKUP('Données projet'!$B$15,Paramètres!$A$1:$I$89,7,0))</f>
        <v>7.5600000000000001E-2</v>
      </c>
      <c r="EU59" s="16">
        <f>IF(ISNA(VLOOKUP(A59,'Données projet'!$A$191:$I$211,7,0)),0%,VLOOKUP(A59,'Données projet'!$A$191:$I$211,7,0))</f>
        <v>0.13200000000000001</v>
      </c>
      <c r="EV59" s="21">
        <f>EXP(-LN(2)/35)*EV58+(1-EXP(-LN(2)/35))/(LN(2)/35)*ER59*ES59*VLOOKUP('Données projet'!$B$15,Paramètres!$A$1:$I$89,3,0)*0.475*44/12</f>
        <v>162.84792782712228</v>
      </c>
      <c r="EW59" s="21">
        <f>EXP(-LN(2)/25)*EW58+(1-EXP(-LN(2)/25))/(LN(2)/25)*Calculateur!ER59*Calculateur!ET59*VLOOKUP('Données projet'!$B$15,Paramètres!$A$1:$I$89,3,0)*0.475*44/12</f>
        <v>44.200577593110729</v>
      </c>
      <c r="EX59" s="21">
        <f>EXP(-LN(2)/2)*EX58+(1-EXP(-LN(2)/2))/(LN(2)/2)*ER59*EU59*VLOOKUP('Données projet'!$B$15,Paramètres!$A$1:$I$89,3,0)*0.475*44/12</f>
        <v>40.406370942809481</v>
      </c>
      <c r="EY59" s="22">
        <f t="shared" si="21"/>
        <v>247.45487636304247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6.3942307692307701</v>
      </c>
      <c r="N60" s="13">
        <f>IF('Données projet'!$A$36&gt;35,N59+M60-V59,IF(A60&lt;'Données projet'!$A$36,$K$205^A60,IF(A60='Données projet'!$A$36,'Données projet'!$B$36,N59+M60-V59)))</f>
        <v>146.4679487179487</v>
      </c>
      <c r="O60" s="13">
        <f>N60*VLOOKUP('Données projet'!$B$9,Paramètres!$A$1:$I$89,3,0)*VLOOKUP('Données projet'!$B$9,Paramètres!$A$1:$I$89,5,0)</f>
        <v>132.52419999999998</v>
      </c>
      <c r="P60" s="13">
        <f t="shared" si="33"/>
        <v>34.578973423062216</v>
      </c>
      <c r="Q60" s="20">
        <f t="shared" si="53"/>
        <v>291.03802704516664</v>
      </c>
      <c r="R60" s="59">
        <f t="shared" si="0"/>
        <v>550.56466709584436</v>
      </c>
      <c r="S60" s="59">
        <f ca="1">AVERAGE(OFFSET($R$3,0,0,'Données projet'!$E$9+1,1))-AVERAGE(OFFSET($H$3,0,0,'Données projet'!$E$9+1,1))</f>
        <v>388.1278150896951</v>
      </c>
      <c r="T60" s="59">
        <f t="shared" si="34"/>
        <v>232.26614607059227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0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6.3942307692307701</v>
      </c>
      <c r="AI60" s="13">
        <f>IF('Données projet'!$A$62&gt;35,AI59+AH60-AQ59,IF(A60&lt;'Données projet'!$A$62,$AF$205^A60,IF(A60='Données projet'!$A$62,'Données projet'!$B$62,AI59+AH60-AQ59)))</f>
        <v>146.4679487179487</v>
      </c>
      <c r="AJ60" s="13">
        <f>AI60*VLOOKUP('Données projet'!$B$10,Paramètres!$A$1:$I$89,3,0)*VLOOKUP('Données projet'!$B$10,Paramètres!$A$1:$I$89,5,0)</f>
        <v>148.51850000000002</v>
      </c>
      <c r="AK60" s="13">
        <f t="shared" si="35"/>
        <v>38.241715185767696</v>
      </c>
      <c r="AL60" s="20">
        <f t="shared" si="4"/>
        <v>325.27404144854546</v>
      </c>
      <c r="AM60" s="59">
        <f t="shared" si="5"/>
        <v>584.80068149922317</v>
      </c>
      <c r="AN60" s="59">
        <f ca="1">AVERAGE(OFFSET($AM$3,0,0,'Données projet'!$E$10+1,1))-AVERAGE(OFFSET($H$3,0,0,'Données projet'!$E$10+1,1))</f>
        <v>424.89201140676084</v>
      </c>
      <c r="AO60" s="59">
        <f t="shared" si="36"/>
        <v>253.0016648946303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6.3942307692307701</v>
      </c>
      <c r="BD60" s="12">
        <f>IF('Données projet'!$A$88&gt;35,BD59+BC60-BL59,IF(A60&lt;'Données projet'!$A$88,$BA$205^A60,IF(A60='Données projet'!$A$88,'Données projet'!$B$88,BD59+BC60-BL59)))</f>
        <v>146.4679487179487</v>
      </c>
      <c r="BE60" s="13">
        <f>BD60*VLOOKUP('Données projet'!$B$11,Paramètres!$A$1:$I$89,3,0)*VLOOKUP('Données projet'!$B$11,Paramètres!$A$1:$I$89,5,0)</f>
        <v>139.37889999999999</v>
      </c>
      <c r="BF60" s="13">
        <f t="shared" si="37"/>
        <v>36.154683407903839</v>
      </c>
      <c r="BG60" s="20">
        <f t="shared" si="7"/>
        <v>305.72099110209916</v>
      </c>
      <c r="BH60" s="59">
        <f t="shared" si="8"/>
        <v>565.24763115277688</v>
      </c>
      <c r="BI60" s="59">
        <f ca="1">AVERAGE(OFFSET($BH$3,0,0,'Données projet'!$E$11+1,1))-AVERAGE(OFFSET($H$3,0,0,'Données projet'!$E$11+1,1))</f>
        <v>403.89478276355294</v>
      </c>
      <c r="BJ60" s="59">
        <f t="shared" si="38"/>
        <v>241.1593989733278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6.2</v>
      </c>
      <c r="BY60" s="12">
        <f>IF('Données projet'!$A$114&gt;35,BY59+BX60-CG59,IF(A60&lt;'Données projet'!$A$114,$BV$205^A60,IF(A60='Données projet'!$A$114,'Données projet'!$B$114,BY59+BX60-CG59)))</f>
        <v>275.39999999999992</v>
      </c>
      <c r="BZ60" s="13">
        <f>BY60*VLOOKUP('Données projet'!$B$12,Paramètres!$A$1:$I$89,3,0)*VLOOKUP('Données projet'!$B$12,Paramètres!$A$1:$I$89,5,0)</f>
        <v>219.10823999999994</v>
      </c>
      <c r="CA60" s="13">
        <f t="shared" si="39"/>
        <v>53.921020297295854</v>
      </c>
      <c r="CB60" s="20">
        <f t="shared" si="10"/>
        <v>475.52596168445672</v>
      </c>
      <c r="CC60" s="59">
        <f t="shared" si="11"/>
        <v>735.05260173513443</v>
      </c>
      <c r="CD60" s="59">
        <f ca="1">AVERAGE(OFFSET($CC$3,0,0,'Données projet'!$E$12+1,1))-AVERAGE(OFFSET($H$3,0,0,'Données projet'!$E$12+1,1))</f>
        <v>377.27600411578322</v>
      </c>
      <c r="CE60" s="59">
        <f t="shared" si="40"/>
        <v>364.58250627635425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35.720912234344766</v>
      </c>
      <c r="CL60" s="21">
        <f>EXP(-LN(2)/25)*CL59+(1-EXP(-LN(2)/25))/(LN(2)/25)*Calculateur!CG60*Calculateur!CI60*VLOOKUP('Données projet'!$B$12,Paramètres!$A$1:$I$89,3,0)*0.475*44/12</f>
        <v>12.309762912715728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48.030675147060492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9.5</v>
      </c>
      <c r="CT60" s="12">
        <f>IF('Données projet'!$A$140&gt;35,CT59+CS60-DB59,IF(A60&lt;'Données projet'!$A$140,$CQ$205^A60,IF(A60='Données projet'!$A$140,'Données projet'!$B$140,CT59+CS60-DB59)))</f>
        <v>268.5</v>
      </c>
      <c r="CU60" s="17">
        <f>CT60*VLOOKUP('Données projet'!$B$13,Paramètres!$A$1:$I$89,3,0)*VLOOKUP('Données projet'!$B$13,Paramètres!$A$1:$I$89,5,0)</f>
        <v>209.43</v>
      </c>
      <c r="CV60" s="13">
        <f t="shared" si="41"/>
        <v>51.811006660589165</v>
      </c>
      <c r="CW60" s="20">
        <f t="shared" si="13"/>
        <v>454.99475326719272</v>
      </c>
      <c r="CX60" s="59">
        <f t="shared" si="14"/>
        <v>714.52139331787043</v>
      </c>
      <c r="CY60" s="59">
        <f ca="1">AVERAGE(OFFSET($CX$3,0,0,'Données projet'!$E$13+1,1))-AVERAGE(OFFSET($H$3,0,0,'Données projet'!$E$13+1,1))</f>
        <v>308.82719216177946</v>
      </c>
      <c r="CZ60" s="59">
        <f t="shared" si="42"/>
        <v>302.59481222418219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16.532941942056862</v>
      </c>
      <c r="DG60" s="21">
        <f>EXP(-LN(2)/25)*DG59+(1-EXP(-LN(2)/25))/(LN(2)/25)*Calculateur!DB60*Calculateur!DD60*VLOOKUP('Données projet'!$B$13,Paramètres!$A$1:$I$89,3,0)*0.475*44/12</f>
        <v>20.008427439912879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36.541369381969744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304.99999999999983</v>
      </c>
      <c r="DP60" s="17">
        <f>DO60*VLOOKUP('Données projet'!$B$14,Paramètres!$A$1:$I$89,3,0)*VLOOKUP('Données projet'!$B$14,Paramètres!$A$1:$I$89,5,0)</f>
        <v>275.96399999999983</v>
      </c>
      <c r="DQ60" s="13">
        <f t="shared" si="43"/>
        <v>66.113366665488854</v>
      </c>
      <c r="DR60" s="20">
        <f t="shared" si="16"/>
        <v>595.78474694239264</v>
      </c>
      <c r="DS60" s="59">
        <f t="shared" si="17"/>
        <v>855.3113869930703</v>
      </c>
      <c r="DT60" s="59">
        <f ca="1">AVERAGE(OFFSET($DS$3,0,0,'Données projet'!$E$14+1,1))-AVERAGE(OFFSET($H$3,0,0,'Données projet'!$E$14+1,1))</f>
        <v>376.51107072413777</v>
      </c>
      <c r="DU60" s="59">
        <f t="shared" si="44"/>
        <v>532.90758914457615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0.94686899164936211</v>
      </c>
      <c r="EB60" s="21">
        <f>EXP(-LN(2)/25)*EB59+(1-EXP(-LN(2)/25))/(LN(2)/25)*Calculateur!DW60*Calculateur!DY60*VLOOKUP('Données projet'!$B$14,Paramètres!$A$1:$I$89,3,0)*0.475*44/12</f>
        <v>3.4923738626245875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4.4392428542739495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-1.7053025658242404E-13</v>
      </c>
      <c r="EK60" s="17">
        <f>EJ60*VLOOKUP('Données projet'!$B$15,Paramètres!$A$1:$I$89,3,0)*VLOOKUP('Données projet'!$B$15,Paramètres!$A$1:$I$89,5,0)</f>
        <v>-1.0197709343628959E-13</v>
      </c>
      <c r="EL60" s="13" t="e">
        <f t="shared" si="45"/>
        <v>#NUM!</v>
      </c>
      <c r="EM60" s="20" t="e">
        <f t="shared" si="19"/>
        <v>#NUM!</v>
      </c>
      <c r="EN60" s="59" t="e">
        <f t="shared" si="20"/>
        <v>#NUM!</v>
      </c>
      <c r="EO60" s="59">
        <f ca="1">AVERAGE(OFFSET($EN$3,0,0,'Données projet'!$E$15+1,1))-AVERAGE(OFFSET($H$3,0,0,'Données projet'!$E$15+1,1))</f>
        <v>337.99164391755608</v>
      </c>
      <c r="EP60" s="59">
        <f t="shared" si="46"/>
        <v>421.45428231923393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159.65457928986061</v>
      </c>
      <c r="EW60" s="21">
        <f>EXP(-LN(2)/25)*EW59+(1-EXP(-LN(2)/25))/(LN(2)/25)*Calculateur!ER60*Calculateur!ET60*VLOOKUP('Données projet'!$B$15,Paramètres!$A$1:$I$89,3,0)*0.475*44/12</f>
        <v>42.991910474419761</v>
      </c>
      <c r="EX60" s="21">
        <f>EXP(-LN(2)/2)*EX59+(1-EXP(-LN(2)/2))/(LN(2)/2)*ER60*EU60*VLOOKUP('Données projet'!$B$15,Paramètres!$A$1:$I$89,3,0)*0.475*44/12</f>
        <v>28.571618896799659</v>
      </c>
      <c r="EY60" s="22">
        <f t="shared" si="21"/>
        <v>231.21810866108004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6.3942307692307701</v>
      </c>
      <c r="N61" s="13">
        <f>IF('Données projet'!$A$36&gt;35,N60+M61-V60,IF(A61&lt;'Données projet'!$A$36,$K$205^A61,IF(A61='Données projet'!$A$36,'Données projet'!$B$36,N60+M61-V60)))</f>
        <v>152.86217948717947</v>
      </c>
      <c r="O61" s="13">
        <f>N61*VLOOKUP('Données projet'!$B$9,Paramètres!$A$1:$I$89,3,0)*VLOOKUP('Données projet'!$B$9,Paramètres!$A$1:$I$89,5,0)</f>
        <v>138.30969999999999</v>
      </c>
      <c r="P61" s="13">
        <f t="shared" si="33"/>
        <v>35.909508175318372</v>
      </c>
      <c r="Q61" s="20">
        <f t="shared" si="53"/>
        <v>303.43178757201281</v>
      </c>
      <c r="R61" s="59">
        <f t="shared" si="0"/>
        <v>563.54489817070123</v>
      </c>
      <c r="S61" s="59">
        <f ca="1">AVERAGE(OFFSET($R$3,0,0,'Données projet'!$E$9+1,1))-AVERAGE(OFFSET($H$3,0,0,'Données projet'!$E$9+1,1))</f>
        <v>388.1278150896951</v>
      </c>
      <c r="T61" s="59">
        <f t="shared" si="34"/>
        <v>232.26614607059227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0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6.3942307692307701</v>
      </c>
      <c r="AI61" s="13">
        <f>IF('Données projet'!$A$62&gt;35,AI60+AH61-AQ60,IF(A61&lt;'Données projet'!$A$62,$AF$205^A61,IF(A61='Données projet'!$A$62,'Données projet'!$B$62,AI60+AH61-AQ60)))</f>
        <v>152.86217948717947</v>
      </c>
      <c r="AJ61" s="13">
        <f>AI61*VLOOKUP('Données projet'!$B$10,Paramètres!$A$1:$I$89,3,0)*VLOOKUP('Données projet'!$B$10,Paramètres!$A$1:$I$89,5,0)</f>
        <v>155.00225</v>
      </c>
      <c r="AK61" s="13">
        <f t="shared" si="35"/>
        <v>39.713185446553709</v>
      </c>
      <c r="AL61" s="20">
        <f t="shared" si="4"/>
        <v>339.12938340274769</v>
      </c>
      <c r="AM61" s="59">
        <f t="shared" si="5"/>
        <v>599.24249400143617</v>
      </c>
      <c r="AN61" s="59">
        <f ca="1">AVERAGE(OFFSET($AM$3,0,0,'Données projet'!$E$10+1,1))-AVERAGE(OFFSET($H$3,0,0,'Données projet'!$E$10+1,1))</f>
        <v>424.89201140676084</v>
      </c>
      <c r="AO61" s="59">
        <f t="shared" si="36"/>
        <v>253.0016648946303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6.3942307692307701</v>
      </c>
      <c r="BD61" s="12">
        <f>IF('Données projet'!$A$88&gt;35,BD60+BC61-BL60,IF(A61&lt;'Données projet'!$A$88,$BA$205^A61,IF(A61='Données projet'!$A$88,'Données projet'!$B$88,BD60+BC61-BL60)))</f>
        <v>152.86217948717947</v>
      </c>
      <c r="BE61" s="13">
        <f>BD61*VLOOKUP('Données projet'!$B$11,Paramètres!$A$1:$I$89,3,0)*VLOOKUP('Données projet'!$B$11,Paramètres!$A$1:$I$89,5,0)</f>
        <v>145.46365</v>
      </c>
      <c r="BF61" s="13">
        <f t="shared" si="37"/>
        <v>37.545848557386066</v>
      </c>
      <c r="BG61" s="20">
        <f t="shared" si="7"/>
        <v>318.74154332078069</v>
      </c>
      <c r="BH61" s="59">
        <f t="shared" si="8"/>
        <v>578.85465391946911</v>
      </c>
      <c r="BI61" s="59">
        <f ca="1">AVERAGE(OFFSET($BH$3,0,0,'Données projet'!$E$11+1,1))-AVERAGE(OFFSET($H$3,0,0,'Données projet'!$E$11+1,1))</f>
        <v>403.89478276355294</v>
      </c>
      <c r="BJ61" s="59">
        <f t="shared" si="38"/>
        <v>241.1593989733278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6.2</v>
      </c>
      <c r="BY61" s="12">
        <f>IF('Données projet'!$A$114&gt;35,BY60+BX61-CG60,IF(A61&lt;'Données projet'!$A$114,$BV$205^A61,IF(A61='Données projet'!$A$114,'Données projet'!$B$114,BY60+BX61-CG60)))</f>
        <v>281.59999999999991</v>
      </c>
      <c r="BZ61" s="13">
        <f>BY61*VLOOKUP('Données projet'!$B$12,Paramètres!$A$1:$I$89,3,0)*VLOOKUP('Données projet'!$B$12,Paramètres!$A$1:$I$89,5,0)</f>
        <v>224.04095999999993</v>
      </c>
      <c r="CA61" s="13">
        <f t="shared" si="39"/>
        <v>54.992235867381233</v>
      </c>
      <c r="CB61" s="20">
        <f t="shared" si="10"/>
        <v>485.98281613568884</v>
      </c>
      <c r="CC61" s="59">
        <f t="shared" si="11"/>
        <v>746.09592673437726</v>
      </c>
      <c r="CD61" s="59">
        <f ca="1">AVERAGE(OFFSET($CC$3,0,0,'Données projet'!$E$12+1,1))-AVERAGE(OFFSET($H$3,0,0,'Données projet'!$E$12+1,1))</f>
        <v>377.27600411578322</v>
      </c>
      <c r="CE61" s="59">
        <f t="shared" si="40"/>
        <v>364.58250627635425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35.020446933034378</v>
      </c>
      <c r="CL61" s="21">
        <f>EXP(-LN(2)/25)*CL60+(1-EXP(-LN(2)/25))/(LN(2)/25)*Calculateur!CG61*Calculateur!CI61*VLOOKUP('Données projet'!$B$12,Paramètres!$A$1:$I$89,3,0)*0.475*44/12</f>
        <v>11.973151798525219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46.993598731559601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9.5</v>
      </c>
      <c r="CT61" s="12">
        <f>IF('Données projet'!$A$140&gt;35,CT60+CS61-DB60,IF(A61&lt;'Données projet'!$A$140,$CQ$205^A61,IF(A61='Données projet'!$A$140,'Données projet'!$B$140,CT60+CS61-DB60)))</f>
        <v>278</v>
      </c>
      <c r="CU61" s="17">
        <f>CT61*VLOOKUP('Données projet'!$B$13,Paramètres!$A$1:$I$89,3,0)*VLOOKUP('Données projet'!$B$13,Paramètres!$A$1:$I$89,5,0)</f>
        <v>216.84</v>
      </c>
      <c r="CV61" s="13">
        <f t="shared" si="41"/>
        <v>53.427498092567944</v>
      </c>
      <c r="CW61" s="20">
        <f t="shared" si="13"/>
        <v>470.71589251122253</v>
      </c>
      <c r="CX61" s="59">
        <f t="shared" si="14"/>
        <v>730.8290031099109</v>
      </c>
      <c r="CY61" s="59">
        <f ca="1">AVERAGE(OFFSET($CX$3,0,0,'Données projet'!$E$13+1,1))-AVERAGE(OFFSET($H$3,0,0,'Données projet'!$E$13+1,1))</f>
        <v>308.82719216177946</v>
      </c>
      <c r="CZ61" s="59">
        <f t="shared" si="42"/>
        <v>302.59481222418219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16.208741034671988</v>
      </c>
      <c r="DG61" s="21">
        <f>EXP(-LN(2)/25)*DG60+(1-EXP(-LN(2)/25))/(LN(2)/25)*Calculateur!DB61*Calculateur!DD61*VLOOKUP('Données projet'!$B$13,Paramètres!$A$1:$I$89,3,0)*0.475*44/12</f>
        <v>19.461295939370991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35.670036974042979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304.99999999999983</v>
      </c>
      <c r="DP61" s="17">
        <f>DO61*VLOOKUP('Données projet'!$B$14,Paramètres!$A$1:$I$89,3,0)*VLOOKUP('Données projet'!$B$14,Paramètres!$A$1:$I$89,5,0)</f>
        <v>275.96399999999983</v>
      </c>
      <c r="DQ61" s="13">
        <f t="shared" si="43"/>
        <v>66.113366665488854</v>
      </c>
      <c r="DR61" s="20">
        <f t="shared" si="16"/>
        <v>595.78474694239264</v>
      </c>
      <c r="DS61" s="59">
        <f t="shared" si="17"/>
        <v>855.89785754108107</v>
      </c>
      <c r="DT61" s="59">
        <f ca="1">AVERAGE(OFFSET($DS$3,0,0,'Données projet'!$E$14+1,1))-AVERAGE(OFFSET($H$3,0,0,'Données projet'!$E$14+1,1))</f>
        <v>376.51107072413777</v>
      </c>
      <c r="DU61" s="59">
        <f t="shared" si="44"/>
        <v>532.90758914457615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0.92830146825617632</v>
      </c>
      <c r="EB61" s="21">
        <f>EXP(-LN(2)/25)*EB60+(1-EXP(-LN(2)/25))/(LN(2)/25)*Calculateur!DW61*Calculateur!DY61*VLOOKUP('Données projet'!$B$14,Paramètres!$A$1:$I$89,3,0)*0.475*44/12</f>
        <v>3.3968747156951586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4.325176183951335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-1.7053025658242404E-13</v>
      </c>
      <c r="EK61" s="17">
        <f>EJ61*VLOOKUP('Données projet'!$B$15,Paramètres!$A$1:$I$89,3,0)*VLOOKUP('Données projet'!$B$15,Paramètres!$A$1:$I$89,5,0)</f>
        <v>-1.0197709343628959E-13</v>
      </c>
      <c r="EL61" s="13" t="e">
        <f t="shared" si="45"/>
        <v>#NUM!</v>
      </c>
      <c r="EM61" s="20" t="e">
        <f t="shared" si="19"/>
        <v>#NUM!</v>
      </c>
      <c r="EN61" s="59" t="e">
        <f t="shared" si="20"/>
        <v>#NUM!</v>
      </c>
      <c r="EO61" s="59">
        <f ca="1">AVERAGE(OFFSET($EN$3,0,0,'Données projet'!$E$15+1,1))-AVERAGE(OFFSET($H$3,0,0,'Données projet'!$E$15+1,1))</f>
        <v>337.99164391755608</v>
      </c>
      <c r="EP61" s="59">
        <f t="shared" si="46"/>
        <v>421.45428231923393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156.52385036966436</v>
      </c>
      <c r="EW61" s="21">
        <f>EXP(-LN(2)/25)*EW60+(1-EXP(-LN(2)/25))/(LN(2)/25)*Calculateur!ER61*Calculateur!ET61*VLOOKUP('Données projet'!$B$15,Paramètres!$A$1:$I$89,3,0)*0.475*44/12</f>
        <v>41.81629442165044</v>
      </c>
      <c r="EX61" s="21">
        <f>EXP(-LN(2)/2)*EX60+(1-EXP(-LN(2)/2))/(LN(2)/2)*ER61*EU61*VLOOKUP('Données projet'!$B$15,Paramètres!$A$1:$I$89,3,0)*0.475*44/12</f>
        <v>20.203185471404744</v>
      </c>
      <c r="EY61" s="22">
        <f t="shared" si="21"/>
        <v>218.54333026271954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>
        <f>VLOOKUP(A62,'Données projet'!$A$35:$I$55,2,0)</f>
        <v>159.25641025641025</v>
      </c>
      <c r="L62" s="12">
        <f>VLOOKUP(A62,'Données projet'!$A$35:$I$55,9,0)</f>
        <v>6.3942307692307701</v>
      </c>
      <c r="M62" s="12">
        <f t="array" ref="M62">INDEX(L:L,MIN(IF(ISNUMBER(L62:L258),ROW(L62:L258),"")))</f>
        <v>6.3942307692307701</v>
      </c>
      <c r="N62" s="13">
        <f>IF('Données projet'!$A$36&gt;35,N61+M62-V61,IF(A62&lt;'Données projet'!$A$36,$K$205^A62,IF(A62='Données projet'!$A$36,'Données projet'!$B$36,N61+M62-V61)))</f>
        <v>159.25641025641025</v>
      </c>
      <c r="O62" s="13">
        <f>N62*VLOOKUP('Données projet'!$B$9,Paramètres!$A$1:$I$89,3,0)*VLOOKUP('Données projet'!$B$9,Paramètres!$A$1:$I$89,5,0)</f>
        <v>144.09520000000001</v>
      </c>
      <c r="P62" s="13">
        <f t="shared" si="33"/>
        <v>37.23357828719589</v>
      </c>
      <c r="Q62" s="20">
        <f t="shared" si="53"/>
        <v>315.81428885019949</v>
      </c>
      <c r="R62" s="59">
        <f t="shared" si="0"/>
        <v>576.50369604404227</v>
      </c>
      <c r="S62" s="59">
        <f ca="1">AVERAGE(OFFSET($R$3,0,0,'Données projet'!$E$9+1,1))-AVERAGE(OFFSET($H$3,0,0,'Données projet'!$E$9+1,1))</f>
        <v>388.1278150896951</v>
      </c>
      <c r="T62" s="59">
        <f t="shared" si="34"/>
        <v>232.26614607059227</v>
      </c>
      <c r="U62" s="15">
        <f>IF(ISNA(VLOOKUP(A62,'Données projet'!$A$35:$I$55,3,0)),0,VLOOKUP(A62,'Données projet'!$A$35:$I$55,3,0))</f>
        <v>3</v>
      </c>
      <c r="V62" s="15">
        <f>IF(ISNA(VLOOKUP(A62,'Données projet'!$A$35:$I$55,4,0)),0,VLOOKUP(A62,'Données projet'!$A$35:$I$55,4,0))</f>
        <v>38.942307692307693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0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>
        <f>VLOOKUP(A62,'Données projet'!$A$61:$I$81,2,0)</f>
        <v>159.25641025641025</v>
      </c>
      <c r="AG62" s="12">
        <f>VLOOKUP(A62,'Données projet'!$A$61:$I$81,9,0)</f>
        <v>6.3942307692307701</v>
      </c>
      <c r="AH62" s="12">
        <f t="array" ref="AH62">INDEX(AG:AG,MIN(IF(ISNUMBER(AG62:AG258),ROW(AG62:AG258),"")))</f>
        <v>6.3942307692307701</v>
      </c>
      <c r="AI62" s="13">
        <f>IF('Données projet'!$A$62&gt;35,AI61+AH62-AQ61,IF(A62&lt;'Données projet'!$A$62,$AF$205^A62,IF(A62='Données projet'!$A$62,'Données projet'!$B$62,AI61+AH62-AQ61)))</f>
        <v>159.25641025641025</v>
      </c>
      <c r="AJ62" s="13">
        <f>AI62*VLOOKUP('Données projet'!$B$10,Paramètres!$A$1:$I$89,3,0)*VLOOKUP('Données projet'!$B$10,Paramètres!$A$1:$I$89,5,0)</f>
        <v>161.48599999999999</v>
      </c>
      <c r="AK62" s="13">
        <f t="shared" si="35"/>
        <v>41.177506306658742</v>
      </c>
      <c r="AL62" s="20">
        <f t="shared" si="4"/>
        <v>352.97227348409729</v>
      </c>
      <c r="AM62" s="59">
        <f t="shared" si="5"/>
        <v>613.66168067794001</v>
      </c>
      <c r="AN62" s="59">
        <f ca="1">AVERAGE(OFFSET($AM$3,0,0,'Données projet'!$E$10+1,1))-AVERAGE(OFFSET($H$3,0,0,'Données projet'!$E$10+1,1))</f>
        <v>424.89201140676084</v>
      </c>
      <c r="AO62" s="59">
        <f t="shared" si="36"/>
        <v>253.0016648946303</v>
      </c>
      <c r="AP62" s="15">
        <f>IF(ISNA(VLOOKUP(A62,'Données projet'!$A$61:$I$81,3,0)),0,VLOOKUP(A62,'Données projet'!$A$61:$I$81,3,0))</f>
        <v>3</v>
      </c>
      <c r="AQ62" s="15">
        <f>IF(ISNA(VLOOKUP(A62,'Données projet'!$A$61:$I$81,4,0)),0,VLOOKUP(A62,'Données projet'!$A$61:$I$81,4,0))</f>
        <v>38.942307692307693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>
        <f>VLOOKUP(A62,'Données projet'!$A$87:$I$107,2,0)</f>
        <v>159.25641025641025</v>
      </c>
      <c r="BB62" s="12">
        <f>VLOOKUP(A62,'Données projet'!$A$87:$I$107,9,0)</f>
        <v>6.3942307692307701</v>
      </c>
      <c r="BC62" s="12">
        <f t="array" ref="BC62">INDEX(BB:BB,MIN(IF(ISNUMBER(BB62:BB258),ROW(BB62:BB258),"")))</f>
        <v>6.3942307692307701</v>
      </c>
      <c r="BD62" s="12">
        <f>IF('Données projet'!$A$88&gt;35,BD61+BC62-BL61,IF(A62&lt;'Données projet'!$A$88,$BA$205^A62,IF(A62='Données projet'!$A$88,'Données projet'!$B$88,BD61+BC62-BL61)))</f>
        <v>159.25641025641025</v>
      </c>
      <c r="BE62" s="13">
        <f>BD62*VLOOKUP('Données projet'!$B$11,Paramètres!$A$1:$I$89,3,0)*VLOOKUP('Données projet'!$B$11,Paramètres!$A$1:$I$89,5,0)</f>
        <v>151.54839999999999</v>
      </c>
      <c r="BF62" s="13">
        <f t="shared" si="37"/>
        <v>38.930254482891996</v>
      </c>
      <c r="BG62" s="20">
        <f t="shared" si="7"/>
        <v>331.75032322437022</v>
      </c>
      <c r="BH62" s="59">
        <f t="shared" si="8"/>
        <v>592.439730418213</v>
      </c>
      <c r="BI62" s="59">
        <f ca="1">AVERAGE(OFFSET($BH$3,0,0,'Données projet'!$E$11+1,1))-AVERAGE(OFFSET($H$3,0,0,'Données projet'!$E$11+1,1))</f>
        <v>403.89478276355294</v>
      </c>
      <c r="BJ62" s="59">
        <f t="shared" si="38"/>
        <v>241.1593989733278</v>
      </c>
      <c r="BK62" s="15">
        <f>IF(ISNA(VLOOKUP(A62,'Données projet'!$A$87:$I$107,3,0)),0,VLOOKUP(A62,'Données projet'!$A$87:$I$107,3,0))</f>
        <v>3</v>
      </c>
      <c r="BL62" s="15">
        <f>IF(ISNA(VLOOKUP(A62,'Données projet'!$A$87:$I$107,4,0)),0,VLOOKUP(A62,'Données projet'!$A$87:$I$107,4,0))</f>
        <v>38.942307692307693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6.2</v>
      </c>
      <c r="BY62" s="12">
        <f>IF('Données projet'!$A$114&gt;35,BY61+BX62-CG61,IF(A62&lt;'Données projet'!$A$114,$BV$205^A62,IF(A62='Données projet'!$A$114,'Données projet'!$B$114,BY61+BX62-CG61)))</f>
        <v>287.7999999999999</v>
      </c>
      <c r="BZ62" s="13">
        <f>BY62*VLOOKUP('Données projet'!$B$12,Paramètres!$A$1:$I$89,3,0)*VLOOKUP('Données projet'!$B$12,Paramètres!$A$1:$I$89,5,0)</f>
        <v>228.97367999999994</v>
      </c>
      <c r="CA62" s="13">
        <f t="shared" si="39"/>
        <v>56.060709423888284</v>
      </c>
      <c r="CB62" s="20">
        <f t="shared" si="10"/>
        <v>496.43489491327199</v>
      </c>
      <c r="CC62" s="59">
        <f t="shared" si="11"/>
        <v>757.12430210711477</v>
      </c>
      <c r="CD62" s="59">
        <f ca="1">AVERAGE(OFFSET($CC$3,0,0,'Données projet'!$E$12+1,1))-AVERAGE(OFFSET($H$3,0,0,'Données projet'!$E$12+1,1))</f>
        <v>377.27600411578322</v>
      </c>
      <c r="CE62" s="59">
        <f t="shared" si="40"/>
        <v>364.58250627635425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34.333717329041043</v>
      </c>
      <c r="CL62" s="21">
        <f>EXP(-LN(2)/25)*CL61+(1-EXP(-LN(2)/25))/(LN(2)/25)*Calculateur!CG62*Calculateur!CI62*VLOOKUP('Données projet'!$B$12,Paramètres!$A$1:$I$89,3,0)*0.475*44/12</f>
        <v>11.645745332953858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45.979462661994901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9.5</v>
      </c>
      <c r="CT62" s="12">
        <f>IF('Données projet'!$A$140&gt;35,CT61+CS62-DB61,IF(A62&lt;'Données projet'!$A$140,$CQ$205^A62,IF(A62='Données projet'!$A$140,'Données projet'!$B$140,CT61+CS62-DB61)))</f>
        <v>287.5</v>
      </c>
      <c r="CU62" s="17">
        <f>CT62*VLOOKUP('Données projet'!$B$13,Paramètres!$A$1:$I$89,3,0)*VLOOKUP('Données projet'!$B$13,Paramètres!$A$1:$I$89,5,0)</f>
        <v>224.25</v>
      </c>
      <c r="CV62" s="13">
        <f t="shared" si="41"/>
        <v>55.037571061589858</v>
      </c>
      <c r="CW62" s="20">
        <f t="shared" si="13"/>
        <v>486.42585293226904</v>
      </c>
      <c r="CX62" s="59">
        <f t="shared" si="14"/>
        <v>747.11526012611182</v>
      </c>
      <c r="CY62" s="59">
        <f ca="1">AVERAGE(OFFSET($CX$3,0,0,'Données projet'!$E$13+1,1))-AVERAGE(OFFSET($H$3,0,0,'Données projet'!$E$13+1,1))</f>
        <v>308.82719216177946</v>
      </c>
      <c r="CZ62" s="59">
        <f t="shared" si="42"/>
        <v>302.59481222418219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15.890897509337904</v>
      </c>
      <c r="DG62" s="21">
        <f>EXP(-LN(2)/25)*DG61+(1-EXP(-LN(2)/25))/(LN(2)/25)*Calculateur!DB62*Calculateur!DD62*VLOOKUP('Données projet'!$B$13,Paramètres!$A$1:$I$89,3,0)*0.475*44/12</f>
        <v>18.929125778483819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34.820023287821726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304.99999999999983</v>
      </c>
      <c r="DP62" s="17">
        <f>DO62*VLOOKUP('Données projet'!$B$14,Paramètres!$A$1:$I$89,3,0)*VLOOKUP('Données projet'!$B$14,Paramètres!$A$1:$I$89,5,0)</f>
        <v>275.96399999999983</v>
      </c>
      <c r="DQ62" s="13">
        <f t="shared" si="43"/>
        <v>66.113366665488854</v>
      </c>
      <c r="DR62" s="20">
        <f t="shared" si="16"/>
        <v>595.78474694239264</v>
      </c>
      <c r="DS62" s="59">
        <f t="shared" si="17"/>
        <v>856.47415413623548</v>
      </c>
      <c r="DT62" s="59">
        <f ca="1">AVERAGE(OFFSET($DS$3,0,0,'Données projet'!$E$14+1,1))-AVERAGE(OFFSET($H$3,0,0,'Données projet'!$E$14+1,1))</f>
        <v>376.51107072413777</v>
      </c>
      <c r="DU62" s="59">
        <f t="shared" si="44"/>
        <v>532.90758914457615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0.91009804267165995</v>
      </c>
      <c r="EB62" s="21">
        <f>EXP(-LN(2)/25)*EB61+(1-EXP(-LN(2)/25))/(LN(2)/25)*Calculateur!DW62*Calculateur!DY62*VLOOKUP('Données projet'!$B$14,Paramètres!$A$1:$I$89,3,0)*0.475*44/12</f>
        <v>3.3039869979605969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4.2140850406322565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-1.7053025658242404E-13</v>
      </c>
      <c r="EK62" s="17">
        <f>EJ62*VLOOKUP('Données projet'!$B$15,Paramètres!$A$1:$I$89,3,0)*VLOOKUP('Données projet'!$B$15,Paramètres!$A$1:$I$89,5,0)</f>
        <v>-1.0197709343628959E-13</v>
      </c>
      <c r="EL62" s="13" t="e">
        <f t="shared" si="45"/>
        <v>#NUM!</v>
      </c>
      <c r="EM62" s="20" t="e">
        <f t="shared" si="19"/>
        <v>#NUM!</v>
      </c>
      <c r="EN62" s="59" t="e">
        <f t="shared" si="20"/>
        <v>#NUM!</v>
      </c>
      <c r="EO62" s="59">
        <f ca="1">AVERAGE(OFFSET($EN$3,0,0,'Données projet'!$E$15+1,1))-AVERAGE(OFFSET($H$3,0,0,'Données projet'!$E$15+1,1))</f>
        <v>337.99164391755608</v>
      </c>
      <c r="EP62" s="59">
        <f t="shared" si="46"/>
        <v>421.45428231923393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153.45451313403709</v>
      </c>
      <c r="EW62" s="21">
        <f>EXP(-LN(2)/25)*EW61+(1-EXP(-LN(2)/25))/(LN(2)/25)*Calculateur!ER62*Calculateur!ET62*VLOOKUP('Données projet'!$B$15,Paramètres!$A$1:$I$89,3,0)*0.475*44/12</f>
        <v>40.672825651667054</v>
      </c>
      <c r="EX62" s="21">
        <f>EXP(-LN(2)/2)*EX61+(1-EXP(-LN(2)/2))/(LN(2)/2)*ER62*EU62*VLOOKUP('Données projet'!$B$15,Paramètres!$A$1:$I$89,3,0)*0.475*44/12</f>
        <v>14.285809448399831</v>
      </c>
      <c r="EY62" s="22">
        <f t="shared" si="21"/>
        <v>208.41314823410397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5.9431089743589762</v>
      </c>
      <c r="N63" s="13">
        <f>IF('Données projet'!$A$36&gt;35,N62+M63-V62,IF(A63&lt;'Données projet'!$A$36,$K$205^A63,IF(A63='Données projet'!$A$36,'Données projet'!$B$36,N62+M63-V62)))</f>
        <v>126.25721153846153</v>
      </c>
      <c r="O63" s="13">
        <f>N63*VLOOKUP('Données projet'!$B$9,Paramètres!$A$1:$I$89,3,0)*VLOOKUP('Données projet'!$B$9,Paramètres!$A$1:$I$89,5,0)</f>
        <v>114.23752499999999</v>
      </c>
      <c r="P63" s="13">
        <f t="shared" si="33"/>
        <v>30.327171529636239</v>
      </c>
      <c r="Q63" s="20">
        <f t="shared" si="53"/>
        <v>251.78351312244976</v>
      </c>
      <c r="R63" s="59">
        <f t="shared" si="0"/>
        <v>513.03921945392722</v>
      </c>
      <c r="S63" s="59">
        <f ca="1">AVERAGE(OFFSET($R$3,0,0,'Données projet'!$E$9+1,1))-AVERAGE(OFFSET($H$3,0,0,'Données projet'!$E$9+1,1))</f>
        <v>388.1278150896951</v>
      </c>
      <c r="T63" s="59">
        <f t="shared" si="34"/>
        <v>232.26614607059227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0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5.9431089743589762</v>
      </c>
      <c r="AI63" s="13">
        <f>IF('Données projet'!$A$62&gt;35,AI62+AH63-AQ62,IF(A63&lt;'Données projet'!$A$62,$AF$205^A63,IF(A63='Données projet'!$A$62,'Données projet'!$B$62,AI62+AH63-AQ62)))</f>
        <v>126.25721153846153</v>
      </c>
      <c r="AJ63" s="13">
        <f>AI63*VLOOKUP('Données projet'!$B$10,Paramètres!$A$1:$I$89,3,0)*VLOOKUP('Données projet'!$B$10,Paramètres!$A$1:$I$89,5,0)</f>
        <v>128.0248125</v>
      </c>
      <c r="AK63" s="13">
        <f t="shared" si="35"/>
        <v>33.539545602958114</v>
      </c>
      <c r="AL63" s="20">
        <f t="shared" si="4"/>
        <v>281.39125702931875</v>
      </c>
      <c r="AM63" s="59">
        <f t="shared" si="5"/>
        <v>542.64696336079624</v>
      </c>
      <c r="AN63" s="59">
        <f ca="1">AVERAGE(OFFSET($AM$3,0,0,'Données projet'!$E$10+1,1))-AVERAGE(OFFSET($H$3,0,0,'Données projet'!$E$10+1,1))</f>
        <v>424.89201140676084</v>
      </c>
      <c r="AO63" s="59">
        <f t="shared" si="36"/>
        <v>253.0016648946303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5.9431089743589762</v>
      </c>
      <c r="BD63" s="12">
        <f>IF('Données projet'!$A$88&gt;35,BD62+BC63-BL62,IF(A63&lt;'Données projet'!$A$88,$BA$205^A63,IF(A63='Données projet'!$A$88,'Données projet'!$B$88,BD62+BC63-BL62)))</f>
        <v>126.25721153846153</v>
      </c>
      <c r="BE63" s="13">
        <f>BD63*VLOOKUP('Données projet'!$B$11,Paramètres!$A$1:$I$89,3,0)*VLOOKUP('Données projet'!$B$11,Paramètres!$A$1:$I$89,5,0)</f>
        <v>120.1463625</v>
      </c>
      <c r="BF63" s="13">
        <f t="shared" si="37"/>
        <v>31.709133521584306</v>
      </c>
      <c r="BG63" s="20">
        <f t="shared" si="7"/>
        <v>264.48165557092597</v>
      </c>
      <c r="BH63" s="59">
        <f t="shared" si="8"/>
        <v>525.73736190240345</v>
      </c>
      <c r="BI63" s="59">
        <f ca="1">AVERAGE(OFFSET($BH$3,0,0,'Données projet'!$E$11+1,1))-AVERAGE(OFFSET($H$3,0,0,'Données projet'!$E$11+1,1))</f>
        <v>403.89478276355294</v>
      </c>
      <c r="BJ63" s="59">
        <f t="shared" si="38"/>
        <v>241.1593989733278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294</v>
      </c>
      <c r="BW63" s="12">
        <f>VLOOKUP(A63,'Données projet'!$A$113:$I$133,9,0)</f>
        <v>6.2</v>
      </c>
      <c r="BX63" s="12">
        <f t="array" ref="BX63">INDEX(BW:BW,MIN(IF(ISNUMBER(BW63:BW259),ROW(BW63:BW259),"")))</f>
        <v>6.2</v>
      </c>
      <c r="BY63" s="12">
        <f>IF('Données projet'!$A$114&gt;35,BY62+BX63-CG62,IF(A63&lt;'Données projet'!$A$114,$BV$205^A63,IF(A63='Données projet'!$A$114,'Données projet'!$B$114,BY62+BX63-CG62)))</f>
        <v>293.99999999999989</v>
      </c>
      <c r="BZ63" s="13">
        <f>BY63*VLOOKUP('Données projet'!$B$12,Paramètres!$A$1:$I$89,3,0)*VLOOKUP('Données projet'!$B$12,Paramètres!$A$1:$I$89,5,0)</f>
        <v>233.90639999999991</v>
      </c>
      <c r="CA63" s="13">
        <f t="shared" si="39"/>
        <v>57.126506840778347</v>
      </c>
      <c r="CB63" s="20">
        <f t="shared" si="10"/>
        <v>506.88231274768879</v>
      </c>
      <c r="CC63" s="59">
        <f t="shared" si="11"/>
        <v>768.13801907916627</v>
      </c>
      <c r="CD63" s="59">
        <f ca="1">AVERAGE(OFFSET($CC$3,0,0,'Données projet'!$E$12+1,1))-AVERAGE(OFFSET($H$3,0,0,'Données projet'!$E$12+1,1))</f>
        <v>377.27600411578322</v>
      </c>
      <c r="CE63" s="59">
        <f t="shared" si="40"/>
        <v>364.58250627635425</v>
      </c>
      <c r="CF63" s="15">
        <f>IF(ISNA(VLOOKUP(A63,'Données projet'!$A$113:$I$133,3,0)),0,VLOOKUP(A63,'Données projet'!$A$113:$I$133,3,0))</f>
        <v>10</v>
      </c>
      <c r="CG63" s="15">
        <f>IF(ISNA(VLOOKUP(A63,'Données projet'!$A$113:$I$133,4,0)),0,VLOOKUP(A63,'Données projet'!$A$113:$I$133,4,0))</f>
        <v>14</v>
      </c>
      <c r="CH63" s="16">
        <f>IF(ISNA(VLOOKUP(A63,'Données projet'!$A$113:$I$133,5,0)),0%,VLOOKUP(A63,'Données projet'!$A$113:$I$133,5,0)*VLOOKUP('Données projet'!$B$12,Paramètres!$A$1:$I$89,7,0))</f>
        <v>0.49290000000000006</v>
      </c>
      <c r="CI63" s="16">
        <f>IF(ISNA(VLOOKUP(A63,'Données projet'!$A$113:$I$133,6,0)),0%,VLOOKUP(A63,'Données projet'!$A$113:$I$133,6,0)*VLOOKUP('Données projet'!$B$12,Paramètres!$A$1:$I$89,7,0))</f>
        <v>3.7100000000000008E-2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39.729616195357956</v>
      </c>
      <c r="CL63" s="21">
        <f>EXP(-LN(2)/25)*CL62+(1-EXP(-LN(2)/25))/(LN(2)/25)*Calculateur!CG63*Calculateur!CI63*VLOOKUP('Données projet'!$B$12,Paramètres!$A$1:$I$89,3,0)*0.475*44/12</f>
        <v>11.782311799614467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51.511927994972424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297</v>
      </c>
      <c r="CR63" s="12">
        <f>VLOOKUP(A63,'Données projet'!$A$139:$I$159,9,0)</f>
        <v>9.5</v>
      </c>
      <c r="CS63" s="12">
        <f t="array" ref="CS63">INDEX(CR:CR,MIN(IF(ISNUMBER(CR63:CR259),ROW(CR63:CR259),"")))</f>
        <v>9.5</v>
      </c>
      <c r="CT63" s="12">
        <f>IF('Données projet'!$A$140&gt;35,CT62+CS63-DB62,IF(A63&lt;'Données projet'!$A$140,$CQ$205^A63,IF(A63='Données projet'!$A$140,'Données projet'!$B$140,CT62+CS63-DB62)))</f>
        <v>297</v>
      </c>
      <c r="CU63" s="17">
        <f>CT63*VLOOKUP('Données projet'!$B$13,Paramètres!$A$1:$I$89,3,0)*VLOOKUP('Données projet'!$B$13,Paramètres!$A$1:$I$89,5,0)</f>
        <v>231.66</v>
      </c>
      <c r="CV63" s="13">
        <f t="shared" si="41"/>
        <v>56.641461975682766</v>
      </c>
      <c r="CW63" s="20">
        <f t="shared" si="13"/>
        <v>502.12504627431412</v>
      </c>
      <c r="CX63" s="59">
        <f t="shared" si="14"/>
        <v>763.3807526057916</v>
      </c>
      <c r="CY63" s="59">
        <f ca="1">AVERAGE(OFFSET($CX$3,0,0,'Données projet'!$E$13+1,1))-AVERAGE(OFFSET($H$3,0,0,'Données projet'!$E$13+1,1))</f>
        <v>308.82719216177946</v>
      </c>
      <c r="CZ63" s="59">
        <f t="shared" si="42"/>
        <v>302.59481222418219</v>
      </c>
      <c r="DA63" s="15">
        <f>IF(ISNA(VLOOKUP(A63,'Données projet'!$A$139:$I$159,3,0)),0,VLOOKUP(A63,'Données projet'!$A$139:$I$159,3,0))</f>
        <v>8</v>
      </c>
      <c r="DB63" s="15">
        <f>IF(ISNA(VLOOKUP(A63,'Données projet'!$A$139:$I$159,4,0)),0,VLOOKUP(A63,'Données projet'!$A$139:$I$159,4,0))</f>
        <v>47</v>
      </c>
      <c r="DC63" s="16">
        <f>IF(ISNA(VLOOKUP(A63,'Données projet'!$A$139:$I$159,5,0)),0%,VLOOKUP(A63,'Données projet'!$A$139:$I$159,5,0)*VLOOKUP('Données projet'!$B$13,Paramètres!$A$1:$I$89,7,0))</f>
        <v>0.215</v>
      </c>
      <c r="DD63" s="16">
        <f>IF(ISNA(VLOOKUP(A63,'Données projet'!$A$139:$I$159,6,0)),0%,VLOOKUP(A63,'Données projet'!$A$139:$I$159,6,0)*VLOOKUP('Données projet'!$B$13,Paramètres!$A$1:$I$89,7,0))</f>
        <v>0.17200000000000001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24.292493686110973</v>
      </c>
      <c r="DG63" s="21">
        <f>EXP(-LN(2)/25)*DG62+(1-EXP(-LN(2)/25))/(LN(2)/25)*Calculateur!DB63*Calculateur!DD63*VLOOKUP('Données projet'!$B$13,Paramètres!$A$1:$I$89,3,0)*0.475*44/12</f>
        <v>25.354627653472416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49.647121339583393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304.99999999999983</v>
      </c>
      <c r="DP63" s="17">
        <f>DO63*VLOOKUP('Données projet'!$B$14,Paramètres!$A$1:$I$89,3,0)*VLOOKUP('Données projet'!$B$14,Paramètres!$A$1:$I$89,5,0)</f>
        <v>275.96399999999983</v>
      </c>
      <c r="DQ63" s="13">
        <f t="shared" si="43"/>
        <v>66.113366665488854</v>
      </c>
      <c r="DR63" s="20">
        <f t="shared" si="16"/>
        <v>595.78474694239264</v>
      </c>
      <c r="DS63" s="59">
        <f t="shared" si="17"/>
        <v>857.04045327387007</v>
      </c>
      <c r="DT63" s="59">
        <f ca="1">AVERAGE(OFFSET($DS$3,0,0,'Données projet'!$E$14+1,1))-AVERAGE(OFFSET($H$3,0,0,'Données projet'!$E$14+1,1))</f>
        <v>376.51107072413777</v>
      </c>
      <c r="DU63" s="59">
        <f t="shared" si="44"/>
        <v>532.90758914457615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0.89225157515986264</v>
      </c>
      <c r="EB63" s="21">
        <f>EXP(-LN(2)/25)*EB62+(1-EXP(-LN(2)/25))/(LN(2)/25)*Calculateur!DW63*Calculateur!DY63*VLOOKUP('Données projet'!$B$14,Paramètres!$A$1:$I$89,3,0)*0.475*44/12</f>
        <v>3.2136392997522396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4.1058908749121024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-1.7053025658242404E-13</v>
      </c>
      <c r="EK63" s="17">
        <f>EJ63*VLOOKUP('Données projet'!$B$15,Paramètres!$A$1:$I$89,3,0)*VLOOKUP('Données projet'!$B$15,Paramètres!$A$1:$I$89,5,0)</f>
        <v>-1.0197709343628959E-13</v>
      </c>
      <c r="EL63" s="13" t="e">
        <f t="shared" si="45"/>
        <v>#NUM!</v>
      </c>
      <c r="EM63" s="20" t="e">
        <f t="shared" si="19"/>
        <v>#NUM!</v>
      </c>
      <c r="EN63" s="59" t="e">
        <f t="shared" si="20"/>
        <v>#NUM!</v>
      </c>
      <c r="EO63" s="59">
        <f ca="1">AVERAGE(OFFSET($EN$3,0,0,'Données projet'!$E$15+1,1))-AVERAGE(OFFSET($H$3,0,0,'Données projet'!$E$15+1,1))</f>
        <v>337.99164391755608</v>
      </c>
      <c r="EP63" s="59">
        <f t="shared" si="46"/>
        <v>421.45428231923393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150.4453637294896</v>
      </c>
      <c r="EW63" s="21">
        <f>EXP(-LN(2)/25)*EW62+(1-EXP(-LN(2)/25))/(LN(2)/25)*Calculateur!ER63*Calculateur!ET63*VLOOKUP('Données projet'!$B$15,Paramètres!$A$1:$I$89,3,0)*0.475*44/12</f>
        <v>39.560625095331275</v>
      </c>
      <c r="EX63" s="21">
        <f>EXP(-LN(2)/2)*EX62+(1-EXP(-LN(2)/2))/(LN(2)/2)*ER63*EU63*VLOOKUP('Données projet'!$B$15,Paramètres!$A$1:$I$89,3,0)*0.475*44/12</f>
        <v>10.101592735702374</v>
      </c>
      <c r="EY63" s="22">
        <f t="shared" si="21"/>
        <v>200.10758156052324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5.9431089743589762</v>
      </c>
      <c r="N64" s="13">
        <f>IF('Données projet'!$A$36&gt;35,N63+M64-V63,IF(A64&lt;'Données projet'!$A$36,$K$205^A64,IF(A64='Données projet'!$A$36,'Données projet'!$B$36,N63+M64-V63)))</f>
        <v>132.2003205128205</v>
      </c>
      <c r="O64" s="13">
        <f>N64*VLOOKUP('Données projet'!$B$9,Paramètres!$A$1:$I$89,3,0)*VLOOKUP('Données projet'!$B$9,Paramètres!$A$1:$I$89,5,0)</f>
        <v>119.61484999999999</v>
      </c>
      <c r="P64" s="13">
        <f t="shared" si="33"/>
        <v>31.585152581402479</v>
      </c>
      <c r="Q64" s="20">
        <f t="shared" si="53"/>
        <v>263.34000449594265</v>
      </c>
      <c r="R64" s="59">
        <f t="shared" si="0"/>
        <v>525.15218594107205</v>
      </c>
      <c r="S64" s="59">
        <f ca="1">AVERAGE(OFFSET($R$3,0,0,'Données projet'!$E$9+1,1))-AVERAGE(OFFSET($H$3,0,0,'Données projet'!$E$9+1,1))</f>
        <v>388.1278150896951</v>
      </c>
      <c r="T64" s="59">
        <f t="shared" si="34"/>
        <v>232.26614607059227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0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5.9431089743589762</v>
      </c>
      <c r="AI64" s="13">
        <f>IF('Données projet'!$A$62&gt;35,AI63+AH64-AQ63,IF(A64&lt;'Données projet'!$A$62,$AF$205^A64,IF(A64='Données projet'!$A$62,'Données projet'!$B$62,AI63+AH64-AQ63)))</f>
        <v>132.2003205128205</v>
      </c>
      <c r="AJ64" s="13">
        <f>AI64*VLOOKUP('Données projet'!$B$10,Paramètres!$A$1:$I$89,3,0)*VLOOKUP('Données projet'!$B$10,Paramètres!$A$1:$I$89,5,0)</f>
        <v>134.05112499999998</v>
      </c>
      <c r="AK64" s="13">
        <f t="shared" si="35"/>
        <v>34.930776988059094</v>
      </c>
      <c r="AL64" s="20">
        <f t="shared" si="4"/>
        <v>294.31014596253618</v>
      </c>
      <c r="AM64" s="59">
        <f t="shared" si="5"/>
        <v>556.12232740766558</v>
      </c>
      <c r="AN64" s="59">
        <f ca="1">AVERAGE(OFFSET($AM$3,0,0,'Données projet'!$E$10+1,1))-AVERAGE(OFFSET($H$3,0,0,'Données projet'!$E$10+1,1))</f>
        <v>424.89201140676084</v>
      </c>
      <c r="AO64" s="59">
        <f t="shared" si="36"/>
        <v>253.0016648946303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5.9431089743589762</v>
      </c>
      <c r="BD64" s="12">
        <f>IF('Données projet'!$A$88&gt;35,BD63+BC64-BL63,IF(A64&lt;'Données projet'!$A$88,$BA$205^A64,IF(A64='Données projet'!$A$88,'Données projet'!$B$88,BD63+BC64-BL63)))</f>
        <v>132.2003205128205</v>
      </c>
      <c r="BE64" s="13">
        <f>BD64*VLOOKUP('Données projet'!$B$11,Paramètres!$A$1:$I$89,3,0)*VLOOKUP('Données projet'!$B$11,Paramètres!$A$1:$I$89,5,0)</f>
        <v>125.80182499999999</v>
      </c>
      <c r="BF64" s="13">
        <f t="shared" si="37"/>
        <v>33.024438811399982</v>
      </c>
      <c r="BG64" s="20">
        <f t="shared" si="7"/>
        <v>276.62240947152162</v>
      </c>
      <c r="BH64" s="59">
        <f t="shared" si="8"/>
        <v>538.4345909166509</v>
      </c>
      <c r="BI64" s="59">
        <f ca="1">AVERAGE(OFFSET($BH$3,0,0,'Données projet'!$E$11+1,1))-AVERAGE(OFFSET($H$3,0,0,'Données projet'!$E$11+1,1))</f>
        <v>403.89478276355294</v>
      </c>
      <c r="BJ64" s="59">
        <f t="shared" si="38"/>
        <v>241.1593989733278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5.2</v>
      </c>
      <c r="BY64" s="12">
        <f>IF('Données projet'!$A$114&gt;35,BY63+BX64-CG63,IF(A64&lt;'Données projet'!$A$114,$BV$205^A64,IF(A64='Données projet'!$A$114,'Données projet'!$B$114,BY63+BX64-CG63)))</f>
        <v>285.19999999999987</v>
      </c>
      <c r="BZ64" s="13">
        <f>BY64*VLOOKUP('Données projet'!$B$12,Paramètres!$A$1:$I$89,3,0)*VLOOKUP('Données projet'!$B$12,Paramètres!$A$1:$I$89,5,0)</f>
        <v>226.90511999999993</v>
      </c>
      <c r="CA64" s="13">
        <f t="shared" si="39"/>
        <v>55.612969408444364</v>
      </c>
      <c r="CB64" s="20">
        <f t="shared" si="10"/>
        <v>492.05233905304044</v>
      </c>
      <c r="CC64" s="59">
        <f t="shared" si="11"/>
        <v>753.86452049816978</v>
      </c>
      <c r="CD64" s="59">
        <f ca="1">AVERAGE(OFFSET($CC$3,0,0,'Données projet'!$E$12+1,1))-AVERAGE(OFFSET($H$3,0,0,'Données projet'!$E$12+1,1))</f>
        <v>377.27600411578322</v>
      </c>
      <c r="CE64" s="59">
        <f t="shared" si="40"/>
        <v>364.58250627635425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38.950542654440085</v>
      </c>
      <c r="CL64" s="21">
        <f>EXP(-LN(2)/25)*CL63+(1-EXP(-LN(2)/25))/(LN(2)/25)*Calculateur!CG64*Calculateur!CI64*VLOOKUP('Données projet'!$B$12,Paramètres!$A$1:$I$89,3,0)*0.475*44/12</f>
        <v>11.46012386384916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50.410666518289247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8.6666666666666661</v>
      </c>
      <c r="CT64" s="12">
        <f>IF('Données projet'!$A$140&gt;35,CT63+CS64-DB63,IF(A64&lt;'Données projet'!$A$140,$CQ$205^A64,IF(A64='Données projet'!$A$140,'Données projet'!$B$140,CT63+CS64-DB63)))</f>
        <v>258.66666666666669</v>
      </c>
      <c r="CU64" s="17">
        <f>CT64*VLOOKUP('Données projet'!$B$13,Paramètres!$A$1:$I$89,3,0)*VLOOKUP('Données projet'!$B$13,Paramètres!$A$1:$I$89,5,0)</f>
        <v>201.76000000000002</v>
      </c>
      <c r="CV64" s="13">
        <f t="shared" si="41"/>
        <v>50.130765000424212</v>
      </c>
      <c r="CW64" s="20">
        <f t="shared" si="13"/>
        <v>438.70974904240552</v>
      </c>
      <c r="CX64" s="59">
        <f t="shared" si="14"/>
        <v>700.52193048753486</v>
      </c>
      <c r="CY64" s="59">
        <f ca="1">AVERAGE(OFFSET($CX$3,0,0,'Données projet'!$E$13+1,1))-AVERAGE(OFFSET($H$3,0,0,'Données projet'!$E$13+1,1))</f>
        <v>308.82719216177946</v>
      </c>
      <c r="CZ64" s="59">
        <f t="shared" si="42"/>
        <v>302.59481222418219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23.816132701884431</v>
      </c>
      <c r="DG64" s="21">
        <f>EXP(-LN(2)/25)*DG63+(1-EXP(-LN(2)/25))/(LN(2)/25)*Calculateur!DB64*Calculateur!DD64*VLOOKUP('Données projet'!$B$13,Paramètres!$A$1:$I$89,3,0)*0.475*44/12</f>
        <v>24.661304026946294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48.477436728830725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304.99999999999983</v>
      </c>
      <c r="DP64" s="17">
        <f>DO64*VLOOKUP('Données projet'!$B$14,Paramètres!$A$1:$I$89,3,0)*VLOOKUP('Données projet'!$B$14,Paramètres!$A$1:$I$89,5,0)</f>
        <v>275.96399999999983</v>
      </c>
      <c r="DQ64" s="13">
        <f t="shared" si="43"/>
        <v>66.113366665488854</v>
      </c>
      <c r="DR64" s="20">
        <f t="shared" si="16"/>
        <v>595.78474694239264</v>
      </c>
      <c r="DS64" s="59">
        <f t="shared" si="17"/>
        <v>857.59692838752198</v>
      </c>
      <c r="DT64" s="59">
        <f ca="1">AVERAGE(OFFSET($DS$3,0,0,'Données projet'!$E$14+1,1))-AVERAGE(OFFSET($H$3,0,0,'Données projet'!$E$14+1,1))</f>
        <v>376.51107072413777</v>
      </c>
      <c r="DU64" s="59">
        <f t="shared" si="44"/>
        <v>532.90758914457615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0.8747550659907013</v>
      </c>
      <c r="EB64" s="21">
        <f>EXP(-LN(2)/25)*EB63+(1-EXP(-LN(2)/25))/(LN(2)/25)*Calculateur!DW64*Calculateur!DY64*VLOOKUP('Données projet'!$B$14,Paramètres!$A$1:$I$89,3,0)*0.475*44/12</f>
        <v>3.1257621641025688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4.0005172300932701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-1.7053025658242404E-13</v>
      </c>
      <c r="EK64" s="17">
        <f>EJ64*VLOOKUP('Données projet'!$B$15,Paramètres!$A$1:$I$89,3,0)*VLOOKUP('Données projet'!$B$15,Paramètres!$A$1:$I$89,5,0)</f>
        <v>-1.0197709343628959E-13</v>
      </c>
      <c r="EL64" s="13" t="e">
        <f t="shared" si="45"/>
        <v>#NUM!</v>
      </c>
      <c r="EM64" s="20" t="e">
        <f t="shared" si="19"/>
        <v>#NUM!</v>
      </c>
      <c r="EN64" s="59" t="e">
        <f t="shared" si="20"/>
        <v>#NUM!</v>
      </c>
      <c r="EO64" s="59">
        <f ca="1">AVERAGE(OFFSET($EN$3,0,0,'Données projet'!$E$15+1,1))-AVERAGE(OFFSET($H$3,0,0,'Données projet'!$E$15+1,1))</f>
        <v>337.99164391755608</v>
      </c>
      <c r="EP64" s="59">
        <f t="shared" si="46"/>
        <v>421.45428231923393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147.49522190936537</v>
      </c>
      <c r="EW64" s="21">
        <f>EXP(-LN(2)/25)*EW63+(1-EXP(-LN(2)/25))/(LN(2)/25)*Calculateur!ER64*Calculateur!ET64*VLOOKUP('Données projet'!$B$15,Paramètres!$A$1:$I$89,3,0)*0.475*44/12</f>
        <v>38.478837721696586</v>
      </c>
      <c r="EX64" s="21">
        <f>EXP(-LN(2)/2)*EX63+(1-EXP(-LN(2)/2))/(LN(2)/2)*ER64*EU64*VLOOKUP('Données projet'!$B$15,Paramètres!$A$1:$I$89,3,0)*0.475*44/12</f>
        <v>7.1429047241999166</v>
      </c>
      <c r="EY64" s="22">
        <f t="shared" si="21"/>
        <v>193.11696435526187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5.9431089743589762</v>
      </c>
      <c r="N65" s="13">
        <f>IF('Données projet'!$A$36&gt;35,N64+M65-V64,IF(A65&lt;'Données projet'!$A$36,$K$205^A65,IF(A65='Données projet'!$A$36,'Données projet'!$B$36,N64+M65-V64)))</f>
        <v>138.14342948717947</v>
      </c>
      <c r="O65" s="13">
        <f>N65*VLOOKUP('Données projet'!$B$9,Paramètres!$A$1:$I$89,3,0)*VLOOKUP('Données projet'!$B$9,Paramètres!$A$1:$I$89,5,0)</f>
        <v>124.99217499999997</v>
      </c>
      <c r="P65" s="13">
        <f t="shared" si="33"/>
        <v>32.836565726562206</v>
      </c>
      <c r="Q65" s="20">
        <f t="shared" si="53"/>
        <v>274.88505676542917</v>
      </c>
      <c r="R65" s="59">
        <f t="shared" si="0"/>
        <v>537.24405972508043</v>
      </c>
      <c r="S65" s="59">
        <f ca="1">AVERAGE(OFFSET($R$3,0,0,'Données projet'!$E$9+1,1))-AVERAGE(OFFSET($H$3,0,0,'Données projet'!$E$9+1,1))</f>
        <v>388.1278150896951</v>
      </c>
      <c r="T65" s="59">
        <f t="shared" si="34"/>
        <v>232.26614607059227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0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5.9431089743589762</v>
      </c>
      <c r="AI65" s="13">
        <f>IF('Données projet'!$A$62&gt;35,AI64+AH65-AQ64,IF(A65&lt;'Données projet'!$A$62,$AF$205^A65,IF(A65='Données projet'!$A$62,'Données projet'!$B$62,AI64+AH65-AQ64)))</f>
        <v>138.14342948717947</v>
      </c>
      <c r="AJ65" s="13">
        <f>AI65*VLOOKUP('Données projet'!$B$10,Paramètres!$A$1:$I$89,3,0)*VLOOKUP('Données projet'!$B$10,Paramètres!$A$1:$I$89,5,0)</f>
        <v>140.0774375</v>
      </c>
      <c r="AK65" s="13">
        <f t="shared" si="35"/>
        <v>36.314744767883546</v>
      </c>
      <c r="AL65" s="20">
        <f t="shared" si="4"/>
        <v>307.2163841165638</v>
      </c>
      <c r="AM65" s="59">
        <f t="shared" si="5"/>
        <v>569.57538707621507</v>
      </c>
      <c r="AN65" s="59">
        <f ca="1">AVERAGE(OFFSET($AM$3,0,0,'Données projet'!$E$10+1,1))-AVERAGE(OFFSET($H$3,0,0,'Données projet'!$E$10+1,1))</f>
        <v>424.89201140676084</v>
      </c>
      <c r="AO65" s="59">
        <f t="shared" si="36"/>
        <v>253.0016648946303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5.9431089743589762</v>
      </c>
      <c r="BD65" s="12">
        <f>IF('Données projet'!$A$88&gt;35,BD64+BC65-BL64,IF(A65&lt;'Données projet'!$A$88,$BA$205^A65,IF(A65='Données projet'!$A$88,'Données projet'!$B$88,BD64+BC65-BL64)))</f>
        <v>138.14342948717947</v>
      </c>
      <c r="BE65" s="13">
        <f>BD65*VLOOKUP('Données projet'!$B$11,Paramètres!$A$1:$I$89,3,0)*VLOOKUP('Données projet'!$B$11,Paramètres!$A$1:$I$89,5,0)</f>
        <v>131.45728750000001</v>
      </c>
      <c r="BF65" s="13">
        <f t="shared" si="37"/>
        <v>34.332876905330316</v>
      </c>
      <c r="BG65" s="20">
        <f t="shared" si="7"/>
        <v>288.75120300595034</v>
      </c>
      <c r="BH65" s="59">
        <f t="shared" si="8"/>
        <v>551.11020596560161</v>
      </c>
      <c r="BI65" s="59">
        <f ca="1">AVERAGE(OFFSET($BH$3,0,0,'Données projet'!$E$11+1,1))-AVERAGE(OFFSET($H$3,0,0,'Données projet'!$E$11+1,1))</f>
        <v>403.89478276355294</v>
      </c>
      <c r="BJ65" s="59">
        <f t="shared" si="38"/>
        <v>241.1593989733278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5.2</v>
      </c>
      <c r="BY65" s="12">
        <f>IF('Données projet'!$A$114&gt;35,BY64+BX65-CG64,IF(A65&lt;'Données projet'!$A$114,$BV$205^A65,IF(A65='Données projet'!$A$114,'Données projet'!$B$114,BY64+BX65-CG64)))</f>
        <v>290.39999999999986</v>
      </c>
      <c r="BZ65" s="13">
        <f>BY65*VLOOKUP('Données projet'!$B$12,Paramètres!$A$1:$I$89,3,0)*VLOOKUP('Données projet'!$B$12,Paramètres!$A$1:$I$89,5,0)</f>
        <v>231.04223999999991</v>
      </c>
      <c r="CA65" s="13">
        <f t="shared" si="39"/>
        <v>56.507978852931409</v>
      </c>
      <c r="CB65" s="20">
        <f t="shared" si="10"/>
        <v>500.81663116885539</v>
      </c>
      <c r="CC65" s="59">
        <f t="shared" si="11"/>
        <v>763.17563412850677</v>
      </c>
      <c r="CD65" s="59">
        <f ca="1">AVERAGE(OFFSET($CC$3,0,0,'Données projet'!$E$12+1,1))-AVERAGE(OFFSET($H$3,0,0,'Données projet'!$E$12+1,1))</f>
        <v>377.27600411578322</v>
      </c>
      <c r="CE65" s="59">
        <f t="shared" si="40"/>
        <v>364.58250627635425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38.18674627047168</v>
      </c>
      <c r="CL65" s="21">
        <f>EXP(-LN(2)/25)*CL64+(1-EXP(-LN(2)/25))/(LN(2)/25)*Calculateur!CG65*Calculateur!CI65*VLOOKUP('Données projet'!$B$12,Paramètres!$A$1:$I$89,3,0)*0.475*44/12</f>
        <v>11.146746174130485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49.333492444602165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8.6666666666666661</v>
      </c>
      <c r="CT65" s="12">
        <f>IF('Données projet'!$A$140&gt;35,CT64+CS65-DB64,IF(A65&lt;'Données projet'!$A$140,$CQ$205^A65,IF(A65='Données projet'!$A$140,'Données projet'!$B$140,CT64+CS65-DB64)))</f>
        <v>267.33333333333337</v>
      </c>
      <c r="CU65" s="17">
        <f>CT65*VLOOKUP('Données projet'!$B$13,Paramètres!$A$1:$I$89,3,0)*VLOOKUP('Données projet'!$B$13,Paramètres!$A$1:$I$89,5,0)</f>
        <v>208.52000000000004</v>
      </c>
      <c r="CV65" s="13">
        <f t="shared" si="41"/>
        <v>51.612035456318509</v>
      </c>
      <c r="CW65" s="20">
        <f t="shared" si="13"/>
        <v>453.06329508642142</v>
      </c>
      <c r="CX65" s="59">
        <f t="shared" si="14"/>
        <v>715.42229804607268</v>
      </c>
      <c r="CY65" s="59">
        <f ca="1">AVERAGE(OFFSET($CX$3,0,0,'Données projet'!$E$13+1,1))-AVERAGE(OFFSET($H$3,0,0,'Données projet'!$E$13+1,1))</f>
        <v>308.82719216177946</v>
      </c>
      <c r="CZ65" s="59">
        <f t="shared" si="42"/>
        <v>302.59481222418219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23.349112866007061</v>
      </c>
      <c r="DG65" s="21">
        <f>EXP(-LN(2)/25)*DG64+(1-EXP(-LN(2)/25))/(LN(2)/25)*Calculateur!DB65*Calculateur!DD65*VLOOKUP('Données projet'!$B$13,Paramètres!$A$1:$I$89,3,0)*0.475*44/12</f>
        <v>23.986939371447832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47.336052237454894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304.99999999999983</v>
      </c>
      <c r="DP65" s="17">
        <f>DO65*VLOOKUP('Données projet'!$B$14,Paramètres!$A$1:$I$89,3,0)*VLOOKUP('Données projet'!$B$14,Paramètres!$A$1:$I$89,5,0)</f>
        <v>275.96399999999983</v>
      </c>
      <c r="DQ65" s="13">
        <f t="shared" si="43"/>
        <v>66.113366665488854</v>
      </c>
      <c r="DR65" s="20">
        <f t="shared" si="16"/>
        <v>595.78474694239264</v>
      </c>
      <c r="DS65" s="59">
        <f t="shared" si="17"/>
        <v>858.14374990204396</v>
      </c>
      <c r="DT65" s="59">
        <f ca="1">AVERAGE(OFFSET($DS$3,0,0,'Données projet'!$E$14+1,1))-AVERAGE(OFFSET($H$3,0,0,'Données projet'!$E$14+1,1))</f>
        <v>376.51107072413777</v>
      </c>
      <c r="DU65" s="59">
        <f t="shared" si="44"/>
        <v>532.90758914457615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0.85760165269453037</v>
      </c>
      <c r="EB65" s="21">
        <f>EXP(-LN(2)/25)*EB64+(1-EXP(-LN(2)/25))/(LN(2)/25)*Calculateur!DW65*Calculateur!DY65*VLOOKUP('Données projet'!$B$14,Paramètres!$A$1:$I$89,3,0)*0.475*44/12</f>
        <v>3.0402880333484958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3.8978896860430261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-1.7053025658242404E-13</v>
      </c>
      <c r="EK65" s="17">
        <f>EJ65*VLOOKUP('Données projet'!$B$15,Paramètres!$A$1:$I$89,3,0)*VLOOKUP('Données projet'!$B$15,Paramètres!$A$1:$I$89,5,0)</f>
        <v>-1.0197709343628959E-13</v>
      </c>
      <c r="EL65" s="13" t="e">
        <f t="shared" si="45"/>
        <v>#NUM!</v>
      </c>
      <c r="EM65" s="20" t="e">
        <f t="shared" si="19"/>
        <v>#NUM!</v>
      </c>
      <c r="EN65" s="59" t="e">
        <f t="shared" si="20"/>
        <v>#NUM!</v>
      </c>
      <c r="EO65" s="59">
        <f ca="1">AVERAGE(OFFSET($EN$3,0,0,'Données projet'!$E$15+1,1))-AVERAGE(OFFSET($H$3,0,0,'Données projet'!$E$15+1,1))</f>
        <v>337.99164391755608</v>
      </c>
      <c r="EP65" s="59">
        <f t="shared" si="46"/>
        <v>421.45428231923393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144.60293057092494</v>
      </c>
      <c r="EW65" s="21">
        <f>EXP(-LN(2)/25)*EW64+(1-EXP(-LN(2)/25))/(LN(2)/25)*Calculateur!ER65*Calculateur!ET65*VLOOKUP('Données projet'!$B$15,Paramètres!$A$1:$I$89,3,0)*0.475*44/12</f>
        <v>37.426631880682663</v>
      </c>
      <c r="EX65" s="21">
        <f>EXP(-LN(2)/2)*EX64+(1-EXP(-LN(2)/2))/(LN(2)/2)*ER65*EU65*VLOOKUP('Données projet'!$B$15,Paramètres!$A$1:$I$89,3,0)*0.475*44/12</f>
        <v>5.0507963678511878</v>
      </c>
      <c r="EY65" s="22">
        <f t="shared" si="21"/>
        <v>187.08035881945878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5.9431089743589762</v>
      </c>
      <c r="N66" s="13">
        <f>IF('Données projet'!$A$36&gt;35,N65+M66-V65,IF(A66&lt;'Données projet'!$A$36,$K$205^A66,IF(A66='Données projet'!$A$36,'Données projet'!$B$36,N65+M66-V65)))</f>
        <v>144.08653846153845</v>
      </c>
      <c r="O66" s="13">
        <f>N66*VLOOKUP('Données projet'!$B$9,Paramètres!$A$1:$I$89,3,0)*VLOOKUP('Données projet'!$B$9,Paramètres!$A$1:$I$89,5,0)</f>
        <v>130.36949999999999</v>
      </c>
      <c r="P66" s="13">
        <f t="shared" si="33"/>
        <v>34.081725824623319</v>
      </c>
      <c r="Q66" s="20">
        <f t="shared" si="53"/>
        <v>286.41921831121891</v>
      </c>
      <c r="R66" s="59">
        <f t="shared" si="0"/>
        <v>549.31555665462497</v>
      </c>
      <c r="S66" s="59">
        <f ca="1">AVERAGE(OFFSET($R$3,0,0,'Données projet'!$E$9+1,1))-AVERAGE(OFFSET($H$3,0,0,'Données projet'!$E$9+1,1))</f>
        <v>388.1278150896951</v>
      </c>
      <c r="T66" s="59">
        <f t="shared" si="34"/>
        <v>232.26614607059227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0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5.9431089743589762</v>
      </c>
      <c r="AI66" s="13">
        <f>IF('Données projet'!$A$62&gt;35,AI65+AH66-AQ65,IF(A66&lt;'Données projet'!$A$62,$AF$205^A66,IF(A66='Données projet'!$A$62,'Données projet'!$B$62,AI65+AH66-AQ65)))</f>
        <v>144.08653846153845</v>
      </c>
      <c r="AJ66" s="13">
        <f>AI66*VLOOKUP('Données projet'!$B$10,Paramètres!$A$1:$I$89,3,0)*VLOOKUP('Données projet'!$B$10,Paramètres!$A$1:$I$89,5,0)</f>
        <v>146.10374999999999</v>
      </c>
      <c r="AK66" s="13">
        <f t="shared" si="35"/>
        <v>37.691797153104957</v>
      </c>
      <c r="AL66" s="20">
        <f t="shared" si="4"/>
        <v>320.11057795832443</v>
      </c>
      <c r="AM66" s="59">
        <f t="shared" si="5"/>
        <v>583.0069163017306</v>
      </c>
      <c r="AN66" s="59">
        <f ca="1">AVERAGE(OFFSET($AM$3,0,0,'Données projet'!$E$10+1,1))-AVERAGE(OFFSET($H$3,0,0,'Données projet'!$E$10+1,1))</f>
        <v>424.89201140676084</v>
      </c>
      <c r="AO66" s="59">
        <f t="shared" si="36"/>
        <v>253.0016648946303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5.9431089743589762</v>
      </c>
      <c r="BD66" s="12">
        <f>IF('Données projet'!$A$88&gt;35,BD65+BC66-BL65,IF(A66&lt;'Données projet'!$A$88,$BA$205^A66,IF(A66='Données projet'!$A$88,'Données projet'!$B$88,BD65+BC66-BL65)))</f>
        <v>144.08653846153845</v>
      </c>
      <c r="BE66" s="13">
        <f>BD66*VLOOKUP('Données projet'!$B$11,Paramètres!$A$1:$I$89,3,0)*VLOOKUP('Données projet'!$B$11,Paramètres!$A$1:$I$89,5,0)</f>
        <v>137.11275000000001</v>
      </c>
      <c r="BF66" s="13">
        <f t="shared" si="37"/>
        <v>35.634777010540766</v>
      </c>
      <c r="BG66" s="20">
        <f t="shared" si="7"/>
        <v>300.86860954335856</v>
      </c>
      <c r="BH66" s="59">
        <f t="shared" si="8"/>
        <v>563.76494788676473</v>
      </c>
      <c r="BI66" s="59">
        <f ca="1">AVERAGE(OFFSET($BH$3,0,0,'Données projet'!$E$11+1,1))-AVERAGE(OFFSET($H$3,0,0,'Données projet'!$E$11+1,1))</f>
        <v>403.89478276355294</v>
      </c>
      <c r="BJ66" s="59">
        <f t="shared" si="38"/>
        <v>241.1593989733278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5.2</v>
      </c>
      <c r="BY66" s="12">
        <f>IF('Données projet'!$A$114&gt;35,BY65+BX66-CG65,IF(A66&lt;'Données projet'!$A$114,$BV$205^A66,IF(A66='Données projet'!$A$114,'Données projet'!$B$114,BY65+BX66-CG65)))</f>
        <v>295.59999999999985</v>
      </c>
      <c r="BZ66" s="13">
        <f>BY66*VLOOKUP('Données projet'!$B$12,Paramètres!$A$1:$I$89,3,0)*VLOOKUP('Données projet'!$B$12,Paramètres!$A$1:$I$89,5,0)</f>
        <v>235.17935999999989</v>
      </c>
      <c r="CA66" s="13">
        <f t="shared" si="39"/>
        <v>57.401124668909425</v>
      </c>
      <c r="CB66" s="20">
        <f t="shared" si="10"/>
        <v>509.57767746501708</v>
      </c>
      <c r="CC66" s="59">
        <f t="shared" si="11"/>
        <v>772.47401580842325</v>
      </c>
      <c r="CD66" s="59">
        <f ca="1">AVERAGE(OFFSET($CC$3,0,0,'Données projet'!$E$12+1,1))-AVERAGE(OFFSET($H$3,0,0,'Données projet'!$E$12+1,1))</f>
        <v>377.27600411578322</v>
      </c>
      <c r="CE66" s="59">
        <f t="shared" si="40"/>
        <v>364.58250627635425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37.4379274677231</v>
      </c>
      <c r="CL66" s="21">
        <f>EXP(-LN(2)/25)*CL65+(1-EXP(-LN(2)/25))/(LN(2)/25)*Calculateur!CG66*Calculateur!CI66*VLOOKUP('Données projet'!$B$12,Paramètres!$A$1:$I$89,3,0)*0.475*44/12</f>
        <v>10.841937813816982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48.279865281540083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8.6666666666666661</v>
      </c>
      <c r="CT66" s="12">
        <f>IF('Données projet'!$A$140&gt;35,CT65+CS66-DB65,IF(A66&lt;'Données projet'!$A$140,$CQ$205^A66,IF(A66='Données projet'!$A$140,'Données projet'!$B$140,CT65+CS66-DB65)))</f>
        <v>276.00000000000006</v>
      </c>
      <c r="CU66" s="17">
        <f>CT66*VLOOKUP('Données projet'!$B$13,Paramètres!$A$1:$I$89,3,0)*VLOOKUP('Données projet'!$B$13,Paramètres!$A$1:$I$89,5,0)</f>
        <v>215.28000000000006</v>
      </c>
      <c r="CV66" s="13">
        <f t="shared" si="41"/>
        <v>53.087725740853138</v>
      </c>
      <c r="CW66" s="20">
        <f t="shared" si="13"/>
        <v>467.40712233198593</v>
      </c>
      <c r="CX66" s="59">
        <f t="shared" si="14"/>
        <v>730.30346067539199</v>
      </c>
      <c r="CY66" s="59">
        <f ca="1">AVERAGE(OFFSET($CX$3,0,0,'Données projet'!$E$13+1,1))-AVERAGE(OFFSET($H$3,0,0,'Données projet'!$E$13+1,1))</f>
        <v>308.82719216177946</v>
      </c>
      <c r="CZ66" s="59">
        <f t="shared" si="42"/>
        <v>302.59481222418219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22.891251004257274</v>
      </c>
      <c r="DG66" s="21">
        <f>EXP(-LN(2)/25)*DG65+(1-EXP(-LN(2)/25))/(LN(2)/25)*Calculateur!DB66*Calculateur!DD66*VLOOKUP('Données projet'!$B$13,Paramètres!$A$1:$I$89,3,0)*0.475*44/12</f>
        <v>23.331015252917272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46.222266257174546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304.99999999999983</v>
      </c>
      <c r="DP66" s="17">
        <f>DO66*VLOOKUP('Données projet'!$B$14,Paramètres!$A$1:$I$89,3,0)*VLOOKUP('Données projet'!$B$14,Paramètres!$A$1:$I$89,5,0)</f>
        <v>275.96399999999983</v>
      </c>
      <c r="DQ66" s="13">
        <f t="shared" si="43"/>
        <v>66.113366665488854</v>
      </c>
      <c r="DR66" s="20">
        <f t="shared" si="16"/>
        <v>595.78474694239264</v>
      </c>
      <c r="DS66" s="59">
        <f t="shared" si="17"/>
        <v>858.68108528579876</v>
      </c>
      <c r="DT66" s="59">
        <f ca="1">AVERAGE(OFFSET($DS$3,0,0,'Données projet'!$E$14+1,1))-AVERAGE(OFFSET($H$3,0,0,'Données projet'!$E$14+1,1))</f>
        <v>376.51107072413777</v>
      </c>
      <c r="DU66" s="59">
        <f t="shared" si="44"/>
        <v>532.90758914457615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0.84078460737054839</v>
      </c>
      <c r="EB66" s="21">
        <f>EXP(-LN(2)/25)*EB65+(1-EXP(-LN(2)/25))/(LN(2)/25)*Calculateur!DW66*Calculateur!DY66*VLOOKUP('Données projet'!$B$14,Paramètres!$A$1:$I$89,3,0)*0.475*44/12</f>
        <v>2.9571511971947824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3.7979358045653306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-1.7053025658242404E-13</v>
      </c>
      <c r="EK66" s="17">
        <f>EJ66*VLOOKUP('Données projet'!$B$15,Paramètres!$A$1:$I$89,3,0)*VLOOKUP('Données projet'!$B$15,Paramètres!$A$1:$I$89,5,0)</f>
        <v>-1.0197709343628959E-13</v>
      </c>
      <c r="EL66" s="13" t="e">
        <f t="shared" si="45"/>
        <v>#NUM!</v>
      </c>
      <c r="EM66" s="20" t="e">
        <f t="shared" si="19"/>
        <v>#NUM!</v>
      </c>
      <c r="EN66" s="59" t="e">
        <f t="shared" si="20"/>
        <v>#NUM!</v>
      </c>
      <c r="EO66" s="59">
        <f ca="1">AVERAGE(OFFSET($EN$3,0,0,'Données projet'!$E$15+1,1))-AVERAGE(OFFSET($H$3,0,0,'Données projet'!$E$15+1,1))</f>
        <v>337.99164391755608</v>
      </c>
      <c r="EP66" s="59">
        <f t="shared" si="46"/>
        <v>421.45428231923393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141.76735530150782</v>
      </c>
      <c r="EW66" s="21">
        <f>EXP(-LN(2)/25)*EW65+(1-EXP(-LN(2)/25))/(LN(2)/25)*Calculateur!ER66*Calculateur!ET66*VLOOKUP('Données projet'!$B$15,Paramètres!$A$1:$I$89,3,0)*0.475*44/12</f>
        <v>36.403198663724368</v>
      </c>
      <c r="EX66" s="21">
        <f>EXP(-LN(2)/2)*EX65+(1-EXP(-LN(2)/2))/(LN(2)/2)*ER66*EU66*VLOOKUP('Données projet'!$B$15,Paramètres!$A$1:$I$89,3,0)*0.475*44/12</f>
        <v>3.5714523620999592</v>
      </c>
      <c r="EY66" s="22">
        <f t="shared" si="21"/>
        <v>181.74200632733215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5.9431089743589762</v>
      </c>
      <c r="N67" s="13">
        <f>IF('Données projet'!$A$36&gt;35,N66+M67-V66,IF(A67&lt;'Données projet'!$A$36,$K$205^A67,IF(A67='Données projet'!$A$36,'Données projet'!$B$36,N66+M67-V66)))</f>
        <v>150.02964743589743</v>
      </c>
      <c r="O67" s="13">
        <f>N67*VLOOKUP('Données projet'!$B$9,Paramètres!$A$1:$I$89,3,0)*VLOOKUP('Données projet'!$B$9,Paramètres!$A$1:$I$89,5,0)</f>
        <v>135.746825</v>
      </c>
      <c r="P67" s="13">
        <f t="shared" si="33"/>
        <v>35.320920291530086</v>
      </c>
      <c r="Q67" s="20">
        <f t="shared" ref="Q67:Q98" si="54">(O67+P67)*0.475*44/12</f>
        <v>297.94298971608151</v>
      </c>
      <c r="R67" s="59">
        <f t="shared" ref="R67:R130" si="55">Q67+(I67+J67)*44/12</f>
        <v>561.36734187563627</v>
      </c>
      <c r="S67" s="59">
        <f ca="1">AVERAGE(OFFSET($R$3,0,0,'Données projet'!$E$9+1,1))-AVERAGE(OFFSET($H$3,0,0,'Données projet'!$E$9+1,1))</f>
        <v>388.1278150896951</v>
      </c>
      <c r="T67" s="59">
        <f t="shared" si="34"/>
        <v>232.26614607059227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0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5.9431089743589762</v>
      </c>
      <c r="AI67" s="13">
        <f>IF('Données projet'!$A$62&gt;35,AI66+AH67-AQ66,IF(A67&lt;'Données projet'!$A$62,$AF$205^A67,IF(A67='Données projet'!$A$62,'Données projet'!$B$62,AI66+AH67-AQ66)))</f>
        <v>150.02964743589743</v>
      </c>
      <c r="AJ67" s="13">
        <f>AI67*VLOOKUP('Données projet'!$B$10,Paramètres!$A$1:$I$89,3,0)*VLOOKUP('Données projet'!$B$10,Paramètres!$A$1:$I$89,5,0)</f>
        <v>152.13006250000001</v>
      </c>
      <c r="AK67" s="13">
        <f t="shared" si="35"/>
        <v>39.06225200390233</v>
      </c>
      <c r="AL67" s="20">
        <f t="shared" si="4"/>
        <v>332.99328109429655</v>
      </c>
      <c r="AM67" s="59">
        <f t="shared" si="5"/>
        <v>596.41763325385136</v>
      </c>
      <c r="AN67" s="59">
        <f ca="1">AVERAGE(OFFSET($AM$3,0,0,'Données projet'!$E$10+1,1))-AVERAGE(OFFSET($H$3,0,0,'Données projet'!$E$10+1,1))</f>
        <v>424.89201140676084</v>
      </c>
      <c r="AO67" s="59">
        <f t="shared" si="36"/>
        <v>253.0016648946303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5.9431089743589762</v>
      </c>
      <c r="BD67" s="12">
        <f>IF('Données projet'!$A$88&gt;35,BD66+BC67-BL66,IF(A67&lt;'Données projet'!$A$88,$BA$205^A67,IF(A67='Données projet'!$A$88,'Données projet'!$B$88,BD66+BC67-BL66)))</f>
        <v>150.02964743589743</v>
      </c>
      <c r="BE67" s="13">
        <f>BD67*VLOOKUP('Données projet'!$B$11,Paramètres!$A$1:$I$89,3,0)*VLOOKUP('Données projet'!$B$11,Paramètres!$A$1:$I$89,5,0)</f>
        <v>142.7682125</v>
      </c>
      <c r="BF67" s="13">
        <f t="shared" si="37"/>
        <v>36.93043964007272</v>
      </c>
      <c r="BG67" s="20">
        <f t="shared" si="7"/>
        <v>312.97515247729331</v>
      </c>
      <c r="BH67" s="59">
        <f t="shared" si="8"/>
        <v>576.39950463684806</v>
      </c>
      <c r="BI67" s="59">
        <f ca="1">AVERAGE(OFFSET($BH$3,0,0,'Données projet'!$E$11+1,1))-AVERAGE(OFFSET($H$3,0,0,'Données projet'!$E$11+1,1))</f>
        <v>403.89478276355294</v>
      </c>
      <c r="BJ67" s="59">
        <f t="shared" si="38"/>
        <v>241.1593989733278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0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5.2</v>
      </c>
      <c r="BY67" s="12">
        <f>IF('Données projet'!$A$114&gt;35,BY66+BX67-CG66,IF(A67&lt;'Données projet'!$A$114,$BV$205^A67,IF(A67='Données projet'!$A$114,'Données projet'!$B$114,BY66+BX67-CG66)))</f>
        <v>300.79999999999984</v>
      </c>
      <c r="BZ67" s="13">
        <f>BY67*VLOOKUP('Données projet'!$B$12,Paramètres!$A$1:$I$89,3,0)*VLOOKUP('Données projet'!$B$12,Paramètres!$A$1:$I$89,5,0)</f>
        <v>239.3164799999999</v>
      </c>
      <c r="CA67" s="13">
        <f t="shared" si="39"/>
        <v>58.292443422481945</v>
      </c>
      <c r="CB67" s="20">
        <f t="shared" si="10"/>
        <v>518.33554162748919</v>
      </c>
      <c r="CC67" s="59">
        <f t="shared" si="11"/>
        <v>781.75989378704389</v>
      </c>
      <c r="CD67" s="59">
        <f ca="1">AVERAGE(OFFSET($CC$3,0,0,'Données projet'!$E$12+1,1))-AVERAGE(OFFSET($H$3,0,0,'Données projet'!$E$12+1,1))</f>
        <v>377.27600411578322</v>
      </c>
      <c r="CE67" s="59">
        <f t="shared" si="40"/>
        <v>364.58250627635425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36.703792544962049</v>
      </c>
      <c r="CL67" s="21">
        <f>EXP(-LN(2)/25)*CL66+(1-EXP(-LN(2)/25))/(LN(2)/25)*Calculateur!CG67*Calculateur!CI67*VLOOKUP('Données projet'!$B$12,Paramètres!$A$1:$I$89,3,0)*0.475*44/12</f>
        <v>10.545464454145426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47.249256999107473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8.6666666666666661</v>
      </c>
      <c r="CT67" s="12">
        <f>IF('Données projet'!$A$140&gt;35,CT66+CS67-DB66,IF(A67&lt;'Données projet'!$A$140,$CQ$205^A67,IF(A67='Données projet'!$A$140,'Données projet'!$B$140,CT66+CS67-DB66)))</f>
        <v>284.66666666666674</v>
      </c>
      <c r="CU67" s="17">
        <f>CT67*VLOOKUP('Données projet'!$B$13,Paramètres!$A$1:$I$89,3,0)*VLOOKUP('Données projet'!$B$13,Paramètres!$A$1:$I$89,5,0)</f>
        <v>222.04000000000008</v>
      </c>
      <c r="CV67" s="13">
        <f t="shared" si="41"/>
        <v>54.558031180803596</v>
      </c>
      <c r="CW67" s="20">
        <f t="shared" si="13"/>
        <v>481.74157097323308</v>
      </c>
      <c r="CX67" s="59">
        <f t="shared" si="14"/>
        <v>745.16592313278784</v>
      </c>
      <c r="CY67" s="59">
        <f ca="1">AVERAGE(OFFSET($CX$3,0,0,'Données projet'!$E$13+1,1))-AVERAGE(OFFSET($H$3,0,0,'Données projet'!$E$13+1,1))</f>
        <v>308.82719216177946</v>
      </c>
      <c r="CZ67" s="59">
        <f t="shared" si="42"/>
        <v>302.59481222418219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22.442367534348239</v>
      </c>
      <c r="DG67" s="21">
        <f>EXP(-LN(2)/25)*DG66+(1-EXP(-LN(2)/25))/(LN(2)/25)*Calculateur!DB67*Calculateur!DD67*VLOOKUP('Données projet'!$B$13,Paramètres!$A$1:$I$89,3,0)*0.475*44/12</f>
        <v>22.693027413901479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45.135394948249719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304.99999999999983</v>
      </c>
      <c r="DP67" s="17">
        <f>DO67*VLOOKUP('Données projet'!$B$14,Paramètres!$A$1:$I$89,3,0)*VLOOKUP('Données projet'!$B$14,Paramètres!$A$1:$I$89,5,0)</f>
        <v>275.96399999999983</v>
      </c>
      <c r="DQ67" s="13">
        <f t="shared" si="43"/>
        <v>66.113366665488854</v>
      </c>
      <c r="DR67" s="20">
        <f t="shared" si="16"/>
        <v>595.78474694239264</v>
      </c>
      <c r="DS67" s="59">
        <f t="shared" si="17"/>
        <v>859.20909910194746</v>
      </c>
      <c r="DT67" s="59">
        <f ca="1">AVERAGE(OFFSET($DS$3,0,0,'Données projet'!$E$14+1,1))-AVERAGE(OFFSET($H$3,0,0,'Données projet'!$E$14+1,1))</f>
        <v>376.51107072413777</v>
      </c>
      <c r="DU67" s="59">
        <f t="shared" si="44"/>
        <v>532.90758914457615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0.82429733404798489</v>
      </c>
      <c r="EB67" s="21">
        <f>EXP(-LN(2)/25)*EB66+(1-EXP(-LN(2)/25))/(LN(2)/25)*Calculateur!DW67*Calculateur!DY67*VLOOKUP('Données projet'!$B$14,Paramètres!$A$1:$I$89,3,0)*0.475*44/12</f>
        <v>2.8762877421976683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3.7005850762456531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-1.7053025658242404E-13</v>
      </c>
      <c r="EK67" s="17">
        <f>EJ67*VLOOKUP('Données projet'!$B$15,Paramètres!$A$1:$I$89,3,0)*VLOOKUP('Données projet'!$B$15,Paramètres!$A$1:$I$89,5,0)</f>
        <v>-1.0197709343628959E-13</v>
      </c>
      <c r="EL67" s="13" t="e">
        <f t="shared" si="45"/>
        <v>#NUM!</v>
      </c>
      <c r="EM67" s="20" t="e">
        <f t="shared" si="19"/>
        <v>#NUM!</v>
      </c>
      <c r="EN67" s="59" t="e">
        <f t="shared" si="20"/>
        <v>#NUM!</v>
      </c>
      <c r="EO67" s="59">
        <f ca="1">AVERAGE(OFFSET($EN$3,0,0,'Données projet'!$E$15+1,1))-AVERAGE(OFFSET($H$3,0,0,'Données projet'!$E$15+1,1))</f>
        <v>337.99164391755608</v>
      </c>
      <c r="EP67" s="59">
        <f t="shared" si="46"/>
        <v>421.45428231923393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138.98738393359383</v>
      </c>
      <c r="EW67" s="21">
        <f>EXP(-LN(2)/25)*EW66+(1-EXP(-LN(2)/25))/(LN(2)/25)*Calculateur!ER67*Calculateur!ET67*VLOOKUP('Données projet'!$B$15,Paramètres!$A$1:$I$89,3,0)*0.475*44/12</f>
        <v>35.407751281903806</v>
      </c>
      <c r="EX67" s="21">
        <f>EXP(-LN(2)/2)*EX66+(1-EXP(-LN(2)/2))/(LN(2)/2)*ER67*EU67*VLOOKUP('Données projet'!$B$15,Paramètres!$A$1:$I$89,3,0)*0.475*44/12</f>
        <v>2.5253981839255943</v>
      </c>
      <c r="EY67" s="22">
        <f t="shared" si="21"/>
        <v>176.92053339942325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5.9431089743589762</v>
      </c>
      <c r="N68" s="13">
        <f>IF('Données projet'!$A$36&gt;35,N67+M68-V67,IF(A68&lt;'Données projet'!$A$36,$K$205^A68,IF(A68='Données projet'!$A$36,'Données projet'!$B$36,N67+M68-V67)))</f>
        <v>155.97275641025641</v>
      </c>
      <c r="O68" s="13">
        <f>N68*VLOOKUP('Données projet'!$B$9,Paramètres!$A$1:$I$89,3,0)*VLOOKUP('Données projet'!$B$9,Paramètres!$A$1:$I$89,5,0)</f>
        <v>141.12414999999999</v>
      </c>
      <c r="P68" s="13">
        <f t="shared" si="33"/>
        <v>36.554412483418083</v>
      </c>
      <c r="Q68" s="20">
        <f t="shared" si="54"/>
        <v>309.45682965861977</v>
      </c>
      <c r="R68" s="59">
        <f t="shared" si="55"/>
        <v>573.40003577507491</v>
      </c>
      <c r="S68" s="59">
        <f ca="1">AVERAGE(OFFSET($R$3,0,0,'Données projet'!$E$9+1,1))-AVERAGE(OFFSET($H$3,0,0,'Données projet'!$E$9+1,1))</f>
        <v>388.1278150896951</v>
      </c>
      <c r="T68" s="59">
        <f t="shared" si="34"/>
        <v>232.26614607059227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0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5.9431089743589762</v>
      </c>
      <c r="AI68" s="13">
        <f>IF('Données projet'!$A$62&gt;35,AI67+AH68-AQ67,IF(A68&lt;'Données projet'!$A$62,$AF$205^A68,IF(A68='Données projet'!$A$62,'Données projet'!$B$62,AI67+AH68-AQ67)))</f>
        <v>155.97275641025641</v>
      </c>
      <c r="AJ68" s="13">
        <f>AI68*VLOOKUP('Données projet'!$B$10,Paramètres!$A$1:$I$89,3,0)*VLOOKUP('Données projet'!$B$10,Paramètres!$A$1:$I$89,5,0)</f>
        <v>158.15637500000003</v>
      </c>
      <c r="AK68" s="13">
        <f t="shared" si="35"/>
        <v>40.426400572135641</v>
      </c>
      <c r="AL68" s="20">
        <f t="shared" ref="AL68:AL131" si="58">(AJ68+AK68)*0.475*44/12</f>
        <v>345.86500078813629</v>
      </c>
      <c r="AM68" s="59">
        <f t="shared" ref="AM68:AM131" si="59">AL68+(AD68+AE68)*44/12</f>
        <v>609.80820690459154</v>
      </c>
      <c r="AN68" s="59">
        <f ca="1">AVERAGE(OFFSET($AM$3,0,0,'Données projet'!$E$10+1,1))-AVERAGE(OFFSET($H$3,0,0,'Données projet'!$E$10+1,1))</f>
        <v>424.89201140676084</v>
      </c>
      <c r="AO68" s="59">
        <f t="shared" si="36"/>
        <v>253.0016648946303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5.9431089743589762</v>
      </c>
      <c r="BD68" s="12">
        <f>IF('Données projet'!$A$88&gt;35,BD67+BC68-BL67,IF(A68&lt;'Données projet'!$A$88,$BA$205^A68,IF(A68='Données projet'!$A$88,'Données projet'!$B$88,BD67+BC68-BL67)))</f>
        <v>155.97275641025641</v>
      </c>
      <c r="BE68" s="13">
        <f>BD68*VLOOKUP('Données projet'!$B$11,Paramètres!$A$1:$I$89,3,0)*VLOOKUP('Données projet'!$B$11,Paramètres!$A$1:$I$89,5,0)</f>
        <v>148.423675</v>
      </c>
      <c r="BF68" s="13">
        <f t="shared" si="37"/>
        <v>38.220140150790883</v>
      </c>
      <c r="BG68" s="20">
        <f t="shared" ref="BG68:BG131" si="61">(BE68+BF68)*0.475*44/12</f>
        <v>325.07131138762742</v>
      </c>
      <c r="BH68" s="59">
        <f t="shared" ref="BH68:BH131" si="62">BG68+(AY68+AZ68)*44/12</f>
        <v>589.01451750408262</v>
      </c>
      <c r="BI68" s="59">
        <f ca="1">AVERAGE(OFFSET($BH$3,0,0,'Données projet'!$E$11+1,1))-AVERAGE(OFFSET($H$3,0,0,'Données projet'!$E$11+1,1))</f>
        <v>403.89478276355294</v>
      </c>
      <c r="BJ68" s="59">
        <f t="shared" si="38"/>
        <v>241.1593989733278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0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306</v>
      </c>
      <c r="BW68" s="12">
        <f>VLOOKUP(A68,'Données projet'!$A$113:$I$133,9,0)</f>
        <v>5.2</v>
      </c>
      <c r="BX68" s="12">
        <f t="array" ref="BX68">INDEX(BW:BW,MIN(IF(ISNUMBER(BW68:BW264),ROW(BW68:BW264),"")))</f>
        <v>5.2</v>
      </c>
      <c r="BY68" s="12">
        <f>IF('Données projet'!$A$114&gt;35,BY67+BX68-CG67,IF(A68&lt;'Données projet'!$A$114,$BV$205^A68,IF(A68='Données projet'!$A$114,'Données projet'!$B$114,BY67+BX68-CG67)))</f>
        <v>305.99999999999983</v>
      </c>
      <c r="BZ68" s="13">
        <f>BY68*VLOOKUP('Données projet'!$B$12,Paramètres!$A$1:$I$89,3,0)*VLOOKUP('Données projet'!$B$12,Paramètres!$A$1:$I$89,5,0)</f>
        <v>243.45359999999988</v>
      </c>
      <c r="CA68" s="13">
        <f t="shared" si="39"/>
        <v>59.181970343065267</v>
      </c>
      <c r="CB68" s="20">
        <f t="shared" ref="CB68:CB131" si="64">(BZ68+CA68)*0.475*44/12</f>
        <v>527.09028501417163</v>
      </c>
      <c r="CC68" s="59">
        <f t="shared" ref="CC68:CC131" si="65">CB68+(BT68+BU68)*44/12</f>
        <v>791.03349113062677</v>
      </c>
      <c r="CD68" s="59">
        <f ca="1">AVERAGE(OFFSET($CC$3,0,0,'Données projet'!$E$12+1,1))-AVERAGE(OFFSET($H$3,0,0,'Données projet'!$E$12+1,1))</f>
        <v>377.27600411578322</v>
      </c>
      <c r="CE68" s="59">
        <f t="shared" si="40"/>
        <v>364.58250627635425</v>
      </c>
      <c r="CF68" s="15">
        <f>IF(ISNA(VLOOKUP(A68,'Données projet'!$A$113:$I$133,3,0)),0,VLOOKUP(A68,'Données projet'!$A$113:$I$133,3,0))</f>
        <v>11</v>
      </c>
      <c r="CG68" s="15">
        <f>IF(ISNA(VLOOKUP(A68,'Données projet'!$A$113:$I$133,4,0)),0,VLOOKUP(A68,'Données projet'!$A$113:$I$133,4,0))</f>
        <v>13</v>
      </c>
      <c r="CH68" s="16">
        <f>IF(ISNA(VLOOKUP(A68,'Données projet'!$A$113:$I$133,5,0)),0%,VLOOKUP(A68,'Données projet'!$A$113:$I$133,5,0)*VLOOKUP('Données projet'!$B$12,Paramètres!$A$1:$I$89,7,0))</f>
        <v>0.48760000000000003</v>
      </c>
      <c r="CI68" s="16">
        <f>IF(ISNA(VLOOKUP(A68,'Données projet'!$A$113:$I$133,6,0)),0%,VLOOKUP(A68,'Données projet'!$A$113:$I$133,6,0)*VLOOKUP('Données projet'!$B$12,Paramètres!$A$1:$I$89,7,0))</f>
        <v>4.24E-2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41.559105708861182</v>
      </c>
      <c r="CL68" s="21">
        <f>EXP(-LN(2)/25)*CL67+(1-EXP(-LN(2)/25))/(LN(2)/25)*Calculateur!CG68*Calculateur!CI68*VLOOKUP('Données projet'!$B$12,Paramètres!$A$1:$I$89,3,0)*0.475*44/12</f>
        <v>10.739976525739944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52.29908223460113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8.6666666666666661</v>
      </c>
      <c r="CT68" s="12">
        <f>IF('Données projet'!$A$140&gt;35,CT67+CS68-DB67,IF(A68&lt;'Données projet'!$A$140,$CQ$205^A68,IF(A68='Données projet'!$A$140,'Données projet'!$B$140,CT67+CS68-DB67)))</f>
        <v>293.33333333333343</v>
      </c>
      <c r="CU68" s="17">
        <f>CT68*VLOOKUP('Données projet'!$B$13,Paramètres!$A$1:$I$89,3,0)*VLOOKUP('Données projet'!$B$13,Paramètres!$A$1:$I$89,5,0)</f>
        <v>228.80000000000007</v>
      </c>
      <c r="CV68" s="13">
        <f t="shared" si="41"/>
        <v>56.023134533701196</v>
      </c>
      <c r="CW68" s="20">
        <f t="shared" ref="CW68:CW131" si="67">(CU68+CV68)*0.475*44/12</f>
        <v>496.06695931286299</v>
      </c>
      <c r="CX68" s="59">
        <f t="shared" ref="CX68:CX131" si="68">CW68+(CO68+CP68)*44/12</f>
        <v>760.01016542931825</v>
      </c>
      <c r="CY68" s="59">
        <f ca="1">AVERAGE(OFFSET($CX$3,0,0,'Données projet'!$E$13+1,1))-AVERAGE(OFFSET($H$3,0,0,'Données projet'!$E$13+1,1))</f>
        <v>308.82719216177946</v>
      </c>
      <c r="CZ68" s="59">
        <f t="shared" si="42"/>
        <v>302.59481222418219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22.002286395492241</v>
      </c>
      <c r="DG68" s="21">
        <f>EXP(-LN(2)/25)*DG67+(1-EXP(-LN(2)/25))/(LN(2)/25)*Calculateur!DB68*Calculateur!DD68*VLOOKUP('Données projet'!$B$13,Paramètres!$A$1:$I$89,3,0)*0.475*44/12</f>
        <v>22.072485385893899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44.07477178138614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304.99999999999983</v>
      </c>
      <c r="DP68" s="17">
        <f>DO68*VLOOKUP('Données projet'!$B$14,Paramètres!$A$1:$I$89,3,0)*VLOOKUP('Données projet'!$B$14,Paramètres!$A$1:$I$89,5,0)</f>
        <v>275.96399999999983</v>
      </c>
      <c r="DQ68" s="13">
        <f t="shared" si="43"/>
        <v>66.113366665488854</v>
      </c>
      <c r="DR68" s="20">
        <f t="shared" ref="DR68:DR131" si="70">(DP68+DQ68)*0.475*44/12</f>
        <v>595.78474694239264</v>
      </c>
      <c r="DS68" s="59">
        <f t="shared" ref="DS68:DS131" si="71">DR68+(DJ68+DK68)*44/12</f>
        <v>859.72795305884779</v>
      </c>
      <c r="DT68" s="59">
        <f ca="1">AVERAGE(OFFSET($DS$3,0,0,'Données projet'!$E$14+1,1))-AVERAGE(OFFSET($H$3,0,0,'Données projet'!$E$14+1,1))</f>
        <v>376.51107072413777</v>
      </c>
      <c r="DU68" s="59">
        <f t="shared" si="44"/>
        <v>532.90758914457615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0.80813336609903308</v>
      </c>
      <c r="EB68" s="21">
        <f>EXP(-LN(2)/25)*EB67+(1-EXP(-LN(2)/25))/(LN(2)/25)*Calculateur!DW68*Calculateur!DY68*VLOOKUP('Données projet'!$B$14,Paramètres!$A$1:$I$89,3,0)*0.475*44/12</f>
        <v>2.7976355026298747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3.6057688687289078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-1.7053025658242404E-13</v>
      </c>
      <c r="EK68" s="17">
        <f>EJ68*VLOOKUP('Données projet'!$B$15,Paramètres!$A$1:$I$89,3,0)*VLOOKUP('Données projet'!$B$15,Paramètres!$A$1:$I$89,5,0)</f>
        <v>-1.0197709343628959E-13</v>
      </c>
      <c r="EL68" s="13" t="e">
        <f t="shared" si="45"/>
        <v>#NUM!</v>
      </c>
      <c r="EM68" s="20" t="e">
        <f t="shared" ref="EM68:EM131" si="73">(EK68+EL68)*0.475*44/12</f>
        <v>#NUM!</v>
      </c>
      <c r="EN68" s="59" t="e">
        <f t="shared" ref="EN68:EN131" si="74">EM68+(EE68+EF68)*44/12</f>
        <v>#NUM!</v>
      </c>
      <c r="EO68" s="59">
        <f ca="1">AVERAGE(OFFSET($EN$3,0,0,'Données projet'!$E$15+1,1))-AVERAGE(OFFSET($H$3,0,0,'Données projet'!$E$15+1,1))</f>
        <v>337.99164391755608</v>
      </c>
      <c r="EP68" s="59">
        <f t="shared" si="46"/>
        <v>421.45428231923393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136.26192610858953</v>
      </c>
      <c r="EW68" s="21">
        <f>EXP(-LN(2)/25)*EW67+(1-EXP(-LN(2)/25))/(LN(2)/25)*Calculateur!ER68*Calculateur!ET68*VLOOKUP('Données projet'!$B$15,Paramètres!$A$1:$I$89,3,0)*0.475*44/12</f>
        <v>34.43952446108743</v>
      </c>
      <c r="EX68" s="21">
        <f>EXP(-LN(2)/2)*EX67+(1-EXP(-LN(2)/2))/(LN(2)/2)*ER68*EU68*VLOOKUP('Données projet'!$B$15,Paramètres!$A$1:$I$89,3,0)*0.475*44/12</f>
        <v>1.7857261810499798</v>
      </c>
      <c r="EY68" s="22">
        <f t="shared" ref="EY68:EY131" si="75">SUM(EV68:EX68)</f>
        <v>172.48717675072695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5.9431089743589762</v>
      </c>
      <c r="N69" s="13">
        <f>IF('Données projet'!$A$36&gt;35,N68+M69-V68,IF(A69&lt;'Données projet'!$A$36,$K$205^A69,IF(A69='Données projet'!$A$36,'Données projet'!$B$36,N68+M69-V68)))</f>
        <v>161.91586538461539</v>
      </c>
      <c r="O69" s="13">
        <f>N69*VLOOKUP('Données projet'!$B$9,Paramètres!$A$1:$I$89,3,0)*VLOOKUP('Données projet'!$B$9,Paramètres!$A$1:$I$89,5,0)</f>
        <v>146.501475</v>
      </c>
      <c r="P69" s="13">
        <f t="shared" ref="P69:P132" si="87">EXP(-1.0587+0.8836*LN(O69)+0.284)</f>
        <v>37.782444550133206</v>
      </c>
      <c r="Q69" s="20">
        <f t="shared" si="54"/>
        <v>320.96115988314858</v>
      </c>
      <c r="R69" s="59">
        <f t="shared" si="55"/>
        <v>585.41421900033561</v>
      </c>
      <c r="S69" s="59">
        <f ca="1">AVERAGE(OFFSET($R$3,0,0,'Données projet'!$E$9+1,1))-AVERAGE(OFFSET($H$3,0,0,'Données projet'!$E$9+1,1))</f>
        <v>388.1278150896951</v>
      </c>
      <c r="T69" s="59">
        <f t="shared" ref="T69:T132" si="88">$T$3</f>
        <v>232.26614607059227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0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5.9431089743589762</v>
      </c>
      <c r="AI69" s="13">
        <f>IF('Données projet'!$A$62&gt;35,AI68+AH69-AQ68,IF(A69&lt;'Données projet'!$A$62,$AF$205^A69,IF(A69='Données projet'!$A$62,'Données projet'!$B$62,AI68+AH69-AQ68)))</f>
        <v>161.91586538461539</v>
      </c>
      <c r="AJ69" s="13">
        <f>AI69*VLOOKUP('Données projet'!$B$10,Paramètres!$A$1:$I$89,3,0)*VLOOKUP('Données projet'!$B$10,Paramètres!$A$1:$I$89,5,0)</f>
        <v>164.18268750000001</v>
      </c>
      <c r="AK69" s="13">
        <f t="shared" ref="AK69:AK132" si="89">EXP(-1.0587+0.8836*LN(AJ69)+0.284)</f>
        <v>41.784510657121224</v>
      </c>
      <c r="AL69" s="20">
        <f t="shared" si="58"/>
        <v>358.72620345698607</v>
      </c>
      <c r="AM69" s="59">
        <f t="shared" si="59"/>
        <v>623.17926257417321</v>
      </c>
      <c r="AN69" s="59">
        <f ca="1">AVERAGE(OFFSET($AM$3,0,0,'Données projet'!$E$10+1,1))-AVERAGE(OFFSET($H$3,0,0,'Données projet'!$E$10+1,1))</f>
        <v>424.89201140676084</v>
      </c>
      <c r="AO69" s="59">
        <f t="shared" ref="AO69:AO132" si="90">$AO$3</f>
        <v>253.0016648946303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5.9431089743589762</v>
      </c>
      <c r="BD69" s="12">
        <f>IF('Données projet'!$A$88&gt;35,BD68+BC69-BL68,IF(A69&lt;'Données projet'!$A$88,$BA$205^A69,IF(A69='Données projet'!$A$88,'Données projet'!$B$88,BD68+BC69-BL68)))</f>
        <v>161.91586538461539</v>
      </c>
      <c r="BE69" s="13">
        <f>BD69*VLOOKUP('Données projet'!$B$11,Paramètres!$A$1:$I$89,3,0)*VLOOKUP('Données projet'!$B$11,Paramètres!$A$1:$I$89,5,0)</f>
        <v>154.0791375</v>
      </c>
      <c r="BF69" s="13">
        <f t="shared" ref="BF69:BF132" si="91">EXP(-1.0587+0.8836*LN(BE69)+0.284)</f>
        <v>39.504131726932535</v>
      </c>
      <c r="BG69" s="20">
        <f t="shared" si="61"/>
        <v>337.15752723690747</v>
      </c>
      <c r="BH69" s="59">
        <f t="shared" si="62"/>
        <v>601.61058635409449</v>
      </c>
      <c r="BI69" s="59">
        <f ca="1">AVERAGE(OFFSET($BH$3,0,0,'Données projet'!$E$11+1,1))-AVERAGE(OFFSET($H$3,0,0,'Données projet'!$E$11+1,1))</f>
        <v>403.89478276355294</v>
      </c>
      <c r="BJ69" s="59">
        <f t="shared" ref="BJ69:BJ132" si="92">$BJ$3</f>
        <v>241.1593989733278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0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4.5999999999999996</v>
      </c>
      <c r="BY69" s="12">
        <f>IF('Données projet'!$A$114&gt;35,BY68+BX69-CG68,IF(A69&lt;'Données projet'!$A$114,$BV$205^A69,IF(A69='Données projet'!$A$114,'Données projet'!$B$114,BY68+BX69-CG68)))</f>
        <v>297.59999999999985</v>
      </c>
      <c r="BZ69" s="13">
        <f>BY69*VLOOKUP('Données projet'!$B$12,Paramètres!$A$1:$I$89,3,0)*VLOOKUP('Données projet'!$B$12,Paramètres!$A$1:$I$89,5,0)</f>
        <v>236.7705599999999</v>
      </c>
      <c r="CA69" s="13">
        <f t="shared" ref="CA69:CA132" si="93">EXP(-1.0587+0.8836*LN(BZ69)+0.284)</f>
        <v>57.744153841586879</v>
      </c>
      <c r="CB69" s="20">
        <f t="shared" si="64"/>
        <v>512.9464599407637</v>
      </c>
      <c r="CC69" s="59">
        <f t="shared" si="65"/>
        <v>777.39951905795078</v>
      </c>
      <c r="CD69" s="59">
        <f ca="1">AVERAGE(OFFSET($CC$3,0,0,'Données projet'!$E$12+1,1))-AVERAGE(OFFSET($H$3,0,0,'Données projet'!$E$12+1,1))</f>
        <v>377.27600411578322</v>
      </c>
      <c r="CE69" s="59">
        <f t="shared" ref="CE69:CE132" si="94">$CE$3</f>
        <v>364.58250627635425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40.744156994461932</v>
      </c>
      <c r="CL69" s="21">
        <f>EXP(-LN(2)/25)*CL68+(1-EXP(-LN(2)/25))/(LN(2)/25)*Calculateur!CG69*Calculateur!CI69*VLOOKUP('Données projet'!$B$12,Paramètres!$A$1:$I$89,3,0)*0.475*44/12</f>
        <v>10.446291302852767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51.190448297314703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8.6666666666666661</v>
      </c>
      <c r="CT69" s="12">
        <f>IF('Données projet'!$A$140&gt;35,CT68+CS69-DB68,IF(A69&lt;'Données projet'!$A$140,$CQ$205^A69,IF(A69='Données projet'!$A$140,'Données projet'!$B$140,CT68+CS69-DB68)))</f>
        <v>302.00000000000011</v>
      </c>
      <c r="CU69" s="17">
        <f>CT69*VLOOKUP('Données projet'!$B$13,Paramètres!$A$1:$I$89,3,0)*VLOOKUP('Données projet'!$B$13,Paramètres!$A$1:$I$89,5,0)</f>
        <v>235.56000000000009</v>
      </c>
      <c r="CV69" s="13">
        <f t="shared" ref="CV69:CV132" si="95">EXP(-1.0587+0.8836*LN(CU69)+0.284)</f>
        <v>57.483207143847771</v>
      </c>
      <c r="CW69" s="20">
        <f t="shared" si="67"/>
        <v>510.38358577553487</v>
      </c>
      <c r="CX69" s="59">
        <f t="shared" si="68"/>
        <v>774.83664489272201</v>
      </c>
      <c r="CY69" s="59">
        <f ca="1">AVERAGE(OFFSET($CX$3,0,0,'Données projet'!$E$13+1,1))-AVERAGE(OFFSET($H$3,0,0,'Données projet'!$E$13+1,1))</f>
        <v>308.82719216177946</v>
      </c>
      <c r="CZ69" s="59">
        <f t="shared" ref="CZ69:CZ132" si="96">$CZ$3</f>
        <v>302.59481222418219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21.57083497934622</v>
      </c>
      <c r="DG69" s="21">
        <f>EXP(-LN(2)/25)*DG68+(1-EXP(-LN(2)/25))/(LN(2)/25)*Calculateur!DB69*Calculateur!DD69*VLOOKUP('Données projet'!$B$13,Paramètres!$A$1:$I$89,3,0)*0.475*44/12</f>
        <v>21.468912112275071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43.039747091621294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304.99999999999983</v>
      </c>
      <c r="DP69" s="17">
        <f>DO69*VLOOKUP('Données projet'!$B$14,Paramètres!$A$1:$I$89,3,0)*VLOOKUP('Données projet'!$B$14,Paramètres!$A$1:$I$89,5,0)</f>
        <v>275.96399999999983</v>
      </c>
      <c r="DQ69" s="13">
        <f t="shared" ref="DQ69:DQ132" si="97">EXP(-1.0587+0.8836*LN(DP69)+0.284)</f>
        <v>66.113366665488854</v>
      </c>
      <c r="DR69" s="20">
        <f t="shared" si="70"/>
        <v>595.78474694239264</v>
      </c>
      <c r="DS69" s="59">
        <f t="shared" si="71"/>
        <v>860.23780605957973</v>
      </c>
      <c r="DT69" s="59">
        <f ca="1">AVERAGE(OFFSET($DS$3,0,0,'Données projet'!$E$14+1,1))-AVERAGE(OFFSET($H$3,0,0,'Données projet'!$E$14+1,1))</f>
        <v>376.51107072413777</v>
      </c>
      <c r="DU69" s="59">
        <f t="shared" ref="DU69:DU132" si="98">$DU$3</f>
        <v>532.90758914457615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0.79228636370251326</v>
      </c>
      <c r="EB69" s="21">
        <f>EXP(-LN(2)/25)*EB68+(1-EXP(-LN(2)/25))/(LN(2)/25)*Calculateur!DW69*Calculateur!DY69*VLOOKUP('Données projet'!$B$14,Paramètres!$A$1:$I$89,3,0)*0.475*44/12</f>
        <v>2.7211340126892036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3.5134203763917169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-1.7053025658242404E-13</v>
      </c>
      <c r="EK69" s="17">
        <f>EJ69*VLOOKUP('Données projet'!$B$15,Paramètres!$A$1:$I$89,3,0)*VLOOKUP('Données projet'!$B$15,Paramètres!$A$1:$I$89,5,0)</f>
        <v>-1.0197709343628959E-13</v>
      </c>
      <c r="EL69" s="13" t="e">
        <f t="shared" ref="EL69:EL132" si="99">EXP(-1.0587+0.8836*LN(EK69)+0.284)</f>
        <v>#NUM!</v>
      </c>
      <c r="EM69" s="20" t="e">
        <f t="shared" si="73"/>
        <v>#NUM!</v>
      </c>
      <c r="EN69" s="59" t="e">
        <f t="shared" si="74"/>
        <v>#NUM!</v>
      </c>
      <c r="EO69" s="59">
        <f ca="1">AVERAGE(OFFSET($EN$3,0,0,'Données projet'!$E$15+1,1))-AVERAGE(OFFSET($H$3,0,0,'Données projet'!$E$15+1,1))</f>
        <v>337.99164391755608</v>
      </c>
      <c r="EP69" s="59">
        <f t="shared" ref="EP69:EP132" si="100">$EP$3</f>
        <v>421.45428231923393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133.58991284916843</v>
      </c>
      <c r="EW69" s="21">
        <f>EXP(-LN(2)/25)*EW68+(1-EXP(-LN(2)/25))/(LN(2)/25)*Calculateur!ER69*Calculateur!ET69*VLOOKUP('Données projet'!$B$15,Paramètres!$A$1:$I$89,3,0)*0.475*44/12</f>
        <v>33.497773853603114</v>
      </c>
      <c r="EX69" s="21">
        <f>EXP(-LN(2)/2)*EX68+(1-EXP(-LN(2)/2))/(LN(2)/2)*ER69*EU69*VLOOKUP('Données projet'!$B$15,Paramètres!$A$1:$I$89,3,0)*0.475*44/12</f>
        <v>1.2626990919627974</v>
      </c>
      <c r="EY69" s="22">
        <f t="shared" si="75"/>
        <v>168.35038579473434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>
        <f>VLOOKUP(A70,'Données projet'!$A$35:$I$55,2,0)</f>
        <v>167.85897435897436</v>
      </c>
      <c r="L70" s="12">
        <f>VLOOKUP(A70,'Données projet'!$A$35:$I$55,9,0)</f>
        <v>5.9431089743589762</v>
      </c>
      <c r="M70" s="12">
        <f t="array" ref="M70">INDEX(L:L,MIN(IF(ISNUMBER(L70:L266),ROW(L70:L266),"")))</f>
        <v>5.9431089743589762</v>
      </c>
      <c r="N70" s="13">
        <f>IF('Données projet'!$A$36&gt;35,N69+M70-V69,IF(A70&lt;'Données projet'!$A$36,$K$205^A70,IF(A70='Données projet'!$A$36,'Données projet'!$B$36,N69+M70-V69)))</f>
        <v>167.85897435897436</v>
      </c>
      <c r="O70" s="13">
        <f>N70*VLOOKUP('Données projet'!$B$9,Paramètres!$A$1:$I$89,3,0)*VLOOKUP('Données projet'!$B$9,Paramètres!$A$1:$I$89,5,0)</f>
        <v>151.87880000000001</v>
      </c>
      <c r="P70" s="13">
        <f t="shared" si="87"/>
        <v>39.005239858021888</v>
      </c>
      <c r="Q70" s="20">
        <f t="shared" si="54"/>
        <v>332.45636941938818</v>
      </c>
      <c r="R70" s="59">
        <f t="shared" si="55"/>
        <v>597.41043672760509</v>
      </c>
      <c r="S70" s="59">
        <f ca="1">AVERAGE(OFFSET($R$3,0,0,'Données projet'!$E$9+1,1))-AVERAGE(OFFSET($H$3,0,0,'Données projet'!$E$9+1,1))</f>
        <v>388.1278150896951</v>
      </c>
      <c r="T70" s="59">
        <f t="shared" si="88"/>
        <v>232.26614607059227</v>
      </c>
      <c r="U70" s="15">
        <f>IF(ISNA(VLOOKUP(A70,'Données projet'!$A$35:$I$55,3,0)),0,VLOOKUP(A70,'Données projet'!$A$35:$I$55,3,0))</f>
        <v>4</v>
      </c>
      <c r="V70" s="15">
        <f>IF(ISNA(VLOOKUP(A70,'Données projet'!$A$35:$I$55,4,0)),0,VLOOKUP(A70,'Données projet'!$A$35:$I$55,4,0))</f>
        <v>31.993589743589741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0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>
        <f>VLOOKUP(A70,'Données projet'!$A$61:$I$81,2,0)</f>
        <v>167.85897435897436</v>
      </c>
      <c r="AG70" s="12">
        <f>VLOOKUP(A70,'Données projet'!$A$61:$I$81,9,0)</f>
        <v>5.9431089743589762</v>
      </c>
      <c r="AH70" s="12">
        <f t="array" ref="AH70">INDEX(AG:AG,MIN(IF(ISNUMBER(AG70:AG266),ROW(AG70:AG266),"")))</f>
        <v>5.9431089743589762</v>
      </c>
      <c r="AI70" s="13">
        <f>IF('Données projet'!$A$62&gt;35,AI69+AH70-AQ69,IF(A70&lt;'Données projet'!$A$62,$AF$205^A70,IF(A70='Données projet'!$A$62,'Données projet'!$B$62,AI69+AH70-AQ69)))</f>
        <v>167.85897435897436</v>
      </c>
      <c r="AJ70" s="13">
        <f>AI70*VLOOKUP('Données projet'!$B$10,Paramètres!$A$1:$I$89,3,0)*VLOOKUP('Données projet'!$B$10,Paramètres!$A$1:$I$89,5,0)</f>
        <v>170.209</v>
      </c>
      <c r="AK70" s="13">
        <f t="shared" si="89"/>
        <v>43.136829285053246</v>
      </c>
      <c r="AL70" s="20">
        <f t="shared" si="58"/>
        <v>371.57731933813437</v>
      </c>
      <c r="AM70" s="59">
        <f t="shared" si="59"/>
        <v>636.53138664635128</v>
      </c>
      <c r="AN70" s="59">
        <f ca="1">AVERAGE(OFFSET($AM$3,0,0,'Données projet'!$E$10+1,1))-AVERAGE(OFFSET($H$3,0,0,'Données projet'!$E$10+1,1))</f>
        <v>424.89201140676084</v>
      </c>
      <c r="AO70" s="59">
        <f t="shared" si="90"/>
        <v>253.0016648946303</v>
      </c>
      <c r="AP70" s="15">
        <f>IF(ISNA(VLOOKUP(A70,'Données projet'!$A$61:$I$81,3,0)),0,VLOOKUP(A70,'Données projet'!$A$61:$I$81,3,0))</f>
        <v>4</v>
      </c>
      <c r="AQ70" s="15">
        <f>IF(ISNA(VLOOKUP(A70,'Données projet'!$A$61:$I$81,4,0)),0,VLOOKUP(A70,'Données projet'!$A$61:$I$81,4,0))</f>
        <v>31.993589743589741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>
        <f>VLOOKUP(A70,'Données projet'!$A$87:$I$107,2,0)</f>
        <v>167.85897435897436</v>
      </c>
      <c r="BB70" s="12">
        <f>VLOOKUP(A70,'Données projet'!$A$87:$I$107,9,0)</f>
        <v>5.9431089743589762</v>
      </c>
      <c r="BC70" s="12">
        <f t="array" ref="BC70">INDEX(BB:BB,MIN(IF(ISNUMBER(BB70:BB266),ROW(BB70:BB266),"")))</f>
        <v>5.9431089743589762</v>
      </c>
      <c r="BD70" s="12">
        <f>IF('Données projet'!$A$88&gt;35,BD69+BC70-BL69,IF(A70&lt;'Données projet'!$A$88,$BA$205^A70,IF(A70='Données projet'!$A$88,'Données projet'!$B$88,BD69+BC70-BL69)))</f>
        <v>167.85897435897436</v>
      </c>
      <c r="BE70" s="13">
        <f>BD70*VLOOKUP('Données projet'!$B$11,Paramètres!$A$1:$I$89,3,0)*VLOOKUP('Données projet'!$B$11,Paramètres!$A$1:$I$89,5,0)</f>
        <v>159.7346</v>
      </c>
      <c r="BF70" s="13">
        <f t="shared" si="91"/>
        <v>40.782647913300906</v>
      </c>
      <c r="BG70" s="20">
        <f t="shared" si="61"/>
        <v>349.23420678233242</v>
      </c>
      <c r="BH70" s="59">
        <f t="shared" si="62"/>
        <v>614.18827409054938</v>
      </c>
      <c r="BI70" s="59">
        <f ca="1">AVERAGE(OFFSET($BH$3,0,0,'Données projet'!$E$11+1,1))-AVERAGE(OFFSET($H$3,0,0,'Données projet'!$E$11+1,1))</f>
        <v>403.89478276355294</v>
      </c>
      <c r="BJ70" s="59">
        <f t="shared" si="92"/>
        <v>241.1593989733278</v>
      </c>
      <c r="BK70" s="15">
        <f>IF(ISNA(VLOOKUP(A70,'Données projet'!$A$87:$I$107,3,0)),0,VLOOKUP(A70,'Données projet'!$A$87:$I$107,3,0))</f>
        <v>4</v>
      </c>
      <c r="BL70" s="15">
        <f>IF(ISNA(VLOOKUP(A70,'Données projet'!$A$87:$I$107,4,0)),0,VLOOKUP(A70,'Données projet'!$A$87:$I$107,4,0))</f>
        <v>31.993589743589741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0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4.5999999999999996</v>
      </c>
      <c r="BY70" s="12">
        <f>IF('Données projet'!$A$114&gt;35,BY69+BX70-CG69,IF(A70&lt;'Données projet'!$A$114,$BV$205^A70,IF(A70='Données projet'!$A$114,'Données projet'!$B$114,BY69+BX70-CG69)))</f>
        <v>302.19999999999987</v>
      </c>
      <c r="BZ70" s="13">
        <f>BY70*VLOOKUP('Données projet'!$B$12,Paramètres!$A$1:$I$89,3,0)*VLOOKUP('Données projet'!$B$12,Paramètres!$A$1:$I$89,5,0)</f>
        <v>240.43031999999991</v>
      </c>
      <c r="CA70" s="13">
        <f t="shared" si="93"/>
        <v>58.532106271380506</v>
      </c>
      <c r="CB70" s="20">
        <f t="shared" si="64"/>
        <v>520.69289242265415</v>
      </c>
      <c r="CC70" s="59">
        <f t="shared" si="65"/>
        <v>785.646959730871</v>
      </c>
      <c r="CD70" s="59">
        <f ca="1">AVERAGE(OFFSET($CC$3,0,0,'Données projet'!$E$12+1,1))-AVERAGE(OFFSET($H$3,0,0,'Données projet'!$E$12+1,1))</f>
        <v>377.27600411578322</v>
      </c>
      <c r="CE70" s="59">
        <f t="shared" si="94"/>
        <v>364.58250627635425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39.945188927282423</v>
      </c>
      <c r="CL70" s="21">
        <f>EXP(-LN(2)/25)*CL69+(1-EXP(-LN(2)/25))/(LN(2)/25)*Calculateur!CG70*Calculateur!CI70*VLOOKUP('Données projet'!$B$12,Paramètres!$A$1:$I$89,3,0)*0.475*44/12</f>
        <v>10.160636917829674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50.105825845112093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8.6666666666666661</v>
      </c>
      <c r="CT70" s="12">
        <f>IF('Données projet'!$A$140&gt;35,CT69+CS70-DB69,IF(A70&lt;'Données projet'!$A$140,$CQ$205^A70,IF(A70='Données projet'!$A$140,'Données projet'!$B$140,CT69+CS70-DB69)))</f>
        <v>310.6666666666668</v>
      </c>
      <c r="CU70" s="17">
        <f>CT70*VLOOKUP('Données projet'!$B$13,Paramètres!$A$1:$I$89,3,0)*VLOOKUP('Données projet'!$B$13,Paramètres!$A$1:$I$89,5,0)</f>
        <v>242.32000000000011</v>
      </c>
      <c r="CV70" s="13">
        <f t="shared" si="95"/>
        <v>58.938409961900909</v>
      </c>
      <c r="CW70" s="20">
        <f t="shared" si="67"/>
        <v>524.69173068364421</v>
      </c>
      <c r="CX70" s="59">
        <f t="shared" si="68"/>
        <v>789.64579799186117</v>
      </c>
      <c r="CY70" s="59">
        <f ca="1">AVERAGE(OFFSET($CX$3,0,0,'Données projet'!$E$13+1,1))-AVERAGE(OFFSET($H$3,0,0,'Données projet'!$E$13+1,1))</f>
        <v>308.82719216177946</v>
      </c>
      <c r="CZ70" s="59">
        <f t="shared" si="96"/>
        <v>302.59481222418219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21.147844062311442</v>
      </c>
      <c r="DG70" s="21">
        <f>EXP(-LN(2)/25)*DG69+(1-EXP(-LN(2)/25))/(LN(2)/25)*Calculateur!DB70*Calculateur!DD70*VLOOKUP('Données projet'!$B$13,Paramètres!$A$1:$I$89,3,0)*0.475*44/12</f>
        <v>20.881843581563889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42.029687643875334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304.99999999999983</v>
      </c>
      <c r="DP70" s="17">
        <f>DO70*VLOOKUP('Données projet'!$B$14,Paramètres!$A$1:$I$89,3,0)*VLOOKUP('Données projet'!$B$14,Paramètres!$A$1:$I$89,5,0)</f>
        <v>275.96399999999983</v>
      </c>
      <c r="DQ70" s="13">
        <f t="shared" si="97"/>
        <v>66.113366665488854</v>
      </c>
      <c r="DR70" s="20">
        <f t="shared" si="70"/>
        <v>595.78474694239264</v>
      </c>
      <c r="DS70" s="59">
        <f t="shared" si="71"/>
        <v>860.73881425060949</v>
      </c>
      <c r="DT70" s="59">
        <f ca="1">AVERAGE(OFFSET($DS$3,0,0,'Données projet'!$E$14+1,1))-AVERAGE(OFFSET($H$3,0,0,'Données projet'!$E$14+1,1))</f>
        <v>376.51107072413777</v>
      </c>
      <c r="DU70" s="59">
        <f t="shared" si="98"/>
        <v>532.90758914457615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0.77675011135727212</v>
      </c>
      <c r="EB70" s="21">
        <f>EXP(-LN(2)/25)*EB69+(1-EXP(-LN(2)/25))/(LN(2)/25)*Calculateur!DW70*Calculateur!DY70*VLOOKUP('Données projet'!$B$14,Paramètres!$A$1:$I$89,3,0)*0.475*44/12</f>
        <v>2.6467244600139987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3.4234745713712709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-1.7053025658242404E-13</v>
      </c>
      <c r="EK70" s="17">
        <f>EJ70*VLOOKUP('Données projet'!$B$15,Paramètres!$A$1:$I$89,3,0)*VLOOKUP('Données projet'!$B$15,Paramètres!$A$1:$I$89,5,0)</f>
        <v>-1.0197709343628959E-13</v>
      </c>
      <c r="EL70" s="13" t="e">
        <f t="shared" si="99"/>
        <v>#NUM!</v>
      </c>
      <c r="EM70" s="20" t="e">
        <f t="shared" si="73"/>
        <v>#NUM!</v>
      </c>
      <c r="EN70" s="59" t="e">
        <f t="shared" si="74"/>
        <v>#NUM!</v>
      </c>
      <c r="EO70" s="59">
        <f ca="1">AVERAGE(OFFSET($EN$3,0,0,'Données projet'!$E$15+1,1))-AVERAGE(OFFSET($H$3,0,0,'Données projet'!$E$15+1,1))</f>
        <v>337.99164391755608</v>
      </c>
      <c r="EP70" s="59">
        <f t="shared" si="100"/>
        <v>421.45428231923393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130.9702961399974</v>
      </c>
      <c r="EW70" s="21">
        <f>EXP(-LN(2)/25)*EW69+(1-EXP(-LN(2)/25))/(LN(2)/25)*Calculateur!ER70*Calculateur!ET70*VLOOKUP('Données projet'!$B$15,Paramètres!$A$1:$I$89,3,0)*0.475*44/12</f>
        <v>32.58177546600497</v>
      </c>
      <c r="EX70" s="21">
        <f>EXP(-LN(2)/2)*EX69+(1-EXP(-LN(2)/2))/(LN(2)/2)*ER70*EU70*VLOOKUP('Données projet'!$B$15,Paramètres!$A$1:$I$89,3,0)*0.475*44/12</f>
        <v>0.89286309052499013</v>
      </c>
      <c r="EY70" s="22">
        <f t="shared" si="75"/>
        <v>164.44493469652735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5.6899038461538431</v>
      </c>
      <c r="N71" s="13">
        <f>IF('Données projet'!$A$36&gt;35,N70+M71-V70,IF(A71&lt;'Données projet'!$A$36,$K$205^A71,IF(A71='Données projet'!$A$36,'Données projet'!$B$36,N70+M71-V70)))</f>
        <v>141.55528846153845</v>
      </c>
      <c r="O71" s="13">
        <f>N71*VLOOKUP('Données projet'!$B$9,Paramètres!$A$1:$I$89,3,0)*VLOOKUP('Données projet'!$B$9,Paramètres!$A$1:$I$89,5,0)</f>
        <v>128.07922499999998</v>
      </c>
      <c r="P71" s="13">
        <f t="shared" si="87"/>
        <v>33.552140849481908</v>
      </c>
      <c r="Q71" s="20">
        <f t="shared" si="54"/>
        <v>281.50796218784762</v>
      </c>
      <c r="R71" s="59">
        <f t="shared" si="55"/>
        <v>546.95434631506646</v>
      </c>
      <c r="S71" s="59">
        <f ca="1">AVERAGE(OFFSET($R$3,0,0,'Données projet'!$E$9+1,1))-AVERAGE(OFFSET($H$3,0,0,'Données projet'!$E$9+1,1))</f>
        <v>388.1278150896951</v>
      </c>
      <c r="T71" s="59">
        <f t="shared" si="88"/>
        <v>232.26614607059227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0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5.6899038461538431</v>
      </c>
      <c r="AI71" s="13">
        <f>IF('Données projet'!$A$62&gt;35,AI70+AH71-AQ70,IF(A71&lt;'Données projet'!$A$62,$AF$205^A71,IF(A71='Données projet'!$A$62,'Données projet'!$B$62,AI70+AH71-AQ70)))</f>
        <v>141.55528846153845</v>
      </c>
      <c r="AJ71" s="13">
        <f>AI71*VLOOKUP('Données projet'!$B$10,Paramètres!$A$1:$I$89,3,0)*VLOOKUP('Données projet'!$B$10,Paramètres!$A$1:$I$89,5,0)</f>
        <v>143.53706249999999</v>
      </c>
      <c r="AK71" s="13">
        <f t="shared" si="89"/>
        <v>37.106116440776098</v>
      </c>
      <c r="AL71" s="20">
        <f t="shared" si="58"/>
        <v>314.62020332185165</v>
      </c>
      <c r="AM71" s="59">
        <f t="shared" si="59"/>
        <v>580.06658744907054</v>
      </c>
      <c r="AN71" s="59">
        <f ca="1">AVERAGE(OFFSET($AM$3,0,0,'Données projet'!$E$10+1,1))-AVERAGE(OFFSET($H$3,0,0,'Données projet'!$E$10+1,1))</f>
        <v>424.89201140676084</v>
      </c>
      <c r="AO71" s="59">
        <f t="shared" si="90"/>
        <v>253.0016648946303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5.6899038461538431</v>
      </c>
      <c r="BD71" s="12">
        <f>IF('Données projet'!$A$88&gt;35,BD70+BC71-BL70,IF(A71&lt;'Données projet'!$A$88,$BA$205^A71,IF(A71='Données projet'!$A$88,'Données projet'!$B$88,BD70+BC71-BL70)))</f>
        <v>141.55528846153845</v>
      </c>
      <c r="BE71" s="13">
        <f>BD71*VLOOKUP('Données projet'!$B$11,Paramètres!$A$1:$I$89,3,0)*VLOOKUP('Données projet'!$B$11,Paramètres!$A$1:$I$89,5,0)</f>
        <v>134.70401249999998</v>
      </c>
      <c r="BF71" s="13">
        <f t="shared" si="91"/>
        <v>35.081059672563008</v>
      </c>
      <c r="BG71" s="20">
        <f t="shared" si="61"/>
        <v>295.70900070054716</v>
      </c>
      <c r="BH71" s="59">
        <f t="shared" si="62"/>
        <v>561.15538482776606</v>
      </c>
      <c r="BI71" s="59">
        <f ca="1">AVERAGE(OFFSET($BH$3,0,0,'Données projet'!$E$11+1,1))-AVERAGE(OFFSET($H$3,0,0,'Données projet'!$E$11+1,1))</f>
        <v>403.89478276355294</v>
      </c>
      <c r="BJ71" s="59">
        <f t="shared" si="92"/>
        <v>241.1593989733278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0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4.5999999999999996</v>
      </c>
      <c r="BY71" s="12">
        <f>IF('Données projet'!$A$114&gt;35,BY70+BX71-CG70,IF(A71&lt;'Données projet'!$A$114,$BV$205^A71,IF(A71='Données projet'!$A$114,'Données projet'!$B$114,BY70+BX71-CG70)))</f>
        <v>306.7999999999999</v>
      </c>
      <c r="BZ71" s="13">
        <f>BY71*VLOOKUP('Données projet'!$B$12,Paramètres!$A$1:$I$89,3,0)*VLOOKUP('Données projet'!$B$12,Paramètres!$A$1:$I$89,5,0)</f>
        <v>244.09007999999994</v>
      </c>
      <c r="CA71" s="13">
        <f t="shared" si="93"/>
        <v>59.318663780863893</v>
      </c>
      <c r="CB71" s="20">
        <f t="shared" si="64"/>
        <v>528.43689541833794</v>
      </c>
      <c r="CC71" s="59">
        <f t="shared" si="65"/>
        <v>793.88327954555677</v>
      </c>
      <c r="CD71" s="59">
        <f ca="1">AVERAGE(OFFSET($CC$3,0,0,'Données projet'!$E$12+1,1))-AVERAGE(OFFSET($H$3,0,0,'Données projet'!$E$12+1,1))</f>
        <v>377.27600411578322</v>
      </c>
      <c r="CE71" s="59">
        <f t="shared" si="94"/>
        <v>364.58250627635425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39.1618881365779</v>
      </c>
      <c r="CL71" s="21">
        <f>EXP(-LN(2)/25)*CL70+(1-EXP(-LN(2)/25))/(LN(2)/25)*Calculateur!CG71*Calculateur!CI71*VLOOKUP('Données projet'!$B$12,Paramètres!$A$1:$I$89,3,0)*0.475*44/12</f>
        <v>9.8827937669869481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49.04468190356485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8.6666666666666661</v>
      </c>
      <c r="CT71" s="12">
        <f>IF('Données projet'!$A$140&gt;35,CT70+CS71-DB70,IF(A71&lt;'Données projet'!$A$140,$CQ$205^A71,IF(A71='Données projet'!$A$140,'Données projet'!$B$140,CT70+CS71-DB70)))</f>
        <v>319.33333333333348</v>
      </c>
      <c r="CU71" s="17">
        <f>CT71*VLOOKUP('Données projet'!$B$13,Paramètres!$A$1:$I$89,3,0)*VLOOKUP('Données projet'!$B$13,Paramètres!$A$1:$I$89,5,0)</f>
        <v>249.08000000000013</v>
      </c>
      <c r="CV71" s="13">
        <f t="shared" si="95"/>
        <v>60.388894447487857</v>
      </c>
      <c r="CW71" s="20">
        <f t="shared" si="67"/>
        <v>538.99165782937473</v>
      </c>
      <c r="CX71" s="59">
        <f t="shared" si="68"/>
        <v>804.43804195659357</v>
      </c>
      <c r="CY71" s="59">
        <f ca="1">AVERAGE(OFFSET($CX$3,0,0,'Données projet'!$E$13+1,1))-AVERAGE(OFFSET($H$3,0,0,'Données projet'!$E$13+1,1))</f>
        <v>308.82719216177946</v>
      </c>
      <c r="CZ71" s="59">
        <f t="shared" si="96"/>
        <v>302.59481222418219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20.733147739160732</v>
      </c>
      <c r="DG71" s="21">
        <f>EXP(-LN(2)/25)*DG70+(1-EXP(-LN(2)/25))/(LN(2)/25)*Calculateur!DB71*Calculateur!DD71*VLOOKUP('Données projet'!$B$13,Paramètres!$A$1:$I$89,3,0)*0.475*44/12</f>
        <v>20.310828470697597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41.043976209858329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304.99999999999983</v>
      </c>
      <c r="DP71" s="17">
        <f>DO71*VLOOKUP('Données projet'!$B$14,Paramètres!$A$1:$I$89,3,0)*VLOOKUP('Données projet'!$B$14,Paramètres!$A$1:$I$89,5,0)</f>
        <v>275.96399999999983</v>
      </c>
      <c r="DQ71" s="13">
        <f t="shared" si="97"/>
        <v>66.113366665488854</v>
      </c>
      <c r="DR71" s="20">
        <f t="shared" si="70"/>
        <v>595.78474694239264</v>
      </c>
      <c r="DS71" s="59">
        <f t="shared" si="71"/>
        <v>861.23113106961148</v>
      </c>
      <c r="DT71" s="59">
        <f ca="1">AVERAGE(OFFSET($DS$3,0,0,'Données projet'!$E$14+1,1))-AVERAGE(OFFSET($H$3,0,0,'Données projet'!$E$14+1,1))</f>
        <v>376.51107072413777</v>
      </c>
      <c r="DU71" s="59">
        <f t="shared" si="98"/>
        <v>532.90758914457615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0.76151851544434301</v>
      </c>
      <c r="EB71" s="21">
        <f>EXP(-LN(2)/25)*EB70+(1-EXP(-LN(2)/25))/(LN(2)/25)*Calculateur!DW71*Calculateur!DY71*VLOOKUP('Données projet'!$B$14,Paramètres!$A$1:$I$89,3,0)*0.475*44/12</f>
        <v>2.5743496404697259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3.3358681559140688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-1.7053025658242404E-13</v>
      </c>
      <c r="EK71" s="17">
        <f>EJ71*VLOOKUP('Données projet'!$B$15,Paramètres!$A$1:$I$89,3,0)*VLOOKUP('Données projet'!$B$15,Paramètres!$A$1:$I$89,5,0)</f>
        <v>-1.0197709343628959E-13</v>
      </c>
      <c r="EL71" s="13" t="e">
        <f t="shared" si="99"/>
        <v>#NUM!</v>
      </c>
      <c r="EM71" s="20" t="e">
        <f t="shared" si="73"/>
        <v>#NUM!</v>
      </c>
      <c r="EN71" s="59" t="e">
        <f t="shared" si="74"/>
        <v>#NUM!</v>
      </c>
      <c r="EO71" s="59">
        <f ca="1">AVERAGE(OFFSET($EN$3,0,0,'Données projet'!$E$15+1,1))-AVERAGE(OFFSET($H$3,0,0,'Données projet'!$E$15+1,1))</f>
        <v>337.99164391755608</v>
      </c>
      <c r="EP71" s="59">
        <f t="shared" si="100"/>
        <v>421.45428231923393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128.4020485166848</v>
      </c>
      <c r="EW71" s="21">
        <f>EXP(-LN(2)/25)*EW70+(1-EXP(-LN(2)/25))/(LN(2)/25)*Calculateur!ER71*Calculateur!ET71*VLOOKUP('Données projet'!$B$15,Paramètres!$A$1:$I$89,3,0)*0.475*44/12</f>
        <v>31.69082510248596</v>
      </c>
      <c r="EX71" s="21">
        <f>EXP(-LN(2)/2)*EX70+(1-EXP(-LN(2)/2))/(LN(2)/2)*ER71*EU71*VLOOKUP('Données projet'!$B$15,Paramètres!$A$1:$I$89,3,0)*0.475*44/12</f>
        <v>0.63134954598139881</v>
      </c>
      <c r="EY71" s="22">
        <f t="shared" si="75"/>
        <v>160.72422316515215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5.6899038461538431</v>
      </c>
      <c r="N72" s="13">
        <f>IF('Données projet'!$A$36&gt;35,N71+M72-V71,IF(A72&lt;'Données projet'!$A$36,$K$205^A72,IF(A72='Données projet'!$A$36,'Données projet'!$B$36,N71+M72-V71)))</f>
        <v>147.24519230769229</v>
      </c>
      <c r="O72" s="13">
        <f>N72*VLOOKUP('Données projet'!$B$9,Paramètres!$A$1:$I$89,3,0)*VLOOKUP('Données projet'!$B$9,Paramètres!$A$1:$I$89,5,0)</f>
        <v>133.22744999999998</v>
      </c>
      <c r="P72" s="13">
        <f t="shared" si="87"/>
        <v>34.741060528773644</v>
      </c>
      <c r="Q72" s="20">
        <f t="shared" si="54"/>
        <v>292.545155837614</v>
      </c>
      <c r="R72" s="59">
        <f t="shared" si="55"/>
        <v>558.47531618768062</v>
      </c>
      <c r="S72" s="59">
        <f ca="1">AVERAGE(OFFSET($R$3,0,0,'Données projet'!$E$9+1,1))-AVERAGE(OFFSET($H$3,0,0,'Données projet'!$E$9+1,1))</f>
        <v>388.1278150896951</v>
      </c>
      <c r="T72" s="59">
        <f t="shared" si="88"/>
        <v>232.26614607059227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0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5.6899038461538431</v>
      </c>
      <c r="AI72" s="13">
        <f>IF('Données projet'!$A$62&gt;35,AI71+AH72-AQ71,IF(A72&lt;'Données projet'!$A$62,$AF$205^A72,IF(A72='Données projet'!$A$62,'Données projet'!$B$62,AI71+AH72-AQ71)))</f>
        <v>147.24519230769229</v>
      </c>
      <c r="AJ72" s="13">
        <f>AI72*VLOOKUP('Données projet'!$B$10,Paramètres!$A$1:$I$89,3,0)*VLOOKUP('Données projet'!$B$10,Paramètres!$A$1:$I$89,5,0)</f>
        <v>149.306625</v>
      </c>
      <c r="AK72" s="13">
        <f t="shared" si="89"/>
        <v>38.420971199416954</v>
      </c>
      <c r="AL72" s="20">
        <f t="shared" si="58"/>
        <v>326.95889671398453</v>
      </c>
      <c r="AM72" s="59">
        <f t="shared" si="59"/>
        <v>592.88905706405103</v>
      </c>
      <c r="AN72" s="59">
        <f ca="1">AVERAGE(OFFSET($AM$3,0,0,'Données projet'!$E$10+1,1))-AVERAGE(OFFSET($H$3,0,0,'Données projet'!$E$10+1,1))</f>
        <v>424.89201140676084</v>
      </c>
      <c r="AO72" s="59">
        <f t="shared" si="90"/>
        <v>253.0016648946303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5.6899038461538431</v>
      </c>
      <c r="BD72" s="12">
        <f>IF('Données projet'!$A$88&gt;35,BD71+BC72-BL71,IF(A72&lt;'Données projet'!$A$88,$BA$205^A72,IF(A72='Données projet'!$A$88,'Données projet'!$B$88,BD71+BC72-BL71)))</f>
        <v>147.24519230769229</v>
      </c>
      <c r="BE72" s="13">
        <f>BD72*VLOOKUP('Données projet'!$B$11,Paramètres!$A$1:$I$89,3,0)*VLOOKUP('Données projet'!$B$11,Paramètres!$A$1:$I$89,5,0)</f>
        <v>140.11852499999998</v>
      </c>
      <c r="BF72" s="13">
        <f t="shared" si="91"/>
        <v>36.324156570678291</v>
      </c>
      <c r="BG72" s="20">
        <f t="shared" si="61"/>
        <v>307.30433706893126</v>
      </c>
      <c r="BH72" s="59">
        <f t="shared" si="62"/>
        <v>573.23449741899776</v>
      </c>
      <c r="BI72" s="59">
        <f ca="1">AVERAGE(OFFSET($BH$3,0,0,'Données projet'!$E$11+1,1))-AVERAGE(OFFSET($H$3,0,0,'Données projet'!$E$11+1,1))</f>
        <v>403.89478276355294</v>
      </c>
      <c r="BJ72" s="59">
        <f t="shared" si="92"/>
        <v>241.1593989733278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0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4.5999999999999996</v>
      </c>
      <c r="BY72" s="12">
        <f>IF('Données projet'!$A$114&gt;35,BY71+BX72-CG71,IF(A72&lt;'Données projet'!$A$114,$BV$205^A72,IF(A72='Données projet'!$A$114,'Données projet'!$B$114,BY71+BX72-CG71)))</f>
        <v>311.39999999999992</v>
      </c>
      <c r="BZ72" s="13">
        <f>BY72*VLOOKUP('Données projet'!$B$12,Paramètres!$A$1:$I$89,3,0)*VLOOKUP('Données projet'!$B$12,Paramètres!$A$1:$I$89,5,0)</f>
        <v>247.74983999999995</v>
      </c>
      <c r="CA72" s="13">
        <f t="shared" si="93"/>
        <v>60.103849700617872</v>
      </c>
      <c r="CB72" s="20">
        <f t="shared" si="64"/>
        <v>536.17850956190932</v>
      </c>
      <c r="CC72" s="59">
        <f t="shared" si="65"/>
        <v>802.10866991197588</v>
      </c>
      <c r="CD72" s="59">
        <f ca="1">AVERAGE(OFFSET($CC$3,0,0,'Données projet'!$E$12+1,1))-AVERAGE(OFFSET($H$3,0,0,'Données projet'!$E$12+1,1))</f>
        <v>377.27600411578322</v>
      </c>
      <c r="CE72" s="59">
        <f t="shared" si="94"/>
        <v>364.58250627635425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38.393947396612788</v>
      </c>
      <c r="CL72" s="21">
        <f>EXP(-LN(2)/25)*CL71+(1-EXP(-LN(2)/25))/(LN(2)/25)*Calculateur!CG72*Calculateur!CI72*VLOOKUP('Données projet'!$B$12,Paramètres!$A$1:$I$89,3,0)*0.475*44/12</f>
        <v>9.6125482517151539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48.006495648327942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>
        <f>VLOOKUP(A72,'Données projet'!$A$139:$I$159,2,0)</f>
        <v>328</v>
      </c>
      <c r="CR72" s="12">
        <f>VLOOKUP(A72,'Données projet'!$A$139:$I$159,9,0)</f>
        <v>8.6666666666666661</v>
      </c>
      <c r="CS72" s="12">
        <f t="array" ref="CS72">INDEX(CR:CR,MIN(IF(ISNUMBER(CR72:CR268),ROW(CR72:CR268),"")))</f>
        <v>8.6666666666666661</v>
      </c>
      <c r="CT72" s="12">
        <f>IF('Données projet'!$A$140&gt;35,CT71+CS72-DB71,IF(A72&lt;'Données projet'!$A$140,$CQ$205^A72,IF(A72='Données projet'!$A$140,'Données projet'!$B$140,CT71+CS72-DB71)))</f>
        <v>328.00000000000017</v>
      </c>
      <c r="CU72" s="17">
        <f>CT72*VLOOKUP('Données projet'!$B$13,Paramètres!$A$1:$I$89,3,0)*VLOOKUP('Données projet'!$B$13,Paramètres!$A$1:$I$89,5,0)</f>
        <v>255.84000000000015</v>
      </c>
      <c r="CV72" s="13">
        <f t="shared" si="95"/>
        <v>61.834803371075886</v>
      </c>
      <c r="CW72" s="20">
        <f t="shared" si="67"/>
        <v>553.28361587129086</v>
      </c>
      <c r="CX72" s="59">
        <f t="shared" si="68"/>
        <v>819.21377622135742</v>
      </c>
      <c r="CY72" s="59">
        <f ca="1">AVERAGE(OFFSET($CX$3,0,0,'Données projet'!$E$13+1,1))-AVERAGE(OFFSET($H$3,0,0,'Données projet'!$E$13+1,1))</f>
        <v>308.82719216177946</v>
      </c>
      <c r="CZ72" s="59">
        <f t="shared" si="96"/>
        <v>302.59481222418219</v>
      </c>
      <c r="DA72" s="15" t="str">
        <f>IF(ISNA(VLOOKUP(A72,'Données projet'!$A$139:$I$159,3,0)),0,VLOOKUP(A72,'Données projet'!$A$139:$I$159,3,0))</f>
        <v>CR</v>
      </c>
      <c r="DB72" s="15">
        <f>IF(ISNA(VLOOKUP(A72,'Données projet'!$A$139:$I$159,4,0)),0,VLOOKUP(A72,'Données projet'!$A$139:$I$159,4,0))</f>
        <v>328</v>
      </c>
      <c r="DC72" s="16">
        <f>IF(ISNA(VLOOKUP(A72,'Données projet'!$A$139:$I$159,5,0)),0%,VLOOKUP(A72,'Données projet'!$A$139:$I$159,5,0)*VLOOKUP('Données projet'!$B$13,Paramètres!$A$1:$I$89,7,0))</f>
        <v>0.215</v>
      </c>
      <c r="DD72" s="16">
        <f>IF(ISNA(VLOOKUP(A72,'Données projet'!$A$139:$I$159,6,0)),0%,VLOOKUP(A72,'Données projet'!$A$139:$I$159,6,0)*VLOOKUP('Données projet'!$B$13,Paramètres!$A$1:$I$89,7,0))</f>
        <v>0.17200000000000001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81.133644866404865</v>
      </c>
      <c r="DG72" s="21">
        <f>EXP(-LN(2)/25)*DG71+(1-EXP(-LN(2)/25))/(LN(2)/25)*Calculateur!DB72*Calculateur!DD72*VLOOKUP('Données projet'!$B$13,Paramètres!$A$1:$I$89,3,0)*0.475*44/12</f>
        <v>68.209540548443968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149.34318541484885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304.99999999999983</v>
      </c>
      <c r="DP72" s="17">
        <f>DO72*VLOOKUP('Données projet'!$B$14,Paramètres!$A$1:$I$89,3,0)*VLOOKUP('Données projet'!$B$14,Paramètres!$A$1:$I$89,5,0)</f>
        <v>275.96399999999983</v>
      </c>
      <c r="DQ72" s="13">
        <f t="shared" si="97"/>
        <v>66.113366665488854</v>
      </c>
      <c r="DR72" s="20">
        <f t="shared" si="70"/>
        <v>595.78474694239264</v>
      </c>
      <c r="DS72" s="59">
        <f t="shared" si="71"/>
        <v>861.7149072924592</v>
      </c>
      <c r="DT72" s="59">
        <f ca="1">AVERAGE(OFFSET($DS$3,0,0,'Données projet'!$E$14+1,1))-AVERAGE(OFFSET($H$3,0,0,'Données projet'!$E$14+1,1))</f>
        <v>376.51107072413777</v>
      </c>
      <c r="DU72" s="59">
        <f t="shared" si="98"/>
        <v>532.90758914457615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0.74658560183691025</v>
      </c>
      <c r="EB72" s="21">
        <f>EXP(-LN(2)/25)*EB71+(1-EXP(-LN(2)/25))/(LN(2)/25)*Calculateur!DW72*Calculateur!DY72*VLOOKUP('Données projet'!$B$14,Paramètres!$A$1:$I$89,3,0)*0.475*44/12</f>
        <v>2.5039539141719174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3.2505395160088275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-1.7053025658242404E-13</v>
      </c>
      <c r="EK72" s="17">
        <f>EJ72*VLOOKUP('Données projet'!$B$15,Paramètres!$A$1:$I$89,3,0)*VLOOKUP('Données projet'!$B$15,Paramètres!$A$1:$I$89,5,0)</f>
        <v>-1.0197709343628959E-13</v>
      </c>
      <c r="EL72" s="13" t="e">
        <f t="shared" si="99"/>
        <v>#NUM!</v>
      </c>
      <c r="EM72" s="20" t="e">
        <f t="shared" si="73"/>
        <v>#NUM!</v>
      </c>
      <c r="EN72" s="59" t="e">
        <f t="shared" si="74"/>
        <v>#NUM!</v>
      </c>
      <c r="EO72" s="59">
        <f ca="1">AVERAGE(OFFSET($EN$3,0,0,'Données projet'!$E$15+1,1))-AVERAGE(OFFSET($H$3,0,0,'Données projet'!$E$15+1,1))</f>
        <v>337.99164391755608</v>
      </c>
      <c r="EP72" s="59">
        <f t="shared" si="100"/>
        <v>421.45428231923393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125.884162662789</v>
      </c>
      <c r="EW72" s="21">
        <f>EXP(-LN(2)/25)*EW71+(1-EXP(-LN(2)/25))/(LN(2)/25)*Calculateur!ER72*Calculateur!ET72*VLOOKUP('Données projet'!$B$15,Paramètres!$A$1:$I$89,3,0)*0.475*44/12</f>
        <v>30.824237823510419</v>
      </c>
      <c r="EX72" s="21">
        <f>EXP(-LN(2)/2)*EX71+(1-EXP(-LN(2)/2))/(LN(2)/2)*ER72*EU72*VLOOKUP('Données projet'!$B$15,Paramètres!$A$1:$I$89,3,0)*0.475*44/12</f>
        <v>0.44643154526249512</v>
      </c>
      <c r="EY72" s="22">
        <f t="shared" si="75"/>
        <v>157.15483203156191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5.6899038461538431</v>
      </c>
      <c r="N73" s="13">
        <f>IF('Données projet'!$A$36&gt;35,N72+M73-V72,IF(A73&lt;'Données projet'!$A$36,$K$205^A73,IF(A73='Données projet'!$A$36,'Données projet'!$B$36,N72+M73-V72)))</f>
        <v>152.93509615384613</v>
      </c>
      <c r="O73" s="13">
        <f>N73*VLOOKUP('Données projet'!$B$9,Paramètres!$A$1:$I$89,3,0)*VLOOKUP('Données projet'!$B$9,Paramètres!$A$1:$I$89,5,0)</f>
        <v>138.37567499999997</v>
      </c>
      <c r="P73" s="13">
        <f t="shared" si="87"/>
        <v>35.924643086227974</v>
      </c>
      <c r="Q73" s="20">
        <f t="shared" si="54"/>
        <v>303.57305400018032</v>
      </c>
      <c r="R73" s="59">
        <f t="shared" si="55"/>
        <v>569.97859813718981</v>
      </c>
      <c r="S73" s="59">
        <f ca="1">AVERAGE(OFFSET($R$3,0,0,'Données projet'!$E$9+1,1))-AVERAGE(OFFSET($H$3,0,0,'Données projet'!$E$9+1,1))</f>
        <v>388.1278150896951</v>
      </c>
      <c r="T73" s="59">
        <f t="shared" si="88"/>
        <v>232.26614607059227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0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5.6899038461538431</v>
      </c>
      <c r="AI73" s="13">
        <f>IF('Données projet'!$A$62&gt;35,AI72+AH73-AQ72,IF(A73&lt;'Données projet'!$A$62,$AF$205^A73,IF(A73='Données projet'!$A$62,'Données projet'!$B$62,AI72+AH73-AQ72)))</f>
        <v>152.93509615384613</v>
      </c>
      <c r="AJ73" s="13">
        <f>AI73*VLOOKUP('Données projet'!$B$10,Paramètres!$A$1:$I$89,3,0)*VLOOKUP('Données projet'!$B$10,Paramètres!$A$1:$I$89,5,0)</f>
        <v>155.0761875</v>
      </c>
      <c r="AK73" s="13">
        <f t="shared" si="89"/>
        <v>39.729923507145784</v>
      </c>
      <c r="AL73" s="20">
        <f t="shared" si="58"/>
        <v>339.28731000411216</v>
      </c>
      <c r="AM73" s="59">
        <f t="shared" si="59"/>
        <v>605.69285414112164</v>
      </c>
      <c r="AN73" s="59">
        <f ca="1">AVERAGE(OFFSET($AM$3,0,0,'Données projet'!$E$10+1,1))-AVERAGE(OFFSET($H$3,0,0,'Données projet'!$E$10+1,1))</f>
        <v>424.89201140676084</v>
      </c>
      <c r="AO73" s="59">
        <f t="shared" si="90"/>
        <v>253.0016648946303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5.6899038461538431</v>
      </c>
      <c r="BD73" s="12">
        <f>IF('Données projet'!$A$88&gt;35,BD72+BC73-BL72,IF(A73&lt;'Données projet'!$A$88,$BA$205^A73,IF(A73='Données projet'!$A$88,'Données projet'!$B$88,BD72+BC73-BL72)))</f>
        <v>152.93509615384613</v>
      </c>
      <c r="BE73" s="13">
        <f>BD73*VLOOKUP('Données projet'!$B$11,Paramètres!$A$1:$I$89,3,0)*VLOOKUP('Données projet'!$B$11,Paramètres!$A$1:$I$89,5,0)</f>
        <v>145.53303749999998</v>
      </c>
      <c r="BF73" s="13">
        <f t="shared" si="91"/>
        <v>37.5616731426231</v>
      </c>
      <c r="BG73" s="20">
        <f t="shared" si="61"/>
        <v>318.88995436923523</v>
      </c>
      <c r="BH73" s="59">
        <f t="shared" si="62"/>
        <v>585.29549850624471</v>
      </c>
      <c r="BI73" s="59">
        <f ca="1">AVERAGE(OFFSET($BH$3,0,0,'Données projet'!$E$11+1,1))-AVERAGE(OFFSET($H$3,0,0,'Données projet'!$E$11+1,1))</f>
        <v>403.89478276355294</v>
      </c>
      <c r="BJ73" s="59">
        <f t="shared" si="92"/>
        <v>241.1593989733278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0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316</v>
      </c>
      <c r="BW73" s="12">
        <f>VLOOKUP(A73,'Données projet'!$A$113:$I$133,9,0)</f>
        <v>4.5999999999999996</v>
      </c>
      <c r="BX73" s="12">
        <f t="array" ref="BX73">INDEX(BW:BW,MIN(IF(ISNUMBER(BW73:BW269),ROW(BW73:BW269),"")))</f>
        <v>4.5999999999999996</v>
      </c>
      <c r="BY73" s="12">
        <f>IF('Données projet'!$A$114&gt;35,BY72+BX73-CG72,IF(A73&lt;'Données projet'!$A$114,$BV$205^A73,IF(A73='Données projet'!$A$114,'Données projet'!$B$114,BY72+BX73-CG72)))</f>
        <v>315.99999999999994</v>
      </c>
      <c r="BZ73" s="13">
        <f>BY73*VLOOKUP('Données projet'!$B$12,Paramètres!$A$1:$I$89,3,0)*VLOOKUP('Données projet'!$B$12,Paramètres!$A$1:$I$89,5,0)</f>
        <v>251.40959999999995</v>
      </c>
      <c r="CA73" s="13">
        <f t="shared" si="93"/>
        <v>60.887686632376123</v>
      </c>
      <c r="CB73" s="20">
        <f t="shared" si="64"/>
        <v>543.917774218055</v>
      </c>
      <c r="CC73" s="59">
        <f t="shared" si="65"/>
        <v>810.32331835506443</v>
      </c>
      <c r="CD73" s="59">
        <f ca="1">AVERAGE(OFFSET($CC$3,0,0,'Données projet'!$E$12+1,1))-AVERAGE(OFFSET($H$3,0,0,'Données projet'!$E$12+1,1))</f>
        <v>377.27600411578322</v>
      </c>
      <c r="CE73" s="59">
        <f t="shared" si="94"/>
        <v>364.58250627635425</v>
      </c>
      <c r="CF73" s="15">
        <f>IF(ISNA(VLOOKUP(A73,'Données projet'!$A$113:$I$133,3,0)),0,VLOOKUP(A73,'Données projet'!$A$113:$I$133,3,0))</f>
        <v>12</v>
      </c>
      <c r="CG73" s="15">
        <f>IF(ISNA(VLOOKUP(A73,'Données projet'!$A$113:$I$133,4,0)),0,VLOOKUP(A73,'Données projet'!$A$113:$I$133,4,0))</f>
        <v>13</v>
      </c>
      <c r="CH73" s="16">
        <f>IF(ISNA(VLOOKUP(A73,'Données projet'!$A$113:$I$133,5,0)),0%,VLOOKUP(A73,'Données projet'!$A$113:$I$133,5,0)*VLOOKUP('Données projet'!$B$12,Paramètres!$A$1:$I$89,7,0))</f>
        <v>0.48760000000000003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43.216117654763707</v>
      </c>
      <c r="CL73" s="21">
        <f>EXP(-LN(2)/25)*CL72+(1-EXP(-LN(2)/25))/(LN(2)/25)*Calculateur!CG73*Calculateur!CI73*VLOOKUP('Données projet'!$B$12,Paramètres!$A$1:$I$89,3,0)*0.475*44/12</f>
        <v>9.3496926142700598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52.565810269033769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1.7053025658242404E-13</v>
      </c>
      <c r="CU73" s="17">
        <f>CT73*VLOOKUP('Données projet'!$B$13,Paramètres!$A$1:$I$89,3,0)*VLOOKUP('Données projet'!$B$13,Paramètres!$A$1:$I$89,5,0)</f>
        <v>1.3301360013429075E-13</v>
      </c>
      <c r="CV73" s="13">
        <f t="shared" si="95"/>
        <v>1.9329766731057041E-12</v>
      </c>
      <c r="CW73" s="20">
        <f t="shared" si="67"/>
        <v>3.5982663925596575E-12</v>
      </c>
      <c r="CX73" s="59">
        <f t="shared" si="68"/>
        <v>266.40554413701307</v>
      </c>
      <c r="CY73" s="59">
        <f ca="1">AVERAGE(OFFSET($CX$3,0,0,'Données projet'!$E$13+1,1))-AVERAGE(OFFSET($H$3,0,0,'Données projet'!$E$13+1,1))</f>
        <v>308.82719216177946</v>
      </c>
      <c r="CZ73" s="59">
        <f t="shared" si="96"/>
        <v>302.59481222418219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79.542663577211641</v>
      </c>
      <c r="DG73" s="21">
        <f>EXP(-LN(2)/25)*DG72+(1-EXP(-LN(2)/25))/(LN(2)/25)*Calculateur!DB73*Calculateur!DD73*VLOOKUP('Données projet'!$B$13,Paramètres!$A$1:$I$89,3,0)*0.475*44/12</f>
        <v>66.344347075162929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145.88701065237456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304.99999999999983</v>
      </c>
      <c r="DP73" s="17">
        <f>DO73*VLOOKUP('Données projet'!$B$14,Paramètres!$A$1:$I$89,3,0)*VLOOKUP('Données projet'!$B$14,Paramètres!$A$1:$I$89,5,0)</f>
        <v>275.96399999999983</v>
      </c>
      <c r="DQ73" s="13">
        <f t="shared" si="97"/>
        <v>66.113366665488854</v>
      </c>
      <c r="DR73" s="20">
        <f t="shared" si="70"/>
        <v>595.78474694239264</v>
      </c>
      <c r="DS73" s="59">
        <f t="shared" si="71"/>
        <v>862.19029107940219</v>
      </c>
      <c r="DT73" s="59">
        <f ca="1">AVERAGE(OFFSET($DS$3,0,0,'Données projet'!$E$14+1,1))-AVERAGE(OFFSET($H$3,0,0,'Données projet'!$E$14+1,1))</f>
        <v>376.51107072413777</v>
      </c>
      <c r="DU73" s="59">
        <f t="shared" si="98"/>
        <v>532.90758914457615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0.73194551355714133</v>
      </c>
      <c r="EB73" s="21">
        <f>EXP(-LN(2)/25)*EB72+(1-EXP(-LN(2)/25))/(LN(2)/25)*Calculateur!DW73*Calculateur!DY73*VLOOKUP('Données projet'!$B$14,Paramètres!$A$1:$I$89,3,0)*0.475*44/12</f>
        <v>2.4354831627116726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3.167428676268814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-1.7053025658242404E-13</v>
      </c>
      <c r="EK73" s="17">
        <f>EJ73*VLOOKUP('Données projet'!$B$15,Paramètres!$A$1:$I$89,3,0)*VLOOKUP('Données projet'!$B$15,Paramètres!$A$1:$I$89,5,0)</f>
        <v>-1.0197709343628959E-13</v>
      </c>
      <c r="EL73" s="13" t="e">
        <f t="shared" si="99"/>
        <v>#NUM!</v>
      </c>
      <c r="EM73" s="20" t="e">
        <f t="shared" si="73"/>
        <v>#NUM!</v>
      </c>
      <c r="EN73" s="59" t="e">
        <f t="shared" si="74"/>
        <v>#NUM!</v>
      </c>
      <c r="EO73" s="59">
        <f ca="1">AVERAGE(OFFSET($EN$3,0,0,'Données projet'!$E$15+1,1))-AVERAGE(OFFSET($H$3,0,0,'Données projet'!$E$15+1,1))</f>
        <v>337.99164391755608</v>
      </c>
      <c r="EP73" s="59">
        <f t="shared" si="100"/>
        <v>421.45428231923393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123.41565101472936</v>
      </c>
      <c r="EW73" s="21">
        <f>EXP(-LN(2)/25)*EW72+(1-EXP(-LN(2)/25))/(LN(2)/25)*Calculateur!ER73*Calculateur!ET73*VLOOKUP('Données projet'!$B$15,Paramètres!$A$1:$I$89,3,0)*0.475*44/12</f>
        <v>29.981347419250309</v>
      </c>
      <c r="EX73" s="21">
        <f>EXP(-LN(2)/2)*EX72+(1-EXP(-LN(2)/2))/(LN(2)/2)*ER73*EU73*VLOOKUP('Données projet'!$B$15,Paramètres!$A$1:$I$89,3,0)*0.475*44/12</f>
        <v>0.31567477299069946</v>
      </c>
      <c r="EY73" s="22">
        <f t="shared" si="75"/>
        <v>153.71267320697035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5.6899038461538431</v>
      </c>
      <c r="N74" s="13">
        <f>IF('Données projet'!$A$36&gt;35,N73+M74-V73,IF(A74&lt;'Données projet'!$A$36,$K$205^A74,IF(A74='Données projet'!$A$36,'Données projet'!$B$36,N73+M74-V73)))</f>
        <v>158.62499999999997</v>
      </c>
      <c r="O74" s="13">
        <f>N74*VLOOKUP('Données projet'!$B$9,Paramètres!$A$1:$I$89,3,0)*VLOOKUP('Données projet'!$B$9,Paramètres!$A$1:$I$89,5,0)</f>
        <v>143.52389999999997</v>
      </c>
      <c r="P74" s="13">
        <f t="shared" si="87"/>
        <v>37.103109825509961</v>
      </c>
      <c r="Q74" s="20">
        <f t="shared" si="54"/>
        <v>314.59204211276312</v>
      </c>
      <c r="R74" s="59">
        <f t="shared" si="55"/>
        <v>581.46472319081113</v>
      </c>
      <c r="S74" s="59">
        <f ca="1">AVERAGE(OFFSET($R$3,0,0,'Données projet'!$E$9+1,1))-AVERAGE(OFFSET($H$3,0,0,'Données projet'!$E$9+1,1))</f>
        <v>388.1278150896951</v>
      </c>
      <c r="T74" s="59">
        <f t="shared" si="88"/>
        <v>232.26614607059227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0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5.6899038461538431</v>
      </c>
      <c r="AI74" s="13">
        <f>IF('Données projet'!$A$62&gt;35,AI73+AH74-AQ73,IF(A74&lt;'Données projet'!$A$62,$AF$205^A74,IF(A74='Données projet'!$A$62,'Données projet'!$B$62,AI73+AH74-AQ73)))</f>
        <v>158.62499999999997</v>
      </c>
      <c r="AJ74" s="13">
        <f>AI74*VLOOKUP('Données projet'!$B$10,Paramètres!$A$1:$I$89,3,0)*VLOOKUP('Données projet'!$B$10,Paramètres!$A$1:$I$89,5,0)</f>
        <v>160.84574999999998</v>
      </c>
      <c r="AK74" s="13">
        <f t="shared" si="89"/>
        <v>41.033218108988017</v>
      </c>
      <c r="AL74" s="20">
        <f t="shared" si="58"/>
        <v>351.60586945648743</v>
      </c>
      <c r="AM74" s="59">
        <f t="shared" si="59"/>
        <v>618.47855053453532</v>
      </c>
      <c r="AN74" s="59">
        <f ca="1">AVERAGE(OFFSET($AM$3,0,0,'Données projet'!$E$10+1,1))-AVERAGE(OFFSET($H$3,0,0,'Données projet'!$E$10+1,1))</f>
        <v>424.89201140676084</v>
      </c>
      <c r="AO74" s="59">
        <f t="shared" si="90"/>
        <v>253.0016648946303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5.6899038461538431</v>
      </c>
      <c r="BD74" s="12">
        <f>IF('Données projet'!$A$88&gt;35,BD73+BC74-BL73,IF(A74&lt;'Données projet'!$A$88,$BA$205^A74,IF(A74='Données projet'!$A$88,'Données projet'!$B$88,BD73+BC74-BL73)))</f>
        <v>158.62499999999997</v>
      </c>
      <c r="BE74" s="13">
        <f>BD74*VLOOKUP('Données projet'!$B$11,Paramètres!$A$1:$I$89,3,0)*VLOOKUP('Données projet'!$B$11,Paramètres!$A$1:$I$89,5,0)</f>
        <v>150.94754999999998</v>
      </c>
      <c r="BF74" s="13">
        <f t="shared" si="91"/>
        <v>38.793840776526004</v>
      </c>
      <c r="BG74" s="20">
        <f t="shared" si="61"/>
        <v>330.46625560244939</v>
      </c>
      <c r="BH74" s="59">
        <f t="shared" si="62"/>
        <v>597.33893668049734</v>
      </c>
      <c r="BI74" s="59">
        <f ca="1">AVERAGE(OFFSET($BH$3,0,0,'Données projet'!$E$11+1,1))-AVERAGE(OFFSET($H$3,0,0,'Données projet'!$E$11+1,1))</f>
        <v>403.89478276355294</v>
      </c>
      <c r="BJ74" s="59">
        <f t="shared" si="92"/>
        <v>241.1593989733278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0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4.2</v>
      </c>
      <c r="BY74" s="12">
        <f>IF('Données projet'!$A$114&gt;35,BY73+BX74-CG73,IF(A74&lt;'Données projet'!$A$114,$BV$205^A74,IF(A74='Données projet'!$A$114,'Données projet'!$B$114,BY73+BX74-CG73)))</f>
        <v>307.19999999999993</v>
      </c>
      <c r="BZ74" s="13">
        <f>BY74*VLOOKUP('Données projet'!$B$12,Paramètres!$A$1:$I$89,3,0)*VLOOKUP('Données projet'!$B$12,Paramètres!$A$1:$I$89,5,0)</f>
        <v>244.40831999999995</v>
      </c>
      <c r="CA74" s="13">
        <f t="shared" si="93"/>
        <v>59.38699493610541</v>
      </c>
      <c r="CB74" s="20">
        <f t="shared" si="64"/>
        <v>529.11017351371675</v>
      </c>
      <c r="CC74" s="59">
        <f t="shared" si="65"/>
        <v>795.98285459176464</v>
      </c>
      <c r="CD74" s="59">
        <f ca="1">AVERAGE(OFFSET($CC$3,0,0,'Données projet'!$E$12+1,1))-AVERAGE(OFFSET($H$3,0,0,'Données projet'!$E$12+1,1))</f>
        <v>377.27600411578322</v>
      </c>
      <c r="CE74" s="59">
        <f t="shared" si="94"/>
        <v>364.58250627635425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42.368675946782801</v>
      </c>
      <c r="CL74" s="21">
        <f>EXP(-LN(2)/25)*CL73+(1-EXP(-LN(2)/25))/(LN(2)/25)*Calculateur!CG74*Calculateur!CI74*VLOOKUP('Données projet'!$B$12,Paramètres!$A$1:$I$89,3,0)*0.475*44/12</f>
        <v>9.0940247780538801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51.462700724836679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1.7053025658242404E-13</v>
      </c>
      <c r="CU74" s="17">
        <f>CT74*VLOOKUP('Données projet'!$B$13,Paramètres!$A$1:$I$89,3,0)*VLOOKUP('Données projet'!$B$13,Paramètres!$A$1:$I$89,5,0)</f>
        <v>1.3301360013429075E-13</v>
      </c>
      <c r="CV74" s="13">
        <f t="shared" si="95"/>
        <v>1.9329766731057041E-12</v>
      </c>
      <c r="CW74" s="20">
        <f t="shared" si="67"/>
        <v>3.5982663925596575E-12</v>
      </c>
      <c r="CX74" s="59">
        <f t="shared" si="68"/>
        <v>266.87268107805153</v>
      </c>
      <c r="CY74" s="59">
        <f ca="1">AVERAGE(OFFSET($CX$3,0,0,'Données projet'!$E$13+1,1))-AVERAGE(OFFSET($H$3,0,0,'Données projet'!$E$13+1,1))</f>
        <v>308.82719216177946</v>
      </c>
      <c r="CZ74" s="59">
        <f t="shared" si="96"/>
        <v>302.59481222418219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77.98288046069672</v>
      </c>
      <c r="DG74" s="21">
        <f>EXP(-LN(2)/25)*DG73+(1-EXP(-LN(2)/25))/(LN(2)/25)*Calculateur!DB74*Calculateur!DD74*VLOOKUP('Données projet'!$B$13,Paramètres!$A$1:$I$89,3,0)*0.475*44/12</f>
        <v>64.530157415495012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142.51303787619173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304.99999999999983</v>
      </c>
      <c r="DP74" s="17">
        <f>DO74*VLOOKUP('Données projet'!$B$14,Paramètres!$A$1:$I$89,3,0)*VLOOKUP('Données projet'!$B$14,Paramètres!$A$1:$I$89,5,0)</f>
        <v>275.96399999999983</v>
      </c>
      <c r="DQ74" s="13">
        <f t="shared" si="97"/>
        <v>66.113366665488854</v>
      </c>
      <c r="DR74" s="20">
        <f t="shared" si="70"/>
        <v>595.78474694239264</v>
      </c>
      <c r="DS74" s="59">
        <f t="shared" si="71"/>
        <v>862.65742802044065</v>
      </c>
      <c r="DT74" s="59">
        <f ca="1">AVERAGE(OFFSET($DS$3,0,0,'Données projet'!$E$14+1,1))-AVERAGE(OFFSET($H$3,0,0,'Données projet'!$E$14+1,1))</f>
        <v>376.51107072413777</v>
      </c>
      <c r="DU74" s="59">
        <f t="shared" si="98"/>
        <v>532.90758914457615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0.7175925084789665</v>
      </c>
      <c r="EB74" s="21">
        <f>EXP(-LN(2)/25)*EB73+(1-EXP(-LN(2)/25))/(LN(2)/25)*Calculateur!DW74*Calculateur!DY74*VLOOKUP('Données projet'!$B$14,Paramètres!$A$1:$I$89,3,0)*0.475*44/12</f>
        <v>2.3688847475508288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3.0864772560297951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-1.7053025658242404E-13</v>
      </c>
      <c r="EK74" s="17">
        <f>EJ74*VLOOKUP('Données projet'!$B$15,Paramètres!$A$1:$I$89,3,0)*VLOOKUP('Données projet'!$B$15,Paramètres!$A$1:$I$89,5,0)</f>
        <v>-1.0197709343628959E-13</v>
      </c>
      <c r="EL74" s="13" t="e">
        <f t="shared" si="99"/>
        <v>#NUM!</v>
      </c>
      <c r="EM74" s="20" t="e">
        <f t="shared" si="73"/>
        <v>#NUM!</v>
      </c>
      <c r="EN74" s="59" t="e">
        <f t="shared" si="74"/>
        <v>#NUM!</v>
      </c>
      <c r="EO74" s="59">
        <f ca="1">AVERAGE(OFFSET($EN$3,0,0,'Données projet'!$E$15+1,1))-AVERAGE(OFFSET($H$3,0,0,'Données projet'!$E$15+1,1))</f>
        <v>337.99164391755608</v>
      </c>
      <c r="EP74" s="59">
        <f t="shared" si="100"/>
        <v>421.45428231923393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120.99554537444475</v>
      </c>
      <c r="EW74" s="21">
        <f>EXP(-LN(2)/25)*EW73+(1-EXP(-LN(2)/25))/(LN(2)/25)*Calculateur!ER74*Calculateur!ET74*VLOOKUP('Données projet'!$B$15,Paramètres!$A$1:$I$89,3,0)*0.475*44/12</f>
        <v>29.161505897420373</v>
      </c>
      <c r="EX74" s="21">
        <f>EXP(-LN(2)/2)*EX73+(1-EXP(-LN(2)/2))/(LN(2)/2)*ER74*EU74*VLOOKUP('Données projet'!$B$15,Paramètres!$A$1:$I$89,3,0)*0.475*44/12</f>
        <v>0.22321577263124759</v>
      </c>
      <c r="EY74" s="22">
        <f t="shared" si="75"/>
        <v>150.38026704449638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5.6899038461538431</v>
      </c>
      <c r="N75" s="13">
        <f>IF('Données projet'!$A$36&gt;35,N74+M75-V74,IF(A75&lt;'Données projet'!$A$36,$K$205^A75,IF(A75='Données projet'!$A$36,'Données projet'!$B$36,N74+M75-V74)))</f>
        <v>164.31490384615381</v>
      </c>
      <c r="O75" s="13">
        <f>N75*VLOOKUP('Données projet'!$B$9,Paramètres!$A$1:$I$89,3,0)*VLOOKUP('Données projet'!$B$9,Paramètres!$A$1:$I$89,5,0)</f>
        <v>148.67212499999997</v>
      </c>
      <c r="P75" s="13">
        <f t="shared" si="87"/>
        <v>38.276665273939201</v>
      </c>
      <c r="Q75" s="20">
        <f t="shared" si="54"/>
        <v>325.60247639377735</v>
      </c>
      <c r="R75" s="59">
        <f t="shared" si="55"/>
        <v>592.93419063129841</v>
      </c>
      <c r="S75" s="59">
        <f ca="1">AVERAGE(OFFSET($R$3,0,0,'Données projet'!$E$9+1,1))-AVERAGE(OFFSET($H$3,0,0,'Données projet'!$E$9+1,1))</f>
        <v>388.1278150896951</v>
      </c>
      <c r="T75" s="59">
        <f t="shared" si="88"/>
        <v>232.26614607059227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0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5.6899038461538431</v>
      </c>
      <c r="AI75" s="13">
        <f>IF('Données projet'!$A$62&gt;35,AI74+AH75-AQ74,IF(A75&lt;'Données projet'!$A$62,$AF$205^A75,IF(A75='Données projet'!$A$62,'Données projet'!$B$62,AI74+AH75-AQ74)))</f>
        <v>164.31490384615381</v>
      </c>
      <c r="AJ75" s="13">
        <f>AI75*VLOOKUP('Données projet'!$B$10,Paramètres!$A$1:$I$89,3,0)*VLOOKUP('Données projet'!$B$10,Paramètres!$A$1:$I$89,5,0)</f>
        <v>166.61531249999999</v>
      </c>
      <c r="AK75" s="13">
        <f t="shared" si="89"/>
        <v>42.331081196606618</v>
      </c>
      <c r="AL75" s="20">
        <f t="shared" si="58"/>
        <v>363.9149690215898</v>
      </c>
      <c r="AM75" s="59">
        <f t="shared" si="59"/>
        <v>631.24668325911091</v>
      </c>
      <c r="AN75" s="59">
        <f ca="1">AVERAGE(OFFSET($AM$3,0,0,'Données projet'!$E$10+1,1))-AVERAGE(OFFSET($H$3,0,0,'Données projet'!$E$10+1,1))</f>
        <v>424.89201140676084</v>
      </c>
      <c r="AO75" s="59">
        <f t="shared" si="90"/>
        <v>253.0016648946303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5.6899038461538431</v>
      </c>
      <c r="BD75" s="12">
        <f>IF('Données projet'!$A$88&gt;35,BD74+BC75-BL74,IF(A75&lt;'Données projet'!$A$88,$BA$205^A75,IF(A75='Données projet'!$A$88,'Données projet'!$B$88,BD74+BC75-BL74)))</f>
        <v>164.31490384615381</v>
      </c>
      <c r="BE75" s="13">
        <f>BD75*VLOOKUP('Données projet'!$B$11,Paramètres!$A$1:$I$89,3,0)*VLOOKUP('Données projet'!$B$11,Paramètres!$A$1:$I$89,5,0)</f>
        <v>156.36206249999998</v>
      </c>
      <c r="BF75" s="13">
        <f t="shared" si="91"/>
        <v>40.020873319698083</v>
      </c>
      <c r="BG75" s="20">
        <f t="shared" si="61"/>
        <v>342.03361321930743</v>
      </c>
      <c r="BH75" s="59">
        <f t="shared" si="62"/>
        <v>609.36532745682848</v>
      </c>
      <c r="BI75" s="59">
        <f ca="1">AVERAGE(OFFSET($BH$3,0,0,'Données projet'!$E$11+1,1))-AVERAGE(OFFSET($H$3,0,0,'Données projet'!$E$11+1,1))</f>
        <v>403.89478276355294</v>
      </c>
      <c r="BJ75" s="59">
        <f t="shared" si="92"/>
        <v>241.1593989733278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0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4.2</v>
      </c>
      <c r="BY75" s="12">
        <f>IF('Données projet'!$A$114&gt;35,BY74+BX75-CG74,IF(A75&lt;'Données projet'!$A$114,$BV$205^A75,IF(A75='Données projet'!$A$114,'Données projet'!$B$114,BY74+BX75-CG74)))</f>
        <v>311.39999999999992</v>
      </c>
      <c r="BZ75" s="13">
        <f>BY75*VLOOKUP('Données projet'!$B$12,Paramètres!$A$1:$I$89,3,0)*VLOOKUP('Données projet'!$B$12,Paramètres!$A$1:$I$89,5,0)</f>
        <v>247.74983999999995</v>
      </c>
      <c r="CA75" s="13">
        <f t="shared" si="93"/>
        <v>60.103849700617872</v>
      </c>
      <c r="CB75" s="20">
        <f t="shared" si="64"/>
        <v>536.17850956190932</v>
      </c>
      <c r="CC75" s="59">
        <f t="shared" si="65"/>
        <v>803.51022379943038</v>
      </c>
      <c r="CD75" s="59">
        <f ca="1">AVERAGE(OFFSET($CC$3,0,0,'Données projet'!$E$12+1,1))-AVERAGE(OFFSET($H$3,0,0,'Données projet'!$E$12+1,1))</f>
        <v>377.27600411578322</v>
      </c>
      <c r="CE75" s="59">
        <f t="shared" si="94"/>
        <v>364.58250627635425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41.537852053807001</v>
      </c>
      <c r="CL75" s="21">
        <f>EXP(-LN(2)/25)*CL74+(1-EXP(-LN(2)/25))/(LN(2)/25)*Calculateur!CG75*Calculateur!CI75*VLOOKUP('Données projet'!$B$12,Paramètres!$A$1:$I$89,3,0)*0.475*44/12</f>
        <v>8.8453481922640176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50.38320024607102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1.7053025658242404E-13</v>
      </c>
      <c r="CU75" s="17">
        <f>CT75*VLOOKUP('Données projet'!$B$13,Paramètres!$A$1:$I$89,3,0)*VLOOKUP('Données projet'!$B$13,Paramètres!$A$1:$I$89,5,0)</f>
        <v>1.3301360013429075E-13</v>
      </c>
      <c r="CV75" s="13">
        <f t="shared" si="95"/>
        <v>1.9329766731057041E-12</v>
      </c>
      <c r="CW75" s="20">
        <f t="shared" si="67"/>
        <v>3.5982663925596575E-12</v>
      </c>
      <c r="CX75" s="59">
        <f t="shared" si="68"/>
        <v>267.33171423752469</v>
      </c>
      <c r="CY75" s="59">
        <f ca="1">AVERAGE(OFFSET($CX$3,0,0,'Données projet'!$E$13+1,1))-AVERAGE(OFFSET($H$3,0,0,'Données projet'!$E$13+1,1))</f>
        <v>308.82719216177946</v>
      </c>
      <c r="CZ75" s="59">
        <f t="shared" si="96"/>
        <v>302.59481222418219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76.453683739722905</v>
      </c>
      <c r="DG75" s="21">
        <f>EXP(-LN(2)/25)*DG74+(1-EXP(-LN(2)/25))/(LN(2)/25)*Calculateur!DB75*Calculateur!DD75*VLOOKUP('Données projet'!$B$13,Paramètres!$A$1:$I$89,3,0)*0.475*44/12</f>
        <v>62.765576867474806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139.21926060719773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304.99999999999983</v>
      </c>
      <c r="DP75" s="17">
        <f>DO75*VLOOKUP('Données projet'!$B$14,Paramètres!$A$1:$I$89,3,0)*VLOOKUP('Données projet'!$B$14,Paramètres!$A$1:$I$89,5,0)</f>
        <v>275.96399999999983</v>
      </c>
      <c r="DQ75" s="13">
        <f t="shared" si="97"/>
        <v>66.113366665488854</v>
      </c>
      <c r="DR75" s="20">
        <f t="shared" si="70"/>
        <v>595.78474694239264</v>
      </c>
      <c r="DS75" s="59">
        <f t="shared" si="71"/>
        <v>863.11646117991381</v>
      </c>
      <c r="DT75" s="59">
        <f ca="1">AVERAGE(OFFSET($DS$3,0,0,'Données projet'!$E$14+1,1))-AVERAGE(OFFSET($H$3,0,0,'Données projet'!$E$14+1,1))</f>
        <v>376.51107072413777</v>
      </c>
      <c r="DU75" s="59">
        <f t="shared" si="98"/>
        <v>532.90758914457615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0.70352095707590601</v>
      </c>
      <c r="EB75" s="21">
        <f>EXP(-LN(2)/25)*EB74+(1-EXP(-LN(2)/25))/(LN(2)/25)*Calculateur!DW75*Calculateur!DY75*VLOOKUP('Données projet'!$B$14,Paramètres!$A$1:$I$89,3,0)*0.475*44/12</f>
        <v>2.3041074695548165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3.0076284266307223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-1.7053025658242404E-13</v>
      </c>
      <c r="EK75" s="17">
        <f>EJ75*VLOOKUP('Données projet'!$B$15,Paramètres!$A$1:$I$89,3,0)*VLOOKUP('Données projet'!$B$15,Paramètres!$A$1:$I$89,5,0)</f>
        <v>-1.0197709343628959E-13</v>
      </c>
      <c r="EL75" s="13" t="e">
        <f t="shared" si="99"/>
        <v>#NUM!</v>
      </c>
      <c r="EM75" s="20" t="e">
        <f t="shared" si="73"/>
        <v>#NUM!</v>
      </c>
      <c r="EN75" s="59" t="e">
        <f t="shared" si="74"/>
        <v>#NUM!</v>
      </c>
      <c r="EO75" s="59">
        <f ca="1">AVERAGE(OFFSET($EN$3,0,0,'Données projet'!$E$15+1,1))-AVERAGE(OFFSET($H$3,0,0,'Données projet'!$E$15+1,1))</f>
        <v>337.99164391755608</v>
      </c>
      <c r="EP75" s="59">
        <f t="shared" si="100"/>
        <v>421.45428231923393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118.62289652964742</v>
      </c>
      <c r="EW75" s="21">
        <f>EXP(-LN(2)/25)*EW74+(1-EXP(-LN(2)/25))/(LN(2)/25)*Calculateur!ER75*Calculateur!ET75*VLOOKUP('Données projet'!$B$15,Paramètres!$A$1:$I$89,3,0)*0.475*44/12</f>
        <v>28.364082985118468</v>
      </c>
      <c r="EX75" s="21">
        <f>EXP(-LN(2)/2)*EX74+(1-EXP(-LN(2)/2))/(LN(2)/2)*ER75*EU75*VLOOKUP('Données projet'!$B$15,Paramètres!$A$1:$I$89,3,0)*0.475*44/12</f>
        <v>0.15783738649534973</v>
      </c>
      <c r="EY75" s="22">
        <f t="shared" si="75"/>
        <v>147.14481690126124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5.6899038461538431</v>
      </c>
      <c r="N76" s="13">
        <f>IF('Données projet'!$A$36&gt;35,N75+M76-V75,IF(A76&lt;'Données projet'!$A$36,$K$205^A76,IF(A76='Données projet'!$A$36,'Données projet'!$B$36,N75+M76-V75)))</f>
        <v>170.00480769230765</v>
      </c>
      <c r="O76" s="13">
        <f>N76*VLOOKUP('Données projet'!$B$9,Paramètres!$A$1:$I$89,3,0)*VLOOKUP('Données projet'!$B$9,Paramètres!$A$1:$I$89,5,0)</f>
        <v>153.82034999999993</v>
      </c>
      <c r="P76" s="13">
        <f t="shared" si="87"/>
        <v>39.445498990742948</v>
      </c>
      <c r="Q76" s="20">
        <f t="shared" si="54"/>
        <v>336.60468699221047</v>
      </c>
      <c r="R76" s="59">
        <f t="shared" si="55"/>
        <v>604.38747119013226</v>
      </c>
      <c r="S76" s="59">
        <f ca="1">AVERAGE(OFFSET($R$3,0,0,'Données projet'!$E$9+1,1))-AVERAGE(OFFSET($H$3,0,0,'Données projet'!$E$9+1,1))</f>
        <v>388.1278150896951</v>
      </c>
      <c r="T76" s="59">
        <f t="shared" si="88"/>
        <v>232.26614607059227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0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5.6899038461538431</v>
      </c>
      <c r="AI76" s="13">
        <f>IF('Données projet'!$A$62&gt;35,AI75+AH76-AQ75,IF(A76&lt;'Données projet'!$A$62,$AF$205^A76,IF(A76='Données projet'!$A$62,'Données projet'!$B$62,AI75+AH76-AQ75)))</f>
        <v>170.00480769230765</v>
      </c>
      <c r="AJ76" s="13">
        <f>AI76*VLOOKUP('Données projet'!$B$10,Paramètres!$A$1:$I$89,3,0)*VLOOKUP('Données projet'!$B$10,Paramètres!$A$1:$I$89,5,0)</f>
        <v>172.38487499999997</v>
      </c>
      <c r="AK76" s="13">
        <f t="shared" si="89"/>
        <v>43.623722408092668</v>
      </c>
      <c r="AL76" s="20">
        <f t="shared" si="58"/>
        <v>376.21497381909467</v>
      </c>
      <c r="AM76" s="59">
        <f t="shared" si="59"/>
        <v>643.99775801701639</v>
      </c>
      <c r="AN76" s="59">
        <f ca="1">AVERAGE(OFFSET($AM$3,0,0,'Données projet'!$E$10+1,1))-AVERAGE(OFFSET($H$3,0,0,'Données projet'!$E$10+1,1))</f>
        <v>424.89201140676084</v>
      </c>
      <c r="AO76" s="59">
        <f t="shared" si="90"/>
        <v>253.0016648946303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5.6899038461538431</v>
      </c>
      <c r="BD76" s="12">
        <f>IF('Données projet'!$A$88&gt;35,BD75+BC76-BL75,IF(A76&lt;'Données projet'!$A$88,$BA$205^A76,IF(A76='Données projet'!$A$88,'Données projet'!$B$88,BD75+BC76-BL75)))</f>
        <v>170.00480769230765</v>
      </c>
      <c r="BE76" s="13">
        <f>BD76*VLOOKUP('Données projet'!$B$11,Paramètres!$A$1:$I$89,3,0)*VLOOKUP('Données projet'!$B$11,Paramètres!$A$1:$I$89,5,0)</f>
        <v>161.77657499999998</v>
      </c>
      <c r="BF76" s="13">
        <f t="shared" si="91"/>
        <v>41.242968969285535</v>
      </c>
      <c r="BG76" s="20">
        <f t="shared" si="61"/>
        <v>353.5923724131722</v>
      </c>
      <c r="BH76" s="59">
        <f t="shared" si="62"/>
        <v>621.37515661109398</v>
      </c>
      <c r="BI76" s="59">
        <f ca="1">AVERAGE(OFFSET($BH$3,0,0,'Données projet'!$E$11+1,1))-AVERAGE(OFFSET($H$3,0,0,'Données projet'!$E$11+1,1))</f>
        <v>403.89478276355294</v>
      </c>
      <c r="BJ76" s="59">
        <f t="shared" si="92"/>
        <v>241.1593989733278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0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4.2</v>
      </c>
      <c r="BY76" s="12">
        <f>IF('Données projet'!$A$114&gt;35,BY75+BX76-CG75,IF(A76&lt;'Données projet'!$A$114,$BV$205^A76,IF(A76='Données projet'!$A$114,'Données projet'!$B$114,BY75+BX76-CG75)))</f>
        <v>315.59999999999991</v>
      </c>
      <c r="BZ76" s="13">
        <f>BY76*VLOOKUP('Données projet'!$B$12,Paramètres!$A$1:$I$89,3,0)*VLOOKUP('Données projet'!$B$12,Paramètres!$A$1:$I$89,5,0)</f>
        <v>251.09135999999995</v>
      </c>
      <c r="CA76" s="13">
        <f t="shared" si="93"/>
        <v>60.81957989149403</v>
      </c>
      <c r="CB76" s="20">
        <f t="shared" si="64"/>
        <v>543.24488697768527</v>
      </c>
      <c r="CC76" s="59">
        <f t="shared" si="65"/>
        <v>811.02767117560711</v>
      </c>
      <c r="CD76" s="59">
        <f ca="1">AVERAGE(OFFSET($CC$3,0,0,'Données projet'!$E$12+1,1))-AVERAGE(OFFSET($H$3,0,0,'Données projet'!$E$12+1,1))</f>
        <v>377.27600411578322</v>
      </c>
      <c r="CE76" s="59">
        <f t="shared" si="94"/>
        <v>364.58250627635425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40.723320110619916</v>
      </c>
      <c r="CL76" s="21">
        <f>EXP(-LN(2)/25)*CL75+(1-EXP(-LN(2)/25))/(LN(2)/25)*Calculateur!CG76*Calculateur!CI76*VLOOKUP('Données projet'!$B$12,Paramètres!$A$1:$I$89,3,0)*0.475*44/12</f>
        <v>8.6034716807899123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49.326791791409832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1.7053025658242404E-13</v>
      </c>
      <c r="CU76" s="17">
        <f>CT76*VLOOKUP('Données projet'!$B$13,Paramètres!$A$1:$I$89,3,0)*VLOOKUP('Données projet'!$B$13,Paramètres!$A$1:$I$89,5,0)</f>
        <v>1.3301360013429075E-13</v>
      </c>
      <c r="CV76" s="13">
        <f t="shared" si="95"/>
        <v>1.9329766731057041E-12</v>
      </c>
      <c r="CW76" s="20">
        <f t="shared" si="67"/>
        <v>3.5982663925596575E-12</v>
      </c>
      <c r="CX76" s="59">
        <f t="shared" si="68"/>
        <v>267.78278419792537</v>
      </c>
      <c r="CY76" s="59">
        <f ca="1">AVERAGE(OFFSET($CX$3,0,0,'Données projet'!$E$13+1,1))-AVERAGE(OFFSET($H$3,0,0,'Données projet'!$E$13+1,1))</f>
        <v>308.82719216177946</v>
      </c>
      <c r="CZ76" s="59">
        <f t="shared" si="96"/>
        <v>302.59481222418219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74.954473633729478</v>
      </c>
      <c r="DG76" s="21">
        <f>EXP(-LN(2)/25)*DG75+(1-EXP(-LN(2)/25))/(LN(2)/25)*Calculateur!DB76*Calculateur!DD76*VLOOKUP('Données projet'!$B$13,Paramètres!$A$1:$I$89,3,0)*0.475*44/12</f>
        <v>61.049248867335471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136.00372250106494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304.99999999999983</v>
      </c>
      <c r="DP76" s="17">
        <f>DO76*VLOOKUP('Données projet'!$B$14,Paramètres!$A$1:$I$89,3,0)*VLOOKUP('Données projet'!$B$14,Paramètres!$A$1:$I$89,5,0)</f>
        <v>275.96399999999983</v>
      </c>
      <c r="DQ76" s="13">
        <f t="shared" si="97"/>
        <v>66.113366665488854</v>
      </c>
      <c r="DR76" s="20">
        <f t="shared" si="70"/>
        <v>595.78474694239264</v>
      </c>
      <c r="DS76" s="59">
        <f t="shared" si="71"/>
        <v>863.56753114031449</v>
      </c>
      <c r="DT76" s="59">
        <f ca="1">AVERAGE(OFFSET($DS$3,0,0,'Données projet'!$E$14+1,1))-AVERAGE(OFFSET($H$3,0,0,'Données projet'!$E$14+1,1))</f>
        <v>376.51107072413777</v>
      </c>
      <c r="DU76" s="59">
        <f t="shared" si="98"/>
        <v>532.90758914457615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0.68972534021306064</v>
      </c>
      <c r="EB76" s="21">
        <f>EXP(-LN(2)/25)*EB75+(1-EXP(-LN(2)/25))/(LN(2)/25)*Calculateur!DW76*Calculateur!DY76*VLOOKUP('Données projet'!$B$14,Paramètres!$A$1:$I$89,3,0)*0.475*44/12</f>
        <v>2.2411015296320942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2.9308268698451547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-1.7053025658242404E-13</v>
      </c>
      <c r="EK76" s="17">
        <f>EJ76*VLOOKUP('Données projet'!$B$15,Paramètres!$A$1:$I$89,3,0)*VLOOKUP('Données projet'!$B$15,Paramètres!$A$1:$I$89,5,0)</f>
        <v>-1.0197709343628959E-13</v>
      </c>
      <c r="EL76" s="13" t="e">
        <f t="shared" si="99"/>
        <v>#NUM!</v>
      </c>
      <c r="EM76" s="20" t="e">
        <f t="shared" si="73"/>
        <v>#NUM!</v>
      </c>
      <c r="EN76" s="59" t="e">
        <f t="shared" si="74"/>
        <v>#NUM!</v>
      </c>
      <c r="EO76" s="59">
        <f ca="1">AVERAGE(OFFSET($EN$3,0,0,'Données projet'!$E$15+1,1))-AVERAGE(OFFSET($H$3,0,0,'Données projet'!$E$15+1,1))</f>
        <v>337.99164391755608</v>
      </c>
      <c r="EP76" s="59">
        <f t="shared" si="100"/>
        <v>421.45428231923393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116.29677388152366</v>
      </c>
      <c r="EW76" s="21">
        <f>EXP(-LN(2)/25)*EW75+(1-EXP(-LN(2)/25))/(LN(2)/25)*Calculateur!ER76*Calculateur!ET76*VLOOKUP('Données projet'!$B$15,Paramètres!$A$1:$I$89,3,0)*0.475*44/12</f>
        <v>27.588465644288107</v>
      </c>
      <c r="EX76" s="21">
        <f>EXP(-LN(2)/2)*EX75+(1-EXP(-LN(2)/2))/(LN(2)/2)*ER76*EU76*VLOOKUP('Données projet'!$B$15,Paramètres!$A$1:$I$89,3,0)*0.475*44/12</f>
        <v>0.11160788631562379</v>
      </c>
      <c r="EY76" s="22">
        <f t="shared" si="75"/>
        <v>143.99684741212738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5.6899038461538431</v>
      </c>
      <c r="N77" s="13">
        <f>IF('Données projet'!$A$36&gt;35,N76+M77-V76,IF(A77&lt;'Données projet'!$A$36,$K$205^A77,IF(A77='Données projet'!$A$36,'Données projet'!$B$36,N76+M77-V76)))</f>
        <v>175.69471153846149</v>
      </c>
      <c r="O77" s="13">
        <f>N77*VLOOKUP('Données projet'!$B$9,Paramètres!$A$1:$I$89,3,0)*VLOOKUP('Données projet'!$B$9,Paramètres!$A$1:$I$89,5,0)</f>
        <v>158.96857499999996</v>
      </c>
      <c r="P77" s="13">
        <f t="shared" si="87"/>
        <v>40.609787126426944</v>
      </c>
      <c r="Q77" s="20">
        <f t="shared" si="54"/>
        <v>347.59898070352688</v>
      </c>
      <c r="R77" s="59">
        <f t="shared" si="55"/>
        <v>615.82500980647774</v>
      </c>
      <c r="S77" s="59">
        <f ca="1">AVERAGE(OFFSET($R$3,0,0,'Données projet'!$E$9+1,1))-AVERAGE(OFFSET($H$3,0,0,'Données projet'!$E$9+1,1))</f>
        <v>388.1278150896951</v>
      </c>
      <c r="T77" s="59">
        <f t="shared" si="88"/>
        <v>232.26614607059227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0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5.6899038461538431</v>
      </c>
      <c r="AI77" s="13">
        <f>IF('Données projet'!$A$62&gt;35,AI76+AH77-AQ76,IF(A77&lt;'Données projet'!$A$62,$AF$205^A77,IF(A77='Données projet'!$A$62,'Données projet'!$B$62,AI76+AH77-AQ76)))</f>
        <v>175.69471153846149</v>
      </c>
      <c r="AJ77" s="13">
        <f>AI77*VLOOKUP('Données projet'!$B$10,Paramètres!$A$1:$I$89,3,0)*VLOOKUP('Données projet'!$B$10,Paramètres!$A$1:$I$89,5,0)</f>
        <v>178.15443749999994</v>
      </c>
      <c r="AK77" s="13">
        <f t="shared" si="89"/>
        <v>44.911336552510832</v>
      </c>
      <c r="AL77" s="20">
        <f t="shared" si="58"/>
        <v>388.50622314145625</v>
      </c>
      <c r="AM77" s="59">
        <f t="shared" si="59"/>
        <v>656.73225224440716</v>
      </c>
      <c r="AN77" s="59">
        <f ca="1">AVERAGE(OFFSET($AM$3,0,0,'Données projet'!$E$10+1,1))-AVERAGE(OFFSET($H$3,0,0,'Données projet'!$E$10+1,1))</f>
        <v>424.89201140676084</v>
      </c>
      <c r="AO77" s="59">
        <f t="shared" si="90"/>
        <v>253.0016648946303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5.6899038461538431</v>
      </c>
      <c r="BD77" s="12">
        <f>IF('Données projet'!$A$88&gt;35,BD76+BC77-BL76,IF(A77&lt;'Données projet'!$A$88,$BA$205^A77,IF(A77='Données projet'!$A$88,'Données projet'!$B$88,BD76+BC77-BL76)))</f>
        <v>175.69471153846149</v>
      </c>
      <c r="BE77" s="13">
        <f>BD77*VLOOKUP('Données projet'!$B$11,Paramètres!$A$1:$I$89,3,0)*VLOOKUP('Données projet'!$B$11,Paramètres!$A$1:$I$89,5,0)</f>
        <v>167.19108749999995</v>
      </c>
      <c r="BF77" s="13">
        <f t="shared" si="91"/>
        <v>42.460311902698287</v>
      </c>
      <c r="BG77" s="20">
        <f t="shared" si="61"/>
        <v>365.14285395969938</v>
      </c>
      <c r="BH77" s="59">
        <f t="shared" si="62"/>
        <v>633.36888306265018</v>
      </c>
      <c r="BI77" s="59">
        <f ca="1">AVERAGE(OFFSET($BH$3,0,0,'Données projet'!$E$11+1,1))-AVERAGE(OFFSET($H$3,0,0,'Données projet'!$E$11+1,1))</f>
        <v>403.89478276355294</v>
      </c>
      <c r="BJ77" s="59">
        <f t="shared" si="92"/>
        <v>241.1593989733278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0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4.2</v>
      </c>
      <c r="BY77" s="12">
        <f>IF('Données projet'!$A$114&gt;35,BY76+BX77-CG76,IF(A77&lt;'Données projet'!$A$114,$BV$205^A77,IF(A77='Données projet'!$A$114,'Données projet'!$B$114,BY76+BX77-CG76)))</f>
        <v>319.7999999999999</v>
      </c>
      <c r="BZ77" s="13">
        <f>BY77*VLOOKUP('Données projet'!$B$12,Paramètres!$A$1:$I$89,3,0)*VLOOKUP('Données projet'!$B$12,Paramètres!$A$1:$I$89,5,0)</f>
        <v>254.43287999999995</v>
      </c>
      <c r="CA77" s="13">
        <f t="shared" si="93"/>
        <v>61.534202204620392</v>
      </c>
      <c r="CB77" s="20">
        <f t="shared" si="64"/>
        <v>550.30933483971376</v>
      </c>
      <c r="CC77" s="59">
        <f t="shared" si="65"/>
        <v>818.53536394266462</v>
      </c>
      <c r="CD77" s="59">
        <f ca="1">AVERAGE(OFFSET($CC$3,0,0,'Données projet'!$E$12+1,1))-AVERAGE(OFFSET($H$3,0,0,'Données projet'!$E$12+1,1))</f>
        <v>377.27600411578322</v>
      </c>
      <c r="CE77" s="59">
        <f t="shared" si="94"/>
        <v>364.58250627635425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39.924760642023301</v>
      </c>
      <c r="CL77" s="21">
        <f>EXP(-LN(2)/25)*CL76+(1-EXP(-LN(2)/25))/(LN(2)/25)*Calculateur!CG77*Calculateur!CI77*VLOOKUP('Données projet'!$B$12,Paramètres!$A$1:$I$89,3,0)*0.475*44/12</f>
        <v>8.3682092952417992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48.292969937265099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1.7053025658242404E-13</v>
      </c>
      <c r="CU77" s="17">
        <f>CT77*VLOOKUP('Données projet'!$B$13,Paramètres!$A$1:$I$89,3,0)*VLOOKUP('Données projet'!$B$13,Paramètres!$A$1:$I$89,5,0)</f>
        <v>1.3301360013429075E-13</v>
      </c>
      <c r="CV77" s="13">
        <f t="shared" si="95"/>
        <v>1.9329766731057041E-12</v>
      </c>
      <c r="CW77" s="20">
        <f t="shared" si="67"/>
        <v>3.5982663925596575E-12</v>
      </c>
      <c r="CX77" s="59">
        <f t="shared" si="68"/>
        <v>268.22602910295444</v>
      </c>
      <c r="CY77" s="59">
        <f ca="1">AVERAGE(OFFSET($CX$3,0,0,'Données projet'!$E$13+1,1))-AVERAGE(OFFSET($H$3,0,0,'Données projet'!$E$13+1,1))</f>
        <v>308.82719216177946</v>
      </c>
      <c r="CZ77" s="59">
        <f t="shared" si="96"/>
        <v>302.59481222418219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73.484662123486714</v>
      </c>
      <c r="DG77" s="21">
        <f>EXP(-LN(2)/25)*DG76+(1-EXP(-LN(2)/25))/(LN(2)/25)*Calculateur!DB77*Calculateur!DD77*VLOOKUP('Données projet'!$B$13,Paramètres!$A$1:$I$89,3,0)*0.475*44/12</f>
        <v>59.379853946617715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132.86451607010443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304.99999999999983</v>
      </c>
      <c r="DP77" s="17">
        <f>DO77*VLOOKUP('Données projet'!$B$14,Paramètres!$A$1:$I$89,3,0)*VLOOKUP('Données projet'!$B$14,Paramètres!$A$1:$I$89,5,0)</f>
        <v>275.96399999999983</v>
      </c>
      <c r="DQ77" s="13">
        <f t="shared" si="97"/>
        <v>66.113366665488854</v>
      </c>
      <c r="DR77" s="20">
        <f t="shared" si="70"/>
        <v>595.78474694239264</v>
      </c>
      <c r="DS77" s="59">
        <f t="shared" si="71"/>
        <v>864.0107760453435</v>
      </c>
      <c r="DT77" s="59">
        <f ca="1">AVERAGE(OFFSET($DS$3,0,0,'Données projet'!$E$14+1,1))-AVERAGE(OFFSET($H$3,0,0,'Données projet'!$E$14+1,1))</f>
        <v>376.51107072413777</v>
      </c>
      <c r="DU77" s="59">
        <f t="shared" si="98"/>
        <v>532.90758914457615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0.67620024698240033</v>
      </c>
      <c r="EB77" s="21">
        <f>EXP(-LN(2)/25)*EB76+(1-EXP(-LN(2)/25))/(LN(2)/25)*Calculateur!DW77*Calculateur!DY77*VLOOKUP('Données projet'!$B$14,Paramètres!$A$1:$I$89,3,0)*0.475*44/12</f>
        <v>2.1798184904498972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2.8560187374322976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-1.7053025658242404E-13</v>
      </c>
      <c r="EK77" s="17">
        <f>EJ77*VLOOKUP('Données projet'!$B$15,Paramètres!$A$1:$I$89,3,0)*VLOOKUP('Données projet'!$B$15,Paramètres!$A$1:$I$89,5,0)</f>
        <v>-1.0197709343628959E-13</v>
      </c>
      <c r="EL77" s="13" t="e">
        <f t="shared" si="99"/>
        <v>#NUM!</v>
      </c>
      <c r="EM77" s="20" t="e">
        <f t="shared" si="73"/>
        <v>#NUM!</v>
      </c>
      <c r="EN77" s="59" t="e">
        <f t="shared" si="74"/>
        <v>#NUM!</v>
      </c>
      <c r="EO77" s="59">
        <f ca="1">AVERAGE(OFFSET($EN$3,0,0,'Données projet'!$E$15+1,1))-AVERAGE(OFFSET($H$3,0,0,'Données projet'!$E$15+1,1))</f>
        <v>337.99164391755608</v>
      </c>
      <c r="EP77" s="59">
        <f t="shared" si="100"/>
        <v>421.45428231923393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114.01626507973489</v>
      </c>
      <c r="EW77" s="21">
        <f>EXP(-LN(2)/25)*EW76+(1-EXP(-LN(2)/25))/(LN(2)/25)*Calculateur!ER77*Calculateur!ET77*VLOOKUP('Données projet'!$B$15,Paramètres!$A$1:$I$89,3,0)*0.475*44/12</f>
        <v>26.834057600430693</v>
      </c>
      <c r="EX77" s="21">
        <f>EXP(-LN(2)/2)*EX76+(1-EXP(-LN(2)/2))/(LN(2)/2)*ER77*EU77*VLOOKUP('Données projet'!$B$15,Paramètres!$A$1:$I$89,3,0)*0.475*44/12</f>
        <v>7.8918693247674865E-2</v>
      </c>
      <c r="EY77" s="22">
        <f t="shared" si="75"/>
        <v>140.92924137341328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>
        <f>VLOOKUP(A78,'Données projet'!$A$35:$I$55,2,0)</f>
        <v>181.38461538461536</v>
      </c>
      <c r="L78" s="12">
        <f>VLOOKUP(A78,'Données projet'!$A$35:$I$55,9,0)</f>
        <v>5.6899038461538431</v>
      </c>
      <c r="M78" s="12">
        <f t="array" ref="M78">INDEX(L:L,MIN(IF(ISNUMBER(L78:L274),ROW(L78:L274),"")))</f>
        <v>5.6899038461538431</v>
      </c>
      <c r="N78" s="13">
        <f>IF('Données projet'!$A$36&gt;35,N77+M78-V77,IF(A78&lt;'Données projet'!$A$36,$K$205^A78,IF(A78='Données projet'!$A$36,'Données projet'!$B$36,N77+M78-V77)))</f>
        <v>181.38461538461533</v>
      </c>
      <c r="O78" s="13">
        <f>N78*VLOOKUP('Données projet'!$B$9,Paramètres!$A$1:$I$89,3,0)*VLOOKUP('Données projet'!$B$9,Paramètres!$A$1:$I$89,5,0)</f>
        <v>164.11679999999993</v>
      </c>
      <c r="P78" s="13">
        <f t="shared" si="87"/>
        <v>41.769693774469289</v>
      </c>
      <c r="Q78" s="20">
        <f t="shared" si="54"/>
        <v>358.58564332386726</v>
      </c>
      <c r="R78" s="59">
        <f t="shared" si="55"/>
        <v>627.24722802369206</v>
      </c>
      <c r="S78" s="59">
        <f ca="1">AVERAGE(OFFSET($R$3,0,0,'Données projet'!$E$9+1,1))-AVERAGE(OFFSET($H$3,0,0,'Données projet'!$E$9+1,1))</f>
        <v>388.1278150896951</v>
      </c>
      <c r="T78" s="59">
        <f t="shared" si="88"/>
        <v>232.26614607059227</v>
      </c>
      <c r="U78" s="15">
        <f>IF(ISNA(VLOOKUP(A78,'Données projet'!$A$35:$I$55,3,0)),0,VLOOKUP(A78,'Données projet'!$A$35:$I$55,3,0))</f>
        <v>5</v>
      </c>
      <c r="V78" s="15">
        <f>IF(ISNA(VLOOKUP(A78,'Données projet'!$A$35:$I$55,4,0)),0,VLOOKUP(A78,'Données projet'!$A$35:$I$55,4,0))</f>
        <v>30.916666666666664</v>
      </c>
      <c r="W78" s="16">
        <f>IF(ISNA(VLOOKUP(A78,'Données projet'!$A$35:$I$55,5,0)),0%,VLOOKUP(A78,'Données projet'!$A$35:$I$55,5,0)*VLOOKUP('Données projet'!$B$9,Paramètres!$A$1:$I$89,7,0))</f>
        <v>0.30099999999999999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9.3080532995629337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9.3080532995629337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181.38461538461536</v>
      </c>
      <c r="AG78" s="12">
        <f>VLOOKUP(A78,'Données projet'!$A$61:$I$81,9,0)</f>
        <v>5.6899038461538431</v>
      </c>
      <c r="AH78" s="12">
        <f t="array" ref="AH78">INDEX(AG:AG,MIN(IF(ISNUMBER(AG78:AG274),ROW(AG78:AG274),"")))</f>
        <v>5.6899038461538431</v>
      </c>
      <c r="AI78" s="13">
        <f>IF('Données projet'!$A$62&gt;35,AI77+AH78-AQ77,IF(A78&lt;'Données projet'!$A$62,$AF$205^A78,IF(A78='Données projet'!$A$62,'Données projet'!$B$62,AI77+AH78-AQ77)))</f>
        <v>181.38461538461533</v>
      </c>
      <c r="AJ78" s="13">
        <f>AI78*VLOOKUP('Données projet'!$B$10,Paramètres!$A$1:$I$89,3,0)*VLOOKUP('Données projet'!$B$10,Paramètres!$A$1:$I$89,5,0)</f>
        <v>183.92399999999995</v>
      </c>
      <c r="AK78" s="13">
        <f t="shared" si="89"/>
        <v>46.194105104770117</v>
      </c>
      <c r="AL78" s="20">
        <f t="shared" si="58"/>
        <v>400.78903305747446</v>
      </c>
      <c r="AM78" s="59">
        <f t="shared" si="59"/>
        <v>669.45061775729926</v>
      </c>
      <c r="AN78" s="59">
        <f ca="1">AVERAGE(OFFSET($AM$3,0,0,'Données projet'!$E$10+1,1))-AVERAGE(OFFSET($H$3,0,0,'Données projet'!$E$10+1,1))</f>
        <v>424.89201140676084</v>
      </c>
      <c r="AO78" s="59">
        <f t="shared" si="90"/>
        <v>253.0016648946303</v>
      </c>
      <c r="AP78" s="15">
        <f>IF(ISNA(VLOOKUP(A78,'Données projet'!$A$61:$I$81,3,0)),0,VLOOKUP(A78,'Données projet'!$A$61:$I$81,3,0))</f>
        <v>5</v>
      </c>
      <c r="AQ78" s="15">
        <f>IF(ISNA(VLOOKUP(A78,'Données projet'!$A$61:$I$81,4,0)),0,VLOOKUP(A78,'Données projet'!$A$61:$I$81,4,0))</f>
        <v>30.916666666666664</v>
      </c>
      <c r="AR78" s="16">
        <f>IF(ISNA(VLOOKUP(A78,'Données projet'!$A$61:$I$81,5,0)),0%,VLOOKUP(A78,'Données projet'!$A$61:$I$81,5,0)*VLOOKUP('Données projet'!$B$10,Paramètres!$A$1:$I$89,7,0))</f>
        <v>0.30099999999999999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10.431439042613633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10.431439042613633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181.38461538461536</v>
      </c>
      <c r="BB78" s="12">
        <f>VLOOKUP(A78,'Données projet'!$A$87:$I$107,9,0)</f>
        <v>5.6899038461538431</v>
      </c>
      <c r="BC78" s="12">
        <f t="array" ref="BC78">INDEX(BB:BB,MIN(IF(ISNUMBER(BB78:BB274),ROW(BB78:BB274),"")))</f>
        <v>5.6899038461538431</v>
      </c>
      <c r="BD78" s="12">
        <f>IF('Données projet'!$A$88&gt;35,BD77+BC78-BL77,IF(A78&lt;'Données projet'!$A$88,$BA$205^A78,IF(A78='Données projet'!$A$88,'Données projet'!$B$88,BD77+BC78-BL77)))</f>
        <v>181.38461538461533</v>
      </c>
      <c r="BE78" s="13">
        <f>BD78*VLOOKUP('Données projet'!$B$11,Paramètres!$A$1:$I$89,3,0)*VLOOKUP('Données projet'!$B$11,Paramètres!$A$1:$I$89,5,0)</f>
        <v>172.60559999999995</v>
      </c>
      <c r="BF78" s="13">
        <f t="shared" si="91"/>
        <v>43.673073690898889</v>
      </c>
      <c r="BG78" s="20">
        <f t="shared" si="61"/>
        <v>376.68535667831543</v>
      </c>
      <c r="BH78" s="59">
        <f t="shared" si="62"/>
        <v>645.34694137814017</v>
      </c>
      <c r="BI78" s="59">
        <f ca="1">AVERAGE(OFFSET($BH$3,0,0,'Données projet'!$E$11+1,1))-AVERAGE(OFFSET($H$3,0,0,'Données projet'!$E$11+1,1))</f>
        <v>403.89478276355294</v>
      </c>
      <c r="BJ78" s="59">
        <f t="shared" si="92"/>
        <v>241.1593989733278</v>
      </c>
      <c r="BK78" s="15">
        <f>IF(ISNA(VLOOKUP(A78,'Données projet'!$A$87:$I$107,3,0)),0,VLOOKUP(A78,'Données projet'!$A$87:$I$107,3,0))</f>
        <v>5</v>
      </c>
      <c r="BL78" s="15">
        <f>IF(ISNA(VLOOKUP(A78,'Données projet'!$A$87:$I$107,4,0)),0,VLOOKUP(A78,'Données projet'!$A$87:$I$107,4,0))</f>
        <v>30.916666666666664</v>
      </c>
      <c r="BM78" s="16">
        <f>IF(ISNA(VLOOKUP(A78,'Données projet'!$A$87:$I$107,5,0)),0%,VLOOKUP(A78,'Données projet'!$A$87:$I$107,5,0)*VLOOKUP('Données projet'!$B$11,Paramètres!$A$1:$I$89,7,0))</f>
        <v>0.30099999999999999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9.7895043322989483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9.7895043322989483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324</v>
      </c>
      <c r="BW78" s="12">
        <f>VLOOKUP(A78,'Données projet'!$A$113:$I$133,9,0)</f>
        <v>4.2</v>
      </c>
      <c r="BX78" s="12">
        <f t="array" ref="BX78">INDEX(BW:BW,MIN(IF(ISNUMBER(BW78:BW274),ROW(BW78:BW274),"")))</f>
        <v>4.2</v>
      </c>
      <c r="BY78" s="12">
        <f>IF('Données projet'!$A$114&gt;35,BY77+BX78-CG77,IF(A78&lt;'Données projet'!$A$114,$BV$205^A78,IF(A78='Données projet'!$A$114,'Données projet'!$B$114,BY77+BX78-CG77)))</f>
        <v>323.99999999999989</v>
      </c>
      <c r="BZ78" s="13">
        <f>BY78*VLOOKUP('Données projet'!$B$12,Paramètres!$A$1:$I$89,3,0)*VLOOKUP('Données projet'!$B$12,Paramètres!$A$1:$I$89,5,0)</f>
        <v>257.77439999999996</v>
      </c>
      <c r="CA78" s="13">
        <f t="shared" si="93"/>
        <v>62.247732872134293</v>
      </c>
      <c r="CB78" s="20">
        <f t="shared" si="64"/>
        <v>557.37188141896718</v>
      </c>
      <c r="CC78" s="59">
        <f t="shared" si="65"/>
        <v>826.03346611879192</v>
      </c>
      <c r="CD78" s="59">
        <f ca="1">AVERAGE(OFFSET($CC$3,0,0,'Données projet'!$E$12+1,1))-AVERAGE(OFFSET($H$3,0,0,'Données projet'!$E$12+1,1))</f>
        <v>377.27600411578322</v>
      </c>
      <c r="CE78" s="59">
        <f t="shared" si="94"/>
        <v>364.58250627635425</v>
      </c>
      <c r="CF78" s="15">
        <f>IF(ISNA(VLOOKUP(A78,'Données projet'!$A$113:$I$133,3,0)),0,VLOOKUP(A78,'Données projet'!$A$113:$I$133,3,0))</f>
        <v>13</v>
      </c>
      <c r="CG78" s="15">
        <f>IF(ISNA(VLOOKUP(A78,'Données projet'!$A$113:$I$133,4,0)),0,VLOOKUP(A78,'Données projet'!$A$113:$I$133,4,0))</f>
        <v>12</v>
      </c>
      <c r="CH78" s="16">
        <f>IF(ISNA(VLOOKUP(A78,'Données projet'!$A$113:$I$133,5,0)),0%,VLOOKUP(A78,'Données projet'!$A$113:$I$133,5,0)*VLOOKUP('Données projet'!$B$12,Paramètres!$A$1:$I$89,7,0))</f>
        <v>0.48760000000000003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44.288062420858459</v>
      </c>
      <c r="CL78" s="21">
        <f>EXP(-LN(2)/25)*CL77+(1-EXP(-LN(2)/25))/(LN(2)/25)*Calculateur!CG78*Calculateur!CI78*VLOOKUP('Données projet'!$B$12,Paramètres!$A$1:$I$89,3,0)*0.475*44/12</f>
        <v>8.1393801719984111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52.42744259285687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1.7053025658242404E-13</v>
      </c>
      <c r="CU78" s="17">
        <f>CT78*VLOOKUP('Données projet'!$B$13,Paramètres!$A$1:$I$89,3,0)*VLOOKUP('Données projet'!$B$13,Paramètres!$A$1:$I$89,5,0)</f>
        <v>1.3301360013429075E-13</v>
      </c>
      <c r="CV78" s="13">
        <f t="shared" si="95"/>
        <v>1.9329766731057041E-12</v>
      </c>
      <c r="CW78" s="20">
        <f t="shared" si="67"/>
        <v>3.5982663925596575E-12</v>
      </c>
      <c r="CX78" s="59">
        <f t="shared" si="68"/>
        <v>268.66158469982838</v>
      </c>
      <c r="CY78" s="59">
        <f ca="1">AVERAGE(OFFSET($CX$3,0,0,'Données projet'!$E$13+1,1))-AVERAGE(OFFSET($H$3,0,0,'Données projet'!$E$13+1,1))</f>
        <v>308.82719216177946</v>
      </c>
      <c r="CZ78" s="59">
        <f t="shared" si="96"/>
        <v>302.59481222418219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72.043672720463306</v>
      </c>
      <c r="DG78" s="21">
        <f>EXP(-LN(2)/25)*DG77+(1-EXP(-LN(2)/25))/(LN(2)/25)*Calculateur!DB78*Calculateur!DD78*VLOOKUP('Données projet'!$B$13,Paramètres!$A$1:$I$89,3,0)*0.475*44/12</f>
        <v>57.75610871779665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129.79978143825997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304.99999999999983</v>
      </c>
      <c r="DP78" s="17">
        <f>DO78*VLOOKUP('Données projet'!$B$14,Paramètres!$A$1:$I$89,3,0)*VLOOKUP('Données projet'!$B$14,Paramètres!$A$1:$I$89,5,0)</f>
        <v>275.96399999999983</v>
      </c>
      <c r="DQ78" s="13">
        <f t="shared" si="97"/>
        <v>66.113366665488854</v>
      </c>
      <c r="DR78" s="20">
        <f t="shared" si="70"/>
        <v>595.78474694239264</v>
      </c>
      <c r="DS78" s="59">
        <f t="shared" si="71"/>
        <v>864.4463316422175</v>
      </c>
      <c r="DT78" s="59">
        <f ca="1">AVERAGE(OFFSET($DS$3,0,0,'Données projet'!$E$14+1,1))-AVERAGE(OFFSET($H$3,0,0,'Données projet'!$E$14+1,1))</f>
        <v>376.51107072413777</v>
      </c>
      <c r="DU78" s="59">
        <f t="shared" si="98"/>
        <v>532.90758914457615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0.66294037258050087</v>
      </c>
      <c r="EB78" s="21">
        <f>EXP(-LN(2)/25)*EB77+(1-EXP(-LN(2)/25))/(LN(2)/25)*Calculateur!DW78*Calculateur!DY78*VLOOKUP('Données projet'!$B$14,Paramètres!$A$1:$I$89,3,0)*0.475*44/12</f>
        <v>2.1202112391968724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2.7831516117773734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-1.7053025658242404E-13</v>
      </c>
      <c r="EK78" s="17">
        <f>EJ78*VLOOKUP('Données projet'!$B$15,Paramètres!$A$1:$I$89,3,0)*VLOOKUP('Données projet'!$B$15,Paramètres!$A$1:$I$89,5,0)</f>
        <v>-1.0197709343628959E-13</v>
      </c>
      <c r="EL78" s="13" t="e">
        <f t="shared" si="99"/>
        <v>#NUM!</v>
      </c>
      <c r="EM78" s="20" t="e">
        <f t="shared" si="73"/>
        <v>#NUM!</v>
      </c>
      <c r="EN78" s="59" t="e">
        <f t="shared" si="74"/>
        <v>#NUM!</v>
      </c>
      <c r="EO78" s="59">
        <f ca="1">AVERAGE(OFFSET($EN$3,0,0,'Données projet'!$E$15+1,1))-AVERAGE(OFFSET($H$3,0,0,'Données projet'!$E$15+1,1))</f>
        <v>337.99164391755608</v>
      </c>
      <c r="EP78" s="59">
        <f t="shared" si="100"/>
        <v>421.45428231923393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111.78047566457619</v>
      </c>
      <c r="EW78" s="21">
        <f>EXP(-LN(2)/25)*EW77+(1-EXP(-LN(2)/25))/(LN(2)/25)*Calculateur!ER78*Calculateur!ET78*VLOOKUP('Données projet'!$B$15,Paramètres!$A$1:$I$89,3,0)*0.475*44/12</f>
        <v>26.100278884205157</v>
      </c>
      <c r="EX78" s="21">
        <f>EXP(-LN(2)/2)*EX77+(1-EXP(-LN(2)/2))/(LN(2)/2)*ER78*EU78*VLOOKUP('Données projet'!$B$15,Paramètres!$A$1:$I$89,3,0)*0.475*44/12</f>
        <v>5.5803943157811897E-2</v>
      </c>
      <c r="EY78" s="22">
        <f t="shared" si="75"/>
        <v>137.93655849193914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5.5042735042735051</v>
      </c>
      <c r="N79" s="13">
        <f>IF('Données projet'!$A$36&gt;35,N78+M79-V78,IF(A79&lt;'Données projet'!$A$36,$K$205^A79,IF(A79='Données projet'!$A$36,'Données projet'!$B$36,N78+M79-V78)))</f>
        <v>155.97222222222217</v>
      </c>
      <c r="O79" s="13">
        <f>N79*VLOOKUP('Données projet'!$B$9,Paramètres!$A$1:$I$89,3,0)*VLOOKUP('Données projet'!$B$9,Paramètres!$A$1:$I$89,5,0)</f>
        <v>141.12366666666662</v>
      </c>
      <c r="P79" s="13">
        <f t="shared" si="87"/>
        <v>36.554301861544381</v>
      </c>
      <c r="Q79" s="20">
        <f t="shared" si="54"/>
        <v>309.45579518663413</v>
      </c>
      <c r="R79" s="59">
        <f t="shared" si="55"/>
        <v>578.54537956748356</v>
      </c>
      <c r="S79" s="59">
        <f ca="1">AVERAGE(OFFSET($R$3,0,0,'Données projet'!$E$9+1,1))-AVERAGE(OFFSET($H$3,0,0,'Données projet'!$E$9+1,1))</f>
        <v>388.1278150896951</v>
      </c>
      <c r="T79" s="59">
        <f t="shared" si="88"/>
        <v>232.26614607059227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9.1255280517104254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9.1255280517104254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5.5042735042735051</v>
      </c>
      <c r="AI79" s="13">
        <f>IF('Données projet'!$A$62&gt;35,AI78+AH79-AQ78,IF(A79&lt;'Données projet'!$A$62,$AF$205^A79,IF(A79='Données projet'!$A$62,'Données projet'!$B$62,AI78+AH79-AQ78)))</f>
        <v>155.97222222222217</v>
      </c>
      <c r="AJ79" s="13">
        <f>AI79*VLOOKUP('Données projet'!$B$10,Paramètres!$A$1:$I$89,3,0)*VLOOKUP('Données projet'!$B$10,Paramètres!$A$1:$I$89,5,0)</f>
        <v>158.15583333333331</v>
      </c>
      <c r="AK79" s="13">
        <f t="shared" si="89"/>
        <v>40.426278232755124</v>
      </c>
      <c r="AL79" s="20">
        <f t="shared" si="58"/>
        <v>345.86384431093734</v>
      </c>
      <c r="AM79" s="59">
        <f t="shared" si="59"/>
        <v>614.95342869178671</v>
      </c>
      <c r="AN79" s="59">
        <f ca="1">AVERAGE(OFFSET($AM$3,0,0,'Données projet'!$E$10+1,1))-AVERAGE(OFFSET($H$3,0,0,'Données projet'!$E$10+1,1))</f>
        <v>424.89201140676084</v>
      </c>
      <c r="AO79" s="59">
        <f t="shared" si="90"/>
        <v>253.0016648946303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10.226884885537546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10.226884885537546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5.5042735042735051</v>
      </c>
      <c r="BD79" s="12">
        <f>IF('Données projet'!$A$88&gt;35,BD78+BC79-BL78,IF(A79&lt;'Données projet'!$A$88,$BA$205^A79,IF(A79='Données projet'!$A$88,'Données projet'!$B$88,BD78+BC79-BL78)))</f>
        <v>155.97222222222217</v>
      </c>
      <c r="BE79" s="13">
        <f>BD79*VLOOKUP('Données projet'!$B$11,Paramètres!$A$1:$I$89,3,0)*VLOOKUP('Données projet'!$B$11,Paramètres!$A$1:$I$89,5,0)</f>
        <v>148.42316666666662</v>
      </c>
      <c r="BF79" s="13">
        <f t="shared" si="91"/>
        <v>38.220024488050548</v>
      </c>
      <c r="BG79" s="20">
        <f t="shared" si="61"/>
        <v>325.07022459446569</v>
      </c>
      <c r="BH79" s="59">
        <f t="shared" si="62"/>
        <v>594.15980897531517</v>
      </c>
      <c r="BI79" s="59">
        <f ca="1">AVERAGE(OFFSET($BH$3,0,0,'Données projet'!$E$11+1,1))-AVERAGE(OFFSET($H$3,0,0,'Données projet'!$E$11+1,1))</f>
        <v>403.89478276355294</v>
      </c>
      <c r="BJ79" s="59">
        <f t="shared" si="92"/>
        <v>241.1593989733278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9.5975381233506205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9.5975381233506205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3.6</v>
      </c>
      <c r="BY79" s="12">
        <f>IF('Données projet'!$A$114&gt;35,BY78+BX79-CG78,IF(A79&lt;'Données projet'!$A$114,$BV$205^A79,IF(A79='Données projet'!$A$114,'Données projet'!$B$114,BY78+BX79-CG78)))</f>
        <v>315.59999999999991</v>
      </c>
      <c r="BZ79" s="13">
        <f>BY79*VLOOKUP('Données projet'!$B$12,Paramètres!$A$1:$I$89,3,0)*VLOOKUP('Données projet'!$B$12,Paramètres!$A$1:$I$89,5,0)</f>
        <v>251.09135999999995</v>
      </c>
      <c r="CA79" s="13">
        <f t="shared" si="93"/>
        <v>60.81957989149403</v>
      </c>
      <c r="CB79" s="20">
        <f t="shared" si="64"/>
        <v>543.24488697768527</v>
      </c>
      <c r="CC79" s="59">
        <f t="shared" si="65"/>
        <v>812.33447135853476</v>
      </c>
      <c r="CD79" s="59">
        <f ca="1">AVERAGE(OFFSET($CC$3,0,0,'Données projet'!$E$12+1,1))-AVERAGE(OFFSET($H$3,0,0,'Données projet'!$E$12+1,1))</f>
        <v>377.27600411578322</v>
      </c>
      <c r="CE79" s="59">
        <f t="shared" si="94"/>
        <v>364.58250627635425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43.419600529836181</v>
      </c>
      <c r="CL79" s="21">
        <f>EXP(-LN(2)/25)*CL78+(1-EXP(-LN(2)/25))/(LN(2)/25)*Calculateur!CG79*Calculateur!CI79*VLOOKUP('Données projet'!$B$12,Paramètres!$A$1:$I$89,3,0)*0.475*44/12</f>
        <v>7.9168083931637145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51.336408922999894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1.7053025658242404E-13</v>
      </c>
      <c r="CU79" s="17">
        <f>CT79*VLOOKUP('Données projet'!$B$13,Paramètres!$A$1:$I$89,3,0)*VLOOKUP('Données projet'!$B$13,Paramètres!$A$1:$I$89,5,0)</f>
        <v>1.3301360013429075E-13</v>
      </c>
      <c r="CV79" s="13">
        <f t="shared" si="95"/>
        <v>1.9329766731057041E-12</v>
      </c>
      <c r="CW79" s="20">
        <f t="shared" si="67"/>
        <v>3.5982663925596575E-12</v>
      </c>
      <c r="CX79" s="59">
        <f t="shared" si="68"/>
        <v>269.08958438085301</v>
      </c>
      <c r="CY79" s="59">
        <f ca="1">AVERAGE(OFFSET($CX$3,0,0,'Données projet'!$E$13+1,1))-AVERAGE(OFFSET($H$3,0,0,'Données projet'!$E$13+1,1))</f>
        <v>308.82719216177946</v>
      </c>
      <c r="CZ79" s="59">
        <f t="shared" si="96"/>
        <v>302.59481222418219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70.630940240716441</v>
      </c>
      <c r="DG79" s="21">
        <f>EXP(-LN(2)/25)*DG78+(1-EXP(-LN(2)/25))/(LN(2)/25)*Calculateur!DB79*Calculateur!DD79*VLOOKUP('Données projet'!$B$13,Paramètres!$A$1:$I$89,3,0)*0.475*44/12</f>
        <v>56.176764887646748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126.80770512836318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304.99999999999983</v>
      </c>
      <c r="DP79" s="17">
        <f>DO79*VLOOKUP('Données projet'!$B$14,Paramètres!$A$1:$I$89,3,0)*VLOOKUP('Données projet'!$B$14,Paramètres!$A$1:$I$89,5,0)</f>
        <v>275.96399999999983</v>
      </c>
      <c r="DQ79" s="13">
        <f t="shared" si="97"/>
        <v>66.113366665488854</v>
      </c>
      <c r="DR79" s="20">
        <f t="shared" si="70"/>
        <v>595.78474694239264</v>
      </c>
      <c r="DS79" s="59">
        <f t="shared" si="71"/>
        <v>864.87433132324213</v>
      </c>
      <c r="DT79" s="59">
        <f ca="1">AVERAGE(OFFSET($DS$3,0,0,'Données projet'!$E$14+1,1))-AVERAGE(OFFSET($H$3,0,0,'Données projet'!$E$14+1,1))</f>
        <v>376.51107072413777</v>
      </c>
      <c r="DU79" s="59">
        <f t="shared" si="98"/>
        <v>532.90758914457615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0.64994051622789795</v>
      </c>
      <c r="EB79" s="21">
        <f>EXP(-LN(2)/25)*EB78+(1-EXP(-LN(2)/25))/(LN(2)/25)*Calculateur!DW79*Calculateur!DY79*VLOOKUP('Données projet'!$B$14,Paramètres!$A$1:$I$89,3,0)*0.475*44/12</f>
        <v>2.0622339513639707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2.7121744675918684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-1.7053025658242404E-13</v>
      </c>
      <c r="EK79" s="17">
        <f>EJ79*VLOOKUP('Données projet'!$B$15,Paramètres!$A$1:$I$89,3,0)*VLOOKUP('Données projet'!$B$15,Paramètres!$A$1:$I$89,5,0)</f>
        <v>-1.0197709343628959E-13</v>
      </c>
      <c r="EL79" s="13" t="e">
        <f t="shared" si="99"/>
        <v>#NUM!</v>
      </c>
      <c r="EM79" s="20" t="e">
        <f t="shared" si="73"/>
        <v>#NUM!</v>
      </c>
      <c r="EN79" s="59" t="e">
        <f t="shared" si="74"/>
        <v>#NUM!</v>
      </c>
      <c r="EO79" s="59">
        <f ca="1">AVERAGE(OFFSET($EN$3,0,0,'Données projet'!$E$15+1,1))-AVERAGE(OFFSET($H$3,0,0,'Données projet'!$E$15+1,1))</f>
        <v>337.99164391755608</v>
      </c>
      <c r="EP79" s="59">
        <f t="shared" si="100"/>
        <v>421.45428231923393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109.58852871615186</v>
      </c>
      <c r="EW79" s="21">
        <f>EXP(-LN(2)/25)*EW78+(1-EXP(-LN(2)/25))/(LN(2)/25)*Calculateur!ER79*Calculateur!ET79*VLOOKUP('Données projet'!$B$15,Paramètres!$A$1:$I$89,3,0)*0.475*44/12</f>
        <v>25.386565385562552</v>
      </c>
      <c r="EX79" s="21">
        <f>EXP(-LN(2)/2)*EX78+(1-EXP(-LN(2)/2))/(LN(2)/2)*ER79*EU79*VLOOKUP('Données projet'!$B$15,Paramètres!$A$1:$I$89,3,0)*0.475*44/12</f>
        <v>3.9459346623837432E-2</v>
      </c>
      <c r="EY79" s="22">
        <f t="shared" si="75"/>
        <v>135.01455344833823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5.5042735042735051</v>
      </c>
      <c r="N80" s="13">
        <f>IF('Données projet'!$A$36&gt;35,N79+M80-V79,IF(A80&lt;'Données projet'!$A$36,$K$205^A80,IF(A80='Données projet'!$A$36,'Données projet'!$B$36,N79+M80-V79)))</f>
        <v>161.47649572649567</v>
      </c>
      <c r="O80" s="13">
        <f>N80*VLOOKUP('Données projet'!$B$9,Paramètres!$A$1:$I$89,3,0)*VLOOKUP('Données projet'!$B$9,Paramètres!$A$1:$I$89,5,0)</f>
        <v>146.10393333333329</v>
      </c>
      <c r="P80" s="13">
        <f t="shared" si="87"/>
        <v>37.691838944088502</v>
      </c>
      <c r="Q80" s="20">
        <f t="shared" si="54"/>
        <v>320.11097004984299</v>
      </c>
      <c r="R80" s="59">
        <f t="shared" si="55"/>
        <v>589.62112927411522</v>
      </c>
      <c r="S80" s="59">
        <f ca="1">AVERAGE(OFFSET($R$3,0,0,'Données projet'!$E$9+1,1))-AVERAGE(OFFSET($H$3,0,0,'Données projet'!$E$9+1,1))</f>
        <v>388.1278150896951</v>
      </c>
      <c r="T80" s="59">
        <f t="shared" si="88"/>
        <v>232.26614607059227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8.9465820126388955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8.9465820126388955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5.5042735042735051</v>
      </c>
      <c r="AI80" s="13">
        <f>IF('Données projet'!$A$62&gt;35,AI79+AH80-AQ79,IF(A80&lt;'Données projet'!$A$62,$AF$205^A80,IF(A80='Données projet'!$A$62,'Données projet'!$B$62,AI79+AH80-AQ79)))</f>
        <v>161.47649572649567</v>
      </c>
      <c r="AJ80" s="13">
        <f>AI80*VLOOKUP('Données projet'!$B$10,Paramètres!$A$1:$I$89,3,0)*VLOOKUP('Données projet'!$B$10,Paramètres!$A$1:$I$89,5,0)</f>
        <v>163.73716666666661</v>
      </c>
      <c r="AK80" s="13">
        <f t="shared" si="89"/>
        <v>41.68430774657778</v>
      </c>
      <c r="AL80" s="20">
        <f t="shared" si="58"/>
        <v>357.77573460306729</v>
      </c>
      <c r="AM80" s="59">
        <f t="shared" si="59"/>
        <v>627.28589382733958</v>
      </c>
      <c r="AN80" s="59">
        <f ca="1">AVERAGE(OFFSET($AM$3,0,0,'Données projet'!$E$10+1,1))-AVERAGE(OFFSET($H$3,0,0,'Données projet'!$E$10+1,1))</f>
        <v>424.89201140676084</v>
      </c>
      <c r="AO80" s="59">
        <f t="shared" si="90"/>
        <v>253.0016648946303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10.026341910716004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10.026341910716004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5.5042735042735051</v>
      </c>
      <c r="BD80" s="12">
        <f>IF('Données projet'!$A$88&gt;35,BD79+BC80-BL79,IF(A80&lt;'Données projet'!$A$88,$BA$205^A80,IF(A80='Données projet'!$A$88,'Données projet'!$B$88,BD79+BC80-BL79)))</f>
        <v>161.47649572649567</v>
      </c>
      <c r="BE80" s="13">
        <f>BD80*VLOOKUP('Données projet'!$B$11,Paramètres!$A$1:$I$89,3,0)*VLOOKUP('Données projet'!$B$11,Paramètres!$A$1:$I$89,5,0)</f>
        <v>153.66103333333328</v>
      </c>
      <c r="BF80" s="13">
        <f t="shared" si="91"/>
        <v>39.409397364479119</v>
      </c>
      <c r="BG80" s="20">
        <f t="shared" si="61"/>
        <v>336.26433346535657</v>
      </c>
      <c r="BH80" s="59">
        <f t="shared" si="62"/>
        <v>605.77449268962891</v>
      </c>
      <c r="BI80" s="59">
        <f ca="1">AVERAGE(OFFSET($BH$3,0,0,'Données projet'!$E$11+1,1))-AVERAGE(OFFSET($H$3,0,0,'Données projet'!$E$11+1,1))</f>
        <v>403.89478276355294</v>
      </c>
      <c r="BJ80" s="59">
        <f t="shared" si="92"/>
        <v>241.1593989733278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9.4093362546719437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9.4093362546719437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3.6</v>
      </c>
      <c r="BY80" s="12">
        <f>IF('Données projet'!$A$114&gt;35,BY79+BX80-CG79,IF(A80&lt;'Données projet'!$A$114,$BV$205^A80,IF(A80='Données projet'!$A$114,'Données projet'!$B$114,BY79+BX80-CG79)))</f>
        <v>319.19999999999993</v>
      </c>
      <c r="BZ80" s="13">
        <f>BY80*VLOOKUP('Données projet'!$B$12,Paramètres!$A$1:$I$89,3,0)*VLOOKUP('Données projet'!$B$12,Paramètres!$A$1:$I$89,5,0)</f>
        <v>253.95551999999998</v>
      </c>
      <c r="CA80" s="13">
        <f t="shared" si="93"/>
        <v>61.432180511879253</v>
      </c>
      <c r="CB80" s="20">
        <f t="shared" si="64"/>
        <v>549.30024505818972</v>
      </c>
      <c r="CC80" s="59">
        <f t="shared" si="65"/>
        <v>818.81040428246206</v>
      </c>
      <c r="CD80" s="59">
        <f ca="1">AVERAGE(OFFSET($CC$3,0,0,'Données projet'!$E$12+1,1))-AVERAGE(OFFSET($H$3,0,0,'Données projet'!$E$12+1,1))</f>
        <v>377.27600411578322</v>
      </c>
      <c r="CE80" s="59">
        <f t="shared" si="94"/>
        <v>364.58250627635425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42.568168646787406</v>
      </c>
      <c r="CL80" s="21">
        <f>EXP(-LN(2)/25)*CL79+(1-EXP(-LN(2)/25))/(LN(2)/25)*Calculateur!CG80*Calculateur!CI80*VLOOKUP('Données projet'!$B$12,Paramètres!$A$1:$I$89,3,0)*0.475*44/12</f>
        <v>7.7003228513257937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50.2684914981132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1.7053025658242404E-13</v>
      </c>
      <c r="CU80" s="17">
        <f>CT80*VLOOKUP('Données projet'!$B$13,Paramètres!$A$1:$I$89,3,0)*VLOOKUP('Données projet'!$B$13,Paramètres!$A$1:$I$89,5,0)</f>
        <v>1.3301360013429075E-13</v>
      </c>
      <c r="CV80" s="13">
        <f t="shared" si="95"/>
        <v>1.9329766731057041E-12</v>
      </c>
      <c r="CW80" s="20">
        <f t="shared" si="67"/>
        <v>3.5982663925596575E-12</v>
      </c>
      <c r="CX80" s="59">
        <f t="shared" si="68"/>
        <v>269.51015922427587</v>
      </c>
      <c r="CY80" s="59">
        <f ca="1">AVERAGE(OFFSET($CX$3,0,0,'Données projet'!$E$13+1,1))-AVERAGE(OFFSET($H$3,0,0,'Données projet'!$E$13+1,1))</f>
        <v>308.82719216177946</v>
      </c>
      <c r="CZ80" s="59">
        <f t="shared" si="96"/>
        <v>302.59481222418219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69.245910583215675</v>
      </c>
      <c r="DG80" s="21">
        <f>EXP(-LN(2)/25)*DG79+(1-EXP(-LN(2)/25))/(LN(2)/25)*Calculateur!DB80*Calculateur!DD80*VLOOKUP('Données projet'!$B$13,Paramètres!$A$1:$I$89,3,0)*0.475*44/12</f>
        <v>54.640608297586375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123.88651888080204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304.99999999999983</v>
      </c>
      <c r="DP80" s="17">
        <f>DO80*VLOOKUP('Données projet'!$B$14,Paramètres!$A$1:$I$89,3,0)*VLOOKUP('Données projet'!$B$14,Paramètres!$A$1:$I$89,5,0)</f>
        <v>275.96399999999983</v>
      </c>
      <c r="DQ80" s="13">
        <f t="shared" si="97"/>
        <v>66.113366665488854</v>
      </c>
      <c r="DR80" s="20">
        <f t="shared" si="70"/>
        <v>595.78474694239264</v>
      </c>
      <c r="DS80" s="59">
        <f t="shared" si="71"/>
        <v>865.29490616666499</v>
      </c>
      <c r="DT80" s="59">
        <f ca="1">AVERAGE(OFFSET($DS$3,0,0,'Données projet'!$E$14+1,1))-AVERAGE(OFFSET($H$3,0,0,'Données projet'!$E$14+1,1))</f>
        <v>376.51107072413777</v>
      </c>
      <c r="DU80" s="59">
        <f t="shared" si="98"/>
        <v>532.90758914457615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0.63719557912924008</v>
      </c>
      <c r="EB80" s="21">
        <f>EXP(-LN(2)/25)*EB79+(1-EXP(-LN(2)/25))/(LN(2)/25)*Calculateur!DW80*Calculateur!DY80*VLOOKUP('Données projet'!$B$14,Paramètres!$A$1:$I$89,3,0)*0.475*44/12</f>
        <v>2.0058420555157528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2.6430376346449931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-1.7053025658242404E-13</v>
      </c>
      <c r="EK80" s="17">
        <f>EJ80*VLOOKUP('Données projet'!$B$15,Paramètres!$A$1:$I$89,3,0)*VLOOKUP('Données projet'!$B$15,Paramètres!$A$1:$I$89,5,0)</f>
        <v>-1.0197709343628959E-13</v>
      </c>
      <c r="EL80" s="13" t="e">
        <f t="shared" si="99"/>
        <v>#NUM!</v>
      </c>
      <c r="EM80" s="20" t="e">
        <f t="shared" si="73"/>
        <v>#NUM!</v>
      </c>
      <c r="EN80" s="59" t="e">
        <f t="shared" si="74"/>
        <v>#NUM!</v>
      </c>
      <c r="EO80" s="59">
        <f ca="1">AVERAGE(OFFSET($EN$3,0,0,'Données projet'!$E$15+1,1))-AVERAGE(OFFSET($H$3,0,0,'Données projet'!$E$15+1,1))</f>
        <v>337.99164391755608</v>
      </c>
      <c r="EP80" s="59">
        <f t="shared" si="100"/>
        <v>421.45428231923393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107.4395645104305</v>
      </c>
      <c r="EW80" s="21">
        <f>EXP(-LN(2)/25)*EW79+(1-EXP(-LN(2)/25))/(LN(2)/25)*Calculateur!ER80*Calculateur!ET80*VLOOKUP('Données projet'!$B$15,Paramètres!$A$1:$I$89,3,0)*0.475*44/12</f>
        <v>24.692368420072892</v>
      </c>
      <c r="EX80" s="21">
        <f>EXP(-LN(2)/2)*EX79+(1-EXP(-LN(2)/2))/(LN(2)/2)*ER80*EU80*VLOOKUP('Données projet'!$B$15,Paramètres!$A$1:$I$89,3,0)*0.475*44/12</f>
        <v>2.7901971578905949E-2</v>
      </c>
      <c r="EY80" s="22">
        <f t="shared" si="75"/>
        <v>132.15983490208228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5.5042735042735051</v>
      </c>
      <c r="N81" s="13">
        <f>IF('Données projet'!$A$36&gt;35,N80+M81-V80,IF(A81&lt;'Données projet'!$A$36,$K$205^A81,IF(A81='Données projet'!$A$36,'Données projet'!$B$36,N80+M81-V80)))</f>
        <v>166.98076923076917</v>
      </c>
      <c r="O81" s="13">
        <f>N81*VLOOKUP('Données projet'!$B$9,Paramètres!$A$1:$I$89,3,0)*VLOOKUP('Données projet'!$B$9,Paramètres!$A$1:$I$89,5,0)</f>
        <v>151.08419999999992</v>
      </c>
      <c r="P81" s="13">
        <f t="shared" si="87"/>
        <v>38.824870591002266</v>
      </c>
      <c r="Q81" s="20">
        <f t="shared" si="54"/>
        <v>330.75829794599554</v>
      </c>
      <c r="R81" s="59">
        <f t="shared" si="55"/>
        <v>600.68173598042176</v>
      </c>
      <c r="S81" s="59">
        <f ca="1">AVERAGE(OFFSET($R$3,0,0,'Données projet'!$E$9+1,1))-AVERAGE(OFFSET($H$3,0,0,'Données projet'!$E$9+1,1))</f>
        <v>388.1278150896951</v>
      </c>
      <c r="T81" s="59">
        <f t="shared" si="88"/>
        <v>232.26614607059227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8.7711449962472532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8.7711449962472532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5.5042735042735051</v>
      </c>
      <c r="AI81" s="13">
        <f>IF('Données projet'!$A$62&gt;35,AI80+AH81-AQ80,IF(A81&lt;'Données projet'!$A$62,$AF$205^A81,IF(A81='Données projet'!$A$62,'Données projet'!$B$62,AI80+AH81-AQ80)))</f>
        <v>166.98076923076917</v>
      </c>
      <c r="AJ81" s="13">
        <f>AI81*VLOOKUP('Données projet'!$B$10,Paramètres!$A$1:$I$89,3,0)*VLOOKUP('Données projet'!$B$10,Paramètres!$A$1:$I$89,5,0)</f>
        <v>169.31849999999994</v>
      </c>
      <c r="AK81" s="13">
        <f t="shared" si="89"/>
        <v>42.93735459119118</v>
      </c>
      <c r="AL81" s="20">
        <f t="shared" si="58"/>
        <v>369.67894674632447</v>
      </c>
      <c r="AM81" s="59">
        <f t="shared" si="59"/>
        <v>639.60238478075075</v>
      </c>
      <c r="AN81" s="59">
        <f ca="1">AVERAGE(OFFSET($AM$3,0,0,'Données projet'!$E$10+1,1))-AVERAGE(OFFSET($H$3,0,0,'Données projet'!$E$10+1,1))</f>
        <v>424.89201140676084</v>
      </c>
      <c r="AO81" s="59">
        <f t="shared" si="90"/>
        <v>253.0016648946303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9.8297314613115763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9.8297314613115763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5.5042735042735051</v>
      </c>
      <c r="BD81" s="12">
        <f>IF('Données projet'!$A$88&gt;35,BD80+BC81-BL80,IF(A81&lt;'Données projet'!$A$88,$BA$205^A81,IF(A81='Données projet'!$A$88,'Données projet'!$B$88,BD80+BC81-BL80)))</f>
        <v>166.98076923076917</v>
      </c>
      <c r="BE81" s="13">
        <f>BD81*VLOOKUP('Données projet'!$B$11,Paramètres!$A$1:$I$89,3,0)*VLOOKUP('Données projet'!$B$11,Paramètres!$A$1:$I$89,5,0)</f>
        <v>158.89889999999994</v>
      </c>
      <c r="BF81" s="13">
        <f t="shared" si="91"/>
        <v>40.59405949958991</v>
      </c>
      <c r="BG81" s="20">
        <f t="shared" si="61"/>
        <v>347.45023779511899</v>
      </c>
      <c r="BH81" s="59">
        <f t="shared" si="62"/>
        <v>617.37367582954516</v>
      </c>
      <c r="BI81" s="59">
        <f ca="1">AVERAGE(OFFSET($BH$3,0,0,'Données projet'!$E$11+1,1))-AVERAGE(OFFSET($H$3,0,0,'Données projet'!$E$11+1,1))</f>
        <v>403.89478276355294</v>
      </c>
      <c r="BJ81" s="59">
        <f t="shared" si="92"/>
        <v>241.1593989733278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9.2248249098462498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9.2248249098462498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3.6</v>
      </c>
      <c r="BY81" s="12">
        <f>IF('Données projet'!$A$114&gt;35,BY80+BX81-CG80,IF(A81&lt;'Données projet'!$A$114,$BV$205^A81,IF(A81='Données projet'!$A$114,'Données projet'!$B$114,BY80+BX81-CG80)))</f>
        <v>322.79999999999995</v>
      </c>
      <c r="BZ81" s="13">
        <f>BY81*VLOOKUP('Données projet'!$B$12,Paramètres!$A$1:$I$89,3,0)*VLOOKUP('Données projet'!$B$12,Paramètres!$A$1:$I$89,5,0)</f>
        <v>256.81968000000001</v>
      </c>
      <c r="CA81" s="13">
        <f t="shared" si="93"/>
        <v>62.043977430851903</v>
      </c>
      <c r="CB81" s="20">
        <f t="shared" si="64"/>
        <v>555.35420335873368</v>
      </c>
      <c r="CC81" s="59">
        <f t="shared" si="65"/>
        <v>825.27764139315991</v>
      </c>
      <c r="CD81" s="59">
        <f ca="1">AVERAGE(OFFSET($CC$3,0,0,'Données projet'!$E$12+1,1))-AVERAGE(OFFSET($H$3,0,0,'Données projet'!$E$12+1,1))</f>
        <v>377.27600411578322</v>
      </c>
      <c r="CE81" s="59">
        <f t="shared" si="94"/>
        <v>364.58250627635425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41.733432823643042</v>
      </c>
      <c r="CL81" s="21">
        <f>EXP(-LN(2)/25)*CL80+(1-EXP(-LN(2)/25))/(LN(2)/25)*Calculateur!CG81*Calculateur!CI81*VLOOKUP('Données projet'!$B$12,Paramètres!$A$1:$I$89,3,0)*0.475*44/12</f>
        <v>7.4897571180139106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49.223189941656955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1.7053025658242404E-13</v>
      </c>
      <c r="CU81" s="17">
        <f>CT81*VLOOKUP('Données projet'!$B$13,Paramètres!$A$1:$I$89,3,0)*VLOOKUP('Données projet'!$B$13,Paramètres!$A$1:$I$89,5,0)</f>
        <v>1.3301360013429075E-13</v>
      </c>
      <c r="CV81" s="13">
        <f t="shared" si="95"/>
        <v>1.9329766731057041E-12</v>
      </c>
      <c r="CW81" s="20">
        <f t="shared" si="67"/>
        <v>3.5982663925596575E-12</v>
      </c>
      <c r="CX81" s="59">
        <f t="shared" si="68"/>
        <v>269.92343803442981</v>
      </c>
      <c r="CY81" s="59">
        <f ca="1">AVERAGE(OFFSET($CX$3,0,0,'Données projet'!$E$13+1,1))-AVERAGE(OFFSET($H$3,0,0,'Données projet'!$E$13+1,1))</f>
        <v>308.82719216177946</v>
      </c>
      <c r="CZ81" s="59">
        <f t="shared" si="96"/>
        <v>302.59481222418219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67.888040512513825</v>
      </c>
      <c r="DG81" s="21">
        <f>EXP(-LN(2)/25)*DG80+(1-EXP(-LN(2)/25))/(LN(2)/25)*Calculateur!DB81*Calculateur!DD81*VLOOKUP('Données projet'!$B$13,Paramètres!$A$1:$I$89,3,0)*0.475*44/12</f>
        <v>53.146457990264167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121.03449850277799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304.99999999999983</v>
      </c>
      <c r="DP81" s="17">
        <f>DO81*VLOOKUP('Données projet'!$B$14,Paramètres!$A$1:$I$89,3,0)*VLOOKUP('Données projet'!$B$14,Paramètres!$A$1:$I$89,5,0)</f>
        <v>275.96399999999983</v>
      </c>
      <c r="DQ81" s="13">
        <f t="shared" si="97"/>
        <v>66.113366665488854</v>
      </c>
      <c r="DR81" s="20">
        <f t="shared" si="70"/>
        <v>595.78474694239264</v>
      </c>
      <c r="DS81" s="59">
        <f t="shared" si="71"/>
        <v>865.70818497681887</v>
      </c>
      <c r="DT81" s="59">
        <f ca="1">AVERAGE(OFFSET($DS$3,0,0,'Données projet'!$E$14+1,1))-AVERAGE(OFFSET($H$3,0,0,'Données projet'!$E$14+1,1))</f>
        <v>376.51107072413777</v>
      </c>
      <c r="DU81" s="59">
        <f t="shared" si="98"/>
        <v>532.90758914457615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0.62470056247344286</v>
      </c>
      <c r="EB81" s="21">
        <f>EXP(-LN(2)/25)*EB80+(1-EXP(-LN(2)/25))/(LN(2)/25)*Calculateur!DW81*Calculateur!DY81*VLOOKUP('Données projet'!$B$14,Paramètres!$A$1:$I$89,3,0)*0.475*44/12</f>
        <v>1.9509921990250252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2.5756927614984679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-1.7053025658242404E-13</v>
      </c>
      <c r="EK81" s="17">
        <f>EJ81*VLOOKUP('Données projet'!$B$15,Paramètres!$A$1:$I$89,3,0)*VLOOKUP('Données projet'!$B$15,Paramètres!$A$1:$I$89,5,0)</f>
        <v>-1.0197709343628959E-13</v>
      </c>
      <c r="EL81" s="13" t="e">
        <f t="shared" si="99"/>
        <v>#NUM!</v>
      </c>
      <c r="EM81" s="20" t="e">
        <f t="shared" si="73"/>
        <v>#NUM!</v>
      </c>
      <c r="EN81" s="59" t="e">
        <f t="shared" si="74"/>
        <v>#NUM!</v>
      </c>
      <c r="EO81" s="59">
        <f ca="1">AVERAGE(OFFSET($EN$3,0,0,'Données projet'!$E$15+1,1))-AVERAGE(OFFSET($H$3,0,0,'Données projet'!$E$15+1,1))</f>
        <v>337.99164391755608</v>
      </c>
      <c r="EP81" s="59">
        <f t="shared" si="100"/>
        <v>421.45428231923393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105.33274018204459</v>
      </c>
      <c r="EW81" s="21">
        <f>EXP(-LN(2)/25)*EW80+(1-EXP(-LN(2)/25))/(LN(2)/25)*Calculateur!ER81*Calculateur!ET81*VLOOKUP('Données projet'!$B$15,Paramètres!$A$1:$I$89,3,0)*0.475*44/12</f>
        <v>24.017154307110779</v>
      </c>
      <c r="EX81" s="21">
        <f>EXP(-LN(2)/2)*EX80+(1-EXP(-LN(2)/2))/(LN(2)/2)*ER81*EU81*VLOOKUP('Données projet'!$B$15,Paramètres!$A$1:$I$89,3,0)*0.475*44/12</f>
        <v>1.9729673311918716E-2</v>
      </c>
      <c r="EY81" s="22">
        <f t="shared" si="75"/>
        <v>129.36962416246729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5.5042735042735051</v>
      </c>
      <c r="N82" s="13">
        <f>IF('Données projet'!$A$36&gt;35,N81+M82-V81,IF(A82&lt;'Données projet'!$A$36,$K$205^A82,IF(A82='Données projet'!$A$36,'Données projet'!$B$36,N81+M82-V81)))</f>
        <v>172.48504273504267</v>
      </c>
      <c r="O82" s="13">
        <f>N82*VLOOKUP('Données projet'!$B$9,Paramètres!$A$1:$I$89,3,0)*VLOOKUP('Données projet'!$B$9,Paramètres!$A$1:$I$89,5,0)</f>
        <v>156.06446666666659</v>
      </c>
      <c r="P82" s="13">
        <f t="shared" si="87"/>
        <v>39.953562347640762</v>
      </c>
      <c r="Q82" s="20">
        <f t="shared" si="54"/>
        <v>341.39806719991861</v>
      </c>
      <c r="R82" s="59">
        <f t="shared" si="55"/>
        <v>611.72761458109562</v>
      </c>
      <c r="S82" s="59">
        <f ca="1">AVERAGE(OFFSET($R$3,0,0,'Données projet'!$E$9+1,1))-AVERAGE(OFFSET($H$3,0,0,'Données projet'!$E$9+1,1))</f>
        <v>388.1278150896951</v>
      </c>
      <c r="T82" s="59">
        <f t="shared" si="88"/>
        <v>232.26614607059227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8.5991481927410369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8.5991481927410369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5.5042735042735051</v>
      </c>
      <c r="AI82" s="13">
        <f>IF('Données projet'!$A$62&gt;35,AI81+AH82-AQ81,IF(A82&lt;'Données projet'!$A$62,$AF$205^A82,IF(A82='Données projet'!$A$62,'Données projet'!$B$62,AI81+AH82-AQ81)))</f>
        <v>172.48504273504267</v>
      </c>
      <c r="AJ82" s="13">
        <f>AI82*VLOOKUP('Données projet'!$B$10,Paramètres!$A$1:$I$89,3,0)*VLOOKUP('Données projet'!$B$10,Paramètres!$A$1:$I$89,5,0)</f>
        <v>174.89983333333328</v>
      </c>
      <c r="AK82" s="13">
        <f t="shared" si="89"/>
        <v>44.185601847169707</v>
      </c>
      <c r="AL82" s="20">
        <f t="shared" si="58"/>
        <v>381.57379960604271</v>
      </c>
      <c r="AM82" s="59">
        <f t="shared" si="59"/>
        <v>651.90334698721972</v>
      </c>
      <c r="AN82" s="59">
        <f ca="1">AVERAGE(OFFSET($AM$3,0,0,'Données projet'!$E$10+1,1))-AVERAGE(OFFSET($H$3,0,0,'Données projet'!$E$10+1,1))</f>
        <v>424.89201140676084</v>
      </c>
      <c r="AO82" s="59">
        <f t="shared" si="90"/>
        <v>253.0016648946303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9.636976422899437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9.636976422899437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5.5042735042735051</v>
      </c>
      <c r="BD82" s="12">
        <f>IF('Données projet'!$A$88&gt;35,BD81+BC82-BL81,IF(A82&lt;'Données projet'!$A$88,$BA$205^A82,IF(A82='Données projet'!$A$88,'Données projet'!$B$88,BD81+BC82-BL81)))</f>
        <v>172.48504273504267</v>
      </c>
      <c r="BE82" s="13">
        <f>BD82*VLOOKUP('Données projet'!$B$11,Paramètres!$A$1:$I$89,3,0)*VLOOKUP('Données projet'!$B$11,Paramètres!$A$1:$I$89,5,0)</f>
        <v>164.1367666666666</v>
      </c>
      <c r="BF82" s="13">
        <f t="shared" si="91"/>
        <v>41.774183982382013</v>
      </c>
      <c r="BG82" s="20">
        <f t="shared" si="61"/>
        <v>358.62823904709302</v>
      </c>
      <c r="BH82" s="59">
        <f t="shared" si="62"/>
        <v>628.95778642826997</v>
      </c>
      <c r="BI82" s="59">
        <f ca="1">AVERAGE(OFFSET($BH$3,0,0,'Données projet'!$E$11+1,1))-AVERAGE(OFFSET($H$3,0,0,'Données projet'!$E$11+1,1))</f>
        <v>403.89478276355294</v>
      </c>
      <c r="BJ82" s="59">
        <f t="shared" si="92"/>
        <v>241.1593989733278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9.0439317199517806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9.0439317199517806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3.6</v>
      </c>
      <c r="BY82" s="12">
        <f>IF('Données projet'!$A$114&gt;35,BY81+BX82-CG81,IF(A82&lt;'Données projet'!$A$114,$BV$205^A82,IF(A82='Données projet'!$A$114,'Données projet'!$B$114,BY81+BX82-CG81)))</f>
        <v>326.39999999999998</v>
      </c>
      <c r="BZ82" s="13">
        <f>BY82*VLOOKUP('Données projet'!$B$12,Paramètres!$A$1:$I$89,3,0)*VLOOKUP('Données projet'!$B$12,Paramètres!$A$1:$I$89,5,0)</f>
        <v>259.68384000000003</v>
      </c>
      <c r="CA82" s="13">
        <f t="shared" si="93"/>
        <v>62.654980648867358</v>
      </c>
      <c r="CB82" s="20">
        <f t="shared" si="64"/>
        <v>561.40677929677736</v>
      </c>
      <c r="CC82" s="59">
        <f t="shared" si="65"/>
        <v>831.73632667795437</v>
      </c>
      <c r="CD82" s="59">
        <f ca="1">AVERAGE(OFFSET($CC$3,0,0,'Données projet'!$E$12+1,1))-AVERAGE(OFFSET($H$3,0,0,'Données projet'!$E$12+1,1))</f>
        <v>377.27600411578322</v>
      </c>
      <c r="CE82" s="59">
        <f t="shared" si="94"/>
        <v>364.58250627635425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40.915065660851965</v>
      </c>
      <c r="CL82" s="21">
        <f>EXP(-LN(2)/25)*CL81+(1-EXP(-LN(2)/25))/(LN(2)/25)*Calculateur!CG82*Calculateur!CI82*VLOOKUP('Données projet'!$B$12,Paramètres!$A$1:$I$89,3,0)*0.475*44/12</f>
        <v>7.2849493157526117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48.200014976604578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1.7053025658242404E-13</v>
      </c>
      <c r="CU82" s="17">
        <f>CT82*VLOOKUP('Données projet'!$B$13,Paramètres!$A$1:$I$89,3,0)*VLOOKUP('Données projet'!$B$13,Paramètres!$A$1:$I$89,5,0)</f>
        <v>1.3301360013429075E-13</v>
      </c>
      <c r="CV82" s="13">
        <f t="shared" si="95"/>
        <v>1.9329766731057041E-12</v>
      </c>
      <c r="CW82" s="20">
        <f t="shared" si="67"/>
        <v>3.5982663925596575E-12</v>
      </c>
      <c r="CX82" s="59">
        <f t="shared" si="68"/>
        <v>270.32954738118053</v>
      </c>
      <c r="CY82" s="59">
        <f ca="1">AVERAGE(OFFSET($CX$3,0,0,'Données projet'!$E$13+1,1))-AVERAGE(OFFSET($H$3,0,0,'Données projet'!$E$13+1,1))</f>
        <v>308.82719216177946</v>
      </c>
      <c r="CZ82" s="59">
        <f t="shared" si="96"/>
        <v>302.59481222418219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66.556797445679479</v>
      </c>
      <c r="DG82" s="21">
        <f>EXP(-LN(2)/25)*DG81+(1-EXP(-LN(2)/25))/(LN(2)/25)*Calculateur!DB82*Calculateur!DD82*VLOOKUP('Données projet'!$B$13,Paramètres!$A$1:$I$89,3,0)*0.475*44/12</f>
        <v>51.693165301669637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118.24996274734912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304.99999999999983</v>
      </c>
      <c r="DP82" s="17">
        <f>DO82*VLOOKUP('Données projet'!$B$14,Paramètres!$A$1:$I$89,3,0)*VLOOKUP('Données projet'!$B$14,Paramètres!$A$1:$I$89,5,0)</f>
        <v>275.96399999999983</v>
      </c>
      <c r="DQ82" s="13">
        <f t="shared" si="97"/>
        <v>66.113366665488854</v>
      </c>
      <c r="DR82" s="20">
        <f t="shared" si="70"/>
        <v>595.78474694239264</v>
      </c>
      <c r="DS82" s="59">
        <f t="shared" si="71"/>
        <v>866.11429432356954</v>
      </c>
      <c r="DT82" s="59">
        <f ca="1">AVERAGE(OFFSET($DS$3,0,0,'Données projet'!$E$14+1,1))-AVERAGE(OFFSET($H$3,0,0,'Données projet'!$E$14+1,1))</f>
        <v>376.51107072413777</v>
      </c>
      <c r="DU82" s="59">
        <f t="shared" si="98"/>
        <v>532.90758914457615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0.61245056547305821</v>
      </c>
      <c r="EB82" s="21">
        <f>EXP(-LN(2)/25)*EB81+(1-EXP(-LN(2)/25))/(LN(2)/25)*Calculateur!DW82*Calculateur!DY82*VLOOKUP('Données projet'!$B$14,Paramètres!$A$1:$I$89,3,0)*0.475*44/12</f>
        <v>1.8976422147444652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2.5100927802175232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-1.7053025658242404E-13</v>
      </c>
      <c r="EK82" s="17">
        <f>EJ82*VLOOKUP('Données projet'!$B$15,Paramètres!$A$1:$I$89,3,0)*VLOOKUP('Données projet'!$B$15,Paramètres!$A$1:$I$89,5,0)</f>
        <v>-1.0197709343628959E-13</v>
      </c>
      <c r="EL82" s="13" t="e">
        <f t="shared" si="99"/>
        <v>#NUM!</v>
      </c>
      <c r="EM82" s="20" t="e">
        <f t="shared" si="73"/>
        <v>#NUM!</v>
      </c>
      <c r="EN82" s="59" t="e">
        <f t="shared" si="74"/>
        <v>#NUM!</v>
      </c>
      <c r="EO82" s="59">
        <f ca="1">AVERAGE(OFFSET($EN$3,0,0,'Données projet'!$E$15+1,1))-AVERAGE(OFFSET($H$3,0,0,'Données projet'!$E$15+1,1))</f>
        <v>337.99164391755608</v>
      </c>
      <c r="EP82" s="59">
        <f t="shared" si="100"/>
        <v>421.45428231923393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103.26722939370238</v>
      </c>
      <c r="EW82" s="21">
        <f>EXP(-LN(2)/25)*EW81+(1-EXP(-LN(2)/25))/(LN(2)/25)*Calculateur!ER82*Calculateur!ET82*VLOOKUP('Données projet'!$B$15,Paramètres!$A$1:$I$89,3,0)*0.475*44/12</f>
        <v>23.360403959575581</v>
      </c>
      <c r="EX82" s="21">
        <f>EXP(-LN(2)/2)*EX81+(1-EXP(-LN(2)/2))/(LN(2)/2)*ER82*EU82*VLOOKUP('Données projet'!$B$15,Paramètres!$A$1:$I$89,3,0)*0.475*44/12</f>
        <v>1.3950985789452974E-2</v>
      </c>
      <c r="EY82" s="22">
        <f t="shared" si="75"/>
        <v>126.64158433906741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5.5042735042735051</v>
      </c>
      <c r="N83" s="13">
        <f>IF('Données projet'!$A$36&gt;35,N82+M83-V82,IF(A83&lt;'Données projet'!$A$36,$K$205^A83,IF(A83='Données projet'!$A$36,'Données projet'!$B$36,N82+M83-V82)))</f>
        <v>177.98931623931617</v>
      </c>
      <c r="O83" s="13">
        <f>N83*VLOOKUP('Données projet'!$B$9,Paramètres!$A$1:$I$89,3,0)*VLOOKUP('Données projet'!$B$9,Paramètres!$A$1:$I$89,5,0)</f>
        <v>161.04473333333328</v>
      </c>
      <c r="P83" s="13">
        <f t="shared" si="87"/>
        <v>41.078068593790562</v>
      </c>
      <c r="Q83" s="20">
        <f t="shared" si="54"/>
        <v>352.03054668974067</v>
      </c>
      <c r="R83" s="59">
        <f t="shared" si="55"/>
        <v>622.75915832842679</v>
      </c>
      <c r="S83" s="59">
        <f ca="1">AVERAGE(OFFSET($R$3,0,0,'Données projet'!$E$9+1,1))-AVERAGE(OFFSET($H$3,0,0,'Données projet'!$E$9+1,1))</f>
        <v>388.1278150896951</v>
      </c>
      <c r="T83" s="59">
        <f t="shared" si="88"/>
        <v>232.26614607059227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8.4305241416438861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8.4305241416438861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5.5042735042735051</v>
      </c>
      <c r="AI83" s="13">
        <f>IF('Données projet'!$A$62&gt;35,AI82+AH83-AQ82,IF(A83&lt;'Données projet'!$A$62,$AF$205^A83,IF(A83='Données projet'!$A$62,'Données projet'!$B$62,AI82+AH83-AQ82)))</f>
        <v>177.98931623931617</v>
      </c>
      <c r="AJ83" s="13">
        <f>AI83*VLOOKUP('Données projet'!$B$10,Paramètres!$A$1:$I$89,3,0)*VLOOKUP('Données projet'!$B$10,Paramètres!$A$1:$I$89,5,0)</f>
        <v>180.48116666666661</v>
      </c>
      <c r="AK83" s="13">
        <f t="shared" si="89"/>
        <v>45.429220246818225</v>
      </c>
      <c r="AL83" s="20">
        <f t="shared" si="58"/>
        <v>393.46059054098606</v>
      </c>
      <c r="AM83" s="59">
        <f t="shared" si="59"/>
        <v>664.18920217967218</v>
      </c>
      <c r="AN83" s="59">
        <f ca="1">AVERAGE(OFFSET($AM$3,0,0,'Données projet'!$E$10+1,1))-AVERAGE(OFFSET($H$3,0,0,'Données projet'!$E$10+1,1))</f>
        <v>424.89201140676084</v>
      </c>
      <c r="AO83" s="59">
        <f t="shared" si="90"/>
        <v>253.0016648946303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9.4480011932215948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9.4480011932215948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5.5042735042735051</v>
      </c>
      <c r="BD83" s="12">
        <f>IF('Données projet'!$A$88&gt;35,BD82+BC83-BL82,IF(A83&lt;'Données projet'!$A$88,$BA$205^A83,IF(A83='Données projet'!$A$88,'Données projet'!$B$88,BD82+BC83-BL82)))</f>
        <v>177.98931623931617</v>
      </c>
      <c r="BE83" s="13">
        <f>BD83*VLOOKUP('Données projet'!$B$11,Paramètres!$A$1:$I$89,3,0)*VLOOKUP('Données projet'!$B$11,Paramètres!$A$1:$I$89,5,0)</f>
        <v>169.37463333333326</v>
      </c>
      <c r="BF83" s="13">
        <f t="shared" si="91"/>
        <v>42.949932227488745</v>
      </c>
      <c r="BG83" s="20">
        <f t="shared" si="61"/>
        <v>369.79861835176501</v>
      </c>
      <c r="BH83" s="59">
        <f t="shared" si="62"/>
        <v>640.52722999045113</v>
      </c>
      <c r="BI83" s="59">
        <f ca="1">AVERAGE(OFFSET($BH$3,0,0,'Données projet'!$E$11+1,1))-AVERAGE(OFFSET($H$3,0,0,'Données projet'!$E$11+1,1))</f>
        <v>403.89478276355294</v>
      </c>
      <c r="BJ83" s="59">
        <f t="shared" si="92"/>
        <v>241.1593989733278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8.8665857351771908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8.8665857351771908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330</v>
      </c>
      <c r="BW83" s="12">
        <f>VLOOKUP(A83,'Données projet'!$A$113:$I$133,9,0)</f>
        <v>3.6</v>
      </c>
      <c r="BX83" s="12">
        <f t="array" ref="BX83">INDEX(BW:BW,MIN(IF(ISNUMBER(BW83:BW279),ROW(BW83:BW279),"")))</f>
        <v>3.6</v>
      </c>
      <c r="BY83" s="12">
        <f>IF('Données projet'!$A$114&gt;35,BY82+BX83-CG82,IF(A83&lt;'Données projet'!$A$114,$BV$205^A83,IF(A83='Données projet'!$A$114,'Données projet'!$B$114,BY82+BX83-CG82)))</f>
        <v>330</v>
      </c>
      <c r="BZ83" s="13">
        <f>BY83*VLOOKUP('Données projet'!$B$12,Paramètres!$A$1:$I$89,3,0)*VLOOKUP('Données projet'!$B$12,Paramètres!$A$1:$I$89,5,0)</f>
        <v>262.548</v>
      </c>
      <c r="CA83" s="13">
        <f t="shared" si="93"/>
        <v>63.265199933079444</v>
      </c>
      <c r="CB83" s="20">
        <f t="shared" si="64"/>
        <v>567.45798988344666</v>
      </c>
      <c r="CC83" s="59">
        <f t="shared" si="65"/>
        <v>838.18660152213283</v>
      </c>
      <c r="CD83" s="59">
        <f ca="1">AVERAGE(OFFSET($CC$3,0,0,'Données projet'!$E$12+1,1))-AVERAGE(OFFSET($H$3,0,0,'Données projet'!$E$12+1,1))</f>
        <v>377.27600411578322</v>
      </c>
      <c r="CE83" s="59">
        <f t="shared" si="94"/>
        <v>364.58250627635425</v>
      </c>
      <c r="CF83" s="15">
        <f>IF(ISNA(VLOOKUP(A83,'Données projet'!$A$113:$I$133,3,0)),0,VLOOKUP(A83,'Données projet'!$A$113:$I$133,3,0))</f>
        <v>14</v>
      </c>
      <c r="CG83" s="15">
        <f>IF(ISNA(VLOOKUP(A83,'Données projet'!$A$113:$I$133,4,0)),0,VLOOKUP(A83,'Données projet'!$A$113:$I$133,4,0))</f>
        <v>11</v>
      </c>
      <c r="CH83" s="16">
        <f>IF(ISNA(VLOOKUP(A83,'Données projet'!$A$113:$I$133,5,0)),0%,VLOOKUP(A83,'Données projet'!$A$113:$I$133,5,0)*VLOOKUP('Données projet'!$B$12,Paramètres!$A$1:$I$89,7,0))</f>
        <v>0.48230000000000006</v>
      </c>
      <c r="CI83" s="16">
        <f>IF(ISNA(VLOOKUP(A83,'Données projet'!$A$113:$I$133,6,0)),0%,VLOOKUP(A83,'Données projet'!$A$113:$I$133,6,0)*VLOOKUP('Données projet'!$B$12,Paramètres!$A$1:$I$89,7,0))</f>
        <v>4.7699999999999999E-2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44.778822433777506</v>
      </c>
      <c r="CL83" s="21">
        <f>EXP(-LN(2)/25)*CL82+(1-EXP(-LN(2)/25))/(LN(2)/25)*Calculateur!CG83*Calculateur!CI83*VLOOKUP('Données projet'!$B$12,Paramètres!$A$1:$I$89,3,0)*0.475*44/12</f>
        <v>7.5454050399014907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52.324227473678995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1.7053025658242404E-13</v>
      </c>
      <c r="CU83" s="17">
        <f>CT83*VLOOKUP('Données projet'!$B$13,Paramètres!$A$1:$I$89,3,0)*VLOOKUP('Données projet'!$B$13,Paramètres!$A$1:$I$89,5,0)</f>
        <v>1.3301360013429075E-13</v>
      </c>
      <c r="CV83" s="13">
        <f t="shared" si="95"/>
        <v>1.9329766731057041E-12</v>
      </c>
      <c r="CW83" s="20">
        <f t="shared" si="67"/>
        <v>3.5982663925596575E-12</v>
      </c>
      <c r="CX83" s="59">
        <f t="shared" si="68"/>
        <v>270.7286116386897</v>
      </c>
      <c r="CY83" s="59">
        <f ca="1">AVERAGE(OFFSET($CX$3,0,0,'Données projet'!$E$13+1,1))-AVERAGE(OFFSET($H$3,0,0,'Données projet'!$E$13+1,1))</f>
        <v>308.82719216177946</v>
      </c>
      <c r="CZ83" s="59">
        <f t="shared" si="96"/>
        <v>302.59481222418219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65.251659243407659</v>
      </c>
      <c r="DG83" s="21">
        <f>EXP(-LN(2)/25)*DG82+(1-EXP(-LN(2)/25))/(LN(2)/25)*Calculateur!DB83*Calculateur!DD83*VLOOKUP('Données projet'!$B$13,Paramètres!$A$1:$I$89,3,0)*0.475*44/12</f>
        <v>50.279612978070062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115.53127222147772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304.99999999999983</v>
      </c>
      <c r="DP83" s="17">
        <f>DO83*VLOOKUP('Données projet'!$B$14,Paramètres!$A$1:$I$89,3,0)*VLOOKUP('Données projet'!$B$14,Paramètres!$A$1:$I$89,5,0)</f>
        <v>275.96399999999983</v>
      </c>
      <c r="DQ83" s="13">
        <f t="shared" si="97"/>
        <v>66.113366665488854</v>
      </c>
      <c r="DR83" s="20">
        <f t="shared" si="70"/>
        <v>595.78474694239264</v>
      </c>
      <c r="DS83" s="59">
        <f t="shared" si="71"/>
        <v>866.51335858107882</v>
      </c>
      <c r="DT83" s="59">
        <f ca="1">AVERAGE(OFFSET($DS$3,0,0,'Données projet'!$E$14+1,1))-AVERAGE(OFFSET($H$3,0,0,'Données projet'!$E$14+1,1))</f>
        <v>376.51107072413777</v>
      </c>
      <c r="DU83" s="59">
        <f t="shared" si="98"/>
        <v>532.90758914457615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0.60044078344209073</v>
      </c>
      <c r="EB83" s="21">
        <f>EXP(-LN(2)/25)*EB82+(1-EXP(-LN(2)/25))/(LN(2)/25)*Calculateur!DW83*Calculateur!DY83*VLOOKUP('Données projet'!$B$14,Paramètres!$A$1:$I$89,3,0)*0.475*44/12</f>
        <v>1.8457510885896109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2.4461918720317017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-1.7053025658242404E-13</v>
      </c>
      <c r="EK83" s="17">
        <f>EJ83*VLOOKUP('Données projet'!$B$15,Paramètres!$A$1:$I$89,3,0)*VLOOKUP('Données projet'!$B$15,Paramètres!$A$1:$I$89,5,0)</f>
        <v>-1.0197709343628959E-13</v>
      </c>
      <c r="EL83" s="13" t="e">
        <f t="shared" si="99"/>
        <v>#NUM!</v>
      </c>
      <c r="EM83" s="20" t="e">
        <f t="shared" si="73"/>
        <v>#NUM!</v>
      </c>
      <c r="EN83" s="59" t="e">
        <f t="shared" si="74"/>
        <v>#NUM!</v>
      </c>
      <c r="EO83" s="59">
        <f ca="1">AVERAGE(OFFSET($EN$3,0,0,'Données projet'!$E$15+1,1))-AVERAGE(OFFSET($H$3,0,0,'Données projet'!$E$15+1,1))</f>
        <v>337.99164391755608</v>
      </c>
      <c r="EP83" s="59">
        <f t="shared" si="100"/>
        <v>421.45428231923393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101.24222201208238</v>
      </c>
      <c r="EW83" s="21">
        <f>EXP(-LN(2)/25)*EW82+(1-EXP(-LN(2)/25))/(LN(2)/25)*Calculateur!ER83*Calculateur!ET83*VLOOKUP('Données projet'!$B$15,Paramètres!$A$1:$I$89,3,0)*0.475*44/12</f>
        <v>22.721612484830732</v>
      </c>
      <c r="EX83" s="21">
        <f>EXP(-LN(2)/2)*EX82+(1-EXP(-LN(2)/2))/(LN(2)/2)*ER83*EU83*VLOOKUP('Données projet'!$B$15,Paramètres!$A$1:$I$89,3,0)*0.475*44/12</f>
        <v>9.8648366559593581E-3</v>
      </c>
      <c r="EY83" s="22">
        <f t="shared" si="75"/>
        <v>123.97369933356907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5.5042735042735051</v>
      </c>
      <c r="N84" s="13">
        <f>IF('Données projet'!$A$36&gt;35,N83+M84-V83,IF(A84&lt;'Données projet'!$A$36,$K$205^A84,IF(A84='Données projet'!$A$36,'Données projet'!$B$36,N83+M84-V83)))</f>
        <v>183.49358974358967</v>
      </c>
      <c r="O84" s="13">
        <f>N84*VLOOKUP('Données projet'!$B$9,Paramètres!$A$1:$I$89,3,0)*VLOOKUP('Données projet'!$B$9,Paramètres!$A$1:$I$89,5,0)</f>
        <v>166.02499999999992</v>
      </c>
      <c r="P84" s="13">
        <f t="shared" si="87"/>
        <v>42.198533618502132</v>
      </c>
      <c r="Q84" s="20">
        <f t="shared" si="54"/>
        <v>362.65598771889108</v>
      </c>
      <c r="R84" s="59">
        <f t="shared" si="55"/>
        <v>633.77674074239258</v>
      </c>
      <c r="S84" s="59">
        <f ca="1">AVERAGE(OFFSET($R$3,0,0,'Données projet'!$E$9+1,1))-AVERAGE(OFFSET($H$3,0,0,'Données projet'!$E$9+1,1))</f>
        <v>388.1278150896951</v>
      </c>
      <c r="T84" s="59">
        <f t="shared" si="88"/>
        <v>232.26614607059227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8.265206705338235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8.265206705338235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5.5042735042735051</v>
      </c>
      <c r="AI84" s="13">
        <f>IF('Données projet'!$A$62&gt;35,AI83+AH84-AQ83,IF(A84&lt;'Données projet'!$A$62,$AF$205^A84,IF(A84='Données projet'!$A$62,'Données projet'!$B$62,AI83+AH84-AQ83)))</f>
        <v>183.49358974358967</v>
      </c>
      <c r="AJ84" s="13">
        <f>AI84*VLOOKUP('Données projet'!$B$10,Paramètres!$A$1:$I$89,3,0)*VLOOKUP('Données projet'!$B$10,Paramètres!$A$1:$I$89,5,0)</f>
        <v>186.06249999999994</v>
      </c>
      <c r="AK84" s="13">
        <f t="shared" si="89"/>
        <v>46.668369362854641</v>
      </c>
      <c r="AL84" s="20">
        <f t="shared" si="58"/>
        <v>405.33959747363838</v>
      </c>
      <c r="AM84" s="59">
        <f t="shared" si="59"/>
        <v>676.46035049713987</v>
      </c>
      <c r="AN84" s="59">
        <f ca="1">AVERAGE(OFFSET($AM$3,0,0,'Données projet'!$E$10+1,1))-AVERAGE(OFFSET($H$3,0,0,'Données projet'!$E$10+1,1))</f>
        <v>424.89201140676084</v>
      </c>
      <c r="AO84" s="59">
        <f t="shared" si="90"/>
        <v>253.0016648946303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9.2627316525342263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9.2627316525342263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5.5042735042735051</v>
      </c>
      <c r="BD84" s="12">
        <f>IF('Données projet'!$A$88&gt;35,BD83+BC84-BL83,IF(A84&lt;'Données projet'!$A$88,$BA$205^A84,IF(A84='Données projet'!$A$88,'Données projet'!$B$88,BD83+BC84-BL83)))</f>
        <v>183.49358974358967</v>
      </c>
      <c r="BE84" s="13">
        <f>BD84*VLOOKUP('Données projet'!$B$11,Paramètres!$A$1:$I$89,3,0)*VLOOKUP('Données projet'!$B$11,Paramètres!$A$1:$I$89,5,0)</f>
        <v>174.61249999999993</v>
      </c>
      <c r="BF84" s="13">
        <f t="shared" si="91"/>
        <v>44.121455098987823</v>
      </c>
      <c r="BG84" s="20">
        <f t="shared" si="61"/>
        <v>380.96163846407029</v>
      </c>
      <c r="BH84" s="59">
        <f t="shared" si="62"/>
        <v>652.08239148757173</v>
      </c>
      <c r="BI84" s="59">
        <f ca="1">AVERAGE(OFFSET($BH$3,0,0,'Données projet'!$E$11+1,1))-AVERAGE(OFFSET($H$3,0,0,'Données projet'!$E$11+1,1))</f>
        <v>403.89478276355294</v>
      </c>
      <c r="BJ84" s="59">
        <f t="shared" si="92"/>
        <v>241.1593989733278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8.6927173969936611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8.6927173969936611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319</v>
      </c>
      <c r="BZ84" s="13">
        <f>BY84*VLOOKUP('Données projet'!$B$12,Paramètres!$A$1:$I$89,3,0)*VLOOKUP('Données projet'!$B$12,Paramètres!$A$1:$I$89,5,0)</f>
        <v>253.79640000000001</v>
      </c>
      <c r="CA84" s="13">
        <f t="shared" si="93"/>
        <v>61.39816832228076</v>
      </c>
      <c r="CB84" s="20">
        <f t="shared" si="64"/>
        <v>548.96387316130563</v>
      </c>
      <c r="CC84" s="59">
        <f t="shared" si="65"/>
        <v>820.08462618480712</v>
      </c>
      <c r="CD84" s="59">
        <f ca="1">AVERAGE(OFFSET($CC$3,0,0,'Données projet'!$E$12+1,1))-AVERAGE(OFFSET($H$3,0,0,'Données projet'!$E$12+1,1))</f>
        <v>377.27600411578322</v>
      </c>
      <c r="CE84" s="59">
        <f t="shared" si="94"/>
        <v>364.58250627635425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43.900737038235938</v>
      </c>
      <c r="CL84" s="21">
        <f>EXP(-LN(2)/25)*CL83+(1-EXP(-LN(2)/25))/(LN(2)/25)*Calculateur!CG84*Calculateur!CI84*VLOOKUP('Données projet'!$B$12,Paramètres!$A$1:$I$89,3,0)*0.475*44/12</f>
        <v>7.3390755422897787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51.239812580525715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1.7053025658242404E-13</v>
      </c>
      <c r="CU84" s="17">
        <f>CT84*VLOOKUP('Données projet'!$B$13,Paramètres!$A$1:$I$89,3,0)*VLOOKUP('Données projet'!$B$13,Paramètres!$A$1:$I$89,5,0)</f>
        <v>1.3301360013429075E-13</v>
      </c>
      <c r="CV84" s="13">
        <f t="shared" si="95"/>
        <v>1.9329766731057041E-12</v>
      </c>
      <c r="CW84" s="20">
        <f t="shared" si="67"/>
        <v>3.5982663925596575E-12</v>
      </c>
      <c r="CX84" s="59">
        <f t="shared" si="68"/>
        <v>271.12075302350502</v>
      </c>
      <c r="CY84" s="59">
        <f ca="1">AVERAGE(OFFSET($CX$3,0,0,'Données projet'!$E$13+1,1))-AVERAGE(OFFSET($H$3,0,0,'Données projet'!$E$13+1,1))</f>
        <v>308.82719216177946</v>
      </c>
      <c r="CZ84" s="59">
        <f t="shared" si="96"/>
        <v>302.59481222418219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63.972114005226693</v>
      </c>
      <c r="DG84" s="21">
        <f>EXP(-LN(2)/25)*DG83+(1-EXP(-LN(2)/25))/(LN(2)/25)*Calculateur!DB84*Calculateur!DD84*VLOOKUP('Données projet'!$B$13,Paramètres!$A$1:$I$89,3,0)*0.475*44/12</f>
        <v>48.904714317094808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112.8768283223215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304.99999999999983</v>
      </c>
      <c r="DP84" s="17">
        <f>DO84*VLOOKUP('Données projet'!$B$14,Paramètres!$A$1:$I$89,3,0)*VLOOKUP('Données projet'!$B$14,Paramètres!$A$1:$I$89,5,0)</f>
        <v>275.96399999999983</v>
      </c>
      <c r="DQ84" s="13">
        <f t="shared" si="97"/>
        <v>66.113366665488854</v>
      </c>
      <c r="DR84" s="20">
        <f t="shared" si="70"/>
        <v>595.78474694239264</v>
      </c>
      <c r="DS84" s="59">
        <f t="shared" si="71"/>
        <v>866.90549996589402</v>
      </c>
      <c r="DT84" s="59">
        <f ca="1">AVERAGE(OFFSET($DS$3,0,0,'Données projet'!$E$14+1,1))-AVERAGE(OFFSET($H$3,0,0,'Données projet'!$E$14+1,1))</f>
        <v>376.51107072413777</v>
      </c>
      <c r="DU84" s="59">
        <f t="shared" si="98"/>
        <v>532.90758914457615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0.58866650591150671</v>
      </c>
      <c r="EB84" s="21">
        <f>EXP(-LN(2)/25)*EB83+(1-EXP(-LN(2)/25))/(LN(2)/25)*Calculateur!DW84*Calculateur!DY84*VLOOKUP('Données projet'!$B$14,Paramètres!$A$1:$I$89,3,0)*0.475*44/12</f>
        <v>1.7952789280082968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2.3839454339198034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-1.7053025658242404E-13</v>
      </c>
      <c r="EK84" s="17">
        <f>EJ84*VLOOKUP('Données projet'!$B$15,Paramètres!$A$1:$I$89,3,0)*VLOOKUP('Données projet'!$B$15,Paramètres!$A$1:$I$89,5,0)</f>
        <v>-1.0197709343628959E-13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337.99164391755608</v>
      </c>
      <c r="EP84" s="59">
        <f t="shared" si="100"/>
        <v>421.45428231923393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99.256923790083405</v>
      </c>
      <c r="EW84" s="21">
        <f>EXP(-LN(2)/25)*EW83+(1-EXP(-LN(2)/25))/(LN(2)/25)*Calculateur!ER84*Calculateur!ET84*VLOOKUP('Données projet'!$B$15,Paramètres!$A$1:$I$89,3,0)*0.475*44/12</f>
        <v>22.100288796555365</v>
      </c>
      <c r="EX84" s="21">
        <f>EXP(-LN(2)/2)*EX83+(1-EXP(-LN(2)/2))/(LN(2)/2)*ER84*EU84*VLOOKUP('Données projet'!$B$15,Paramètres!$A$1:$I$89,3,0)*0.475*44/12</f>
        <v>6.9754928947264871E-3</v>
      </c>
      <c r="EY84" s="22">
        <f t="shared" si="75"/>
        <v>121.36418807953349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5.5042735042735051</v>
      </c>
      <c r="N85" s="13">
        <f>IF('Données projet'!$A$36&gt;35,N84+M85-V84,IF(A85&lt;'Données projet'!$A$36,$K$205^A85,IF(A85='Données projet'!$A$36,'Données projet'!$B$36,N84+M85-V84)))</f>
        <v>188.99786324786317</v>
      </c>
      <c r="O85" s="13">
        <f>N85*VLOOKUP('Données projet'!$B$9,Paramètres!$A$1:$I$89,3,0)*VLOOKUP('Données projet'!$B$9,Paramètres!$A$1:$I$89,5,0)</f>
        <v>171.00526666666659</v>
      </c>
      <c r="P85" s="13">
        <f t="shared" si="87"/>
        <v>43.31509256233069</v>
      </c>
      <c r="Q85" s="20">
        <f t="shared" si="54"/>
        <v>373.27462565717025</v>
      </c>
      <c r="R85" s="59">
        <f t="shared" si="55"/>
        <v>644.78071728915734</v>
      </c>
      <c r="S85" s="59">
        <f ca="1">AVERAGE(OFFSET($R$3,0,0,'Données projet'!$E$9+1,1))-AVERAGE(OFFSET($H$3,0,0,'Données projet'!$E$9+1,1))</f>
        <v>388.1278150896951</v>
      </c>
      <c r="T85" s="59">
        <f t="shared" si="88"/>
        <v>232.26614607059227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8.1031310431248578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8.1031310431248578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5.5042735042735051</v>
      </c>
      <c r="AI85" s="13">
        <f>IF('Données projet'!$A$62&gt;35,AI84+AH85-AQ84,IF(A85&lt;'Données projet'!$A$62,$AF$205^A85,IF(A85='Données projet'!$A$62,'Données projet'!$B$62,AI84+AH85-AQ84)))</f>
        <v>188.99786324786317</v>
      </c>
      <c r="AJ85" s="13">
        <f>AI85*VLOOKUP('Données projet'!$B$10,Paramètres!$A$1:$I$89,3,0)*VLOOKUP('Données projet'!$B$10,Paramètres!$A$1:$I$89,5,0)</f>
        <v>191.64383333333325</v>
      </c>
      <c r="AK85" s="13">
        <f t="shared" si="89"/>
        <v>47.903198650456822</v>
      </c>
      <c r="AL85" s="20">
        <f t="shared" si="58"/>
        <v>417.21108070510104</v>
      </c>
      <c r="AM85" s="59">
        <f t="shared" si="59"/>
        <v>688.71717233708807</v>
      </c>
      <c r="AN85" s="59">
        <f ca="1">AVERAGE(OFFSET($AM$3,0,0,'Données projet'!$E$10+1,1))-AVERAGE(OFFSET($H$3,0,0,'Données projet'!$E$10+1,1))</f>
        <v>424.89201140676084</v>
      </c>
      <c r="AO85" s="59">
        <f t="shared" si="90"/>
        <v>253.0016648946303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9.0810951345364757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9.0810951345364757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5.5042735042735051</v>
      </c>
      <c r="BD85" s="12">
        <f>IF('Données projet'!$A$88&gt;35,BD84+BC85-BL84,IF(A85&lt;'Données projet'!$A$88,$BA$205^A85,IF(A85='Données projet'!$A$88,'Données projet'!$B$88,BD84+BC85-BL84)))</f>
        <v>188.99786324786317</v>
      </c>
      <c r="BE85" s="13">
        <f>BD85*VLOOKUP('Données projet'!$B$11,Paramètres!$A$1:$I$89,3,0)*VLOOKUP('Données projet'!$B$11,Paramètres!$A$1:$I$89,5,0)</f>
        <v>179.85036666666659</v>
      </c>
      <c r="BF85" s="13">
        <f t="shared" si="91"/>
        <v>45.288893895579243</v>
      </c>
      <c r="BG85" s="20">
        <f t="shared" si="61"/>
        <v>392.11754547924482</v>
      </c>
      <c r="BH85" s="59">
        <f t="shared" si="62"/>
        <v>663.6236371112318</v>
      </c>
      <c r="BI85" s="59">
        <f ca="1">AVERAGE(OFFSET($BH$3,0,0,'Données projet'!$E$11+1,1))-AVERAGE(OFFSET($H$3,0,0,'Données projet'!$E$11+1,1))</f>
        <v>403.89478276355294</v>
      </c>
      <c r="BJ85" s="59">
        <f t="shared" si="92"/>
        <v>241.1593989733278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8.522258510872696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8.522258510872696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319</v>
      </c>
      <c r="BZ85" s="13">
        <f>BY85*VLOOKUP('Données projet'!$B$12,Paramètres!$A$1:$I$89,3,0)*VLOOKUP('Données projet'!$B$12,Paramètres!$A$1:$I$89,5,0)</f>
        <v>253.79640000000001</v>
      </c>
      <c r="CA85" s="13">
        <f t="shared" si="93"/>
        <v>61.39816832228076</v>
      </c>
      <c r="CB85" s="20">
        <f t="shared" si="64"/>
        <v>548.96387316130563</v>
      </c>
      <c r="CC85" s="59">
        <f t="shared" si="65"/>
        <v>820.46996479329266</v>
      </c>
      <c r="CD85" s="59">
        <f ca="1">AVERAGE(OFFSET($CC$3,0,0,'Données projet'!$E$12+1,1))-AVERAGE(OFFSET($H$3,0,0,'Données projet'!$E$12+1,1))</f>
        <v>377.27600411578322</v>
      </c>
      <c r="CE85" s="59">
        <f t="shared" si="94"/>
        <v>364.58250627635425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43.039870361721732</v>
      </c>
      <c r="CL85" s="21">
        <f>EXP(-LN(2)/25)*CL84+(1-EXP(-LN(2)/25))/(LN(2)/25)*Calculateur!CG85*Calculateur!CI85*VLOOKUP('Données projet'!$B$12,Paramètres!$A$1:$I$89,3,0)*0.475*44/12</f>
        <v>7.138388135640656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50.178258497362386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1.7053025658242404E-13</v>
      </c>
      <c r="CU85" s="17">
        <f>CT85*VLOOKUP('Données projet'!$B$13,Paramètres!$A$1:$I$89,3,0)*VLOOKUP('Données projet'!$B$13,Paramètres!$A$1:$I$89,5,0)</f>
        <v>1.3301360013429075E-13</v>
      </c>
      <c r="CV85" s="13">
        <f t="shared" si="95"/>
        <v>1.9329766731057041E-12</v>
      </c>
      <c r="CW85" s="20">
        <f t="shared" si="67"/>
        <v>3.5982663925596575E-12</v>
      </c>
      <c r="CX85" s="59">
        <f t="shared" si="68"/>
        <v>271.50609163199061</v>
      </c>
      <c r="CY85" s="59">
        <f ca="1">AVERAGE(OFFSET($CX$3,0,0,'Données projet'!$E$13+1,1))-AVERAGE(OFFSET($H$3,0,0,'Données projet'!$E$13+1,1))</f>
        <v>308.82719216177946</v>
      </c>
      <c r="CZ85" s="59">
        <f t="shared" si="96"/>
        <v>302.59481222418219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62.717659868720922</v>
      </c>
      <c r="DG85" s="21">
        <f>EXP(-LN(2)/25)*DG84+(1-EXP(-LN(2)/25))/(LN(2)/25)*Calculateur!DB85*Calculateur!DD85*VLOOKUP('Données projet'!$B$13,Paramètres!$A$1:$I$89,3,0)*0.475*44/12</f>
        <v>47.567412332306695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110.28507220102762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304.99999999999983</v>
      </c>
      <c r="DP85" s="17">
        <f>DO85*VLOOKUP('Données projet'!$B$14,Paramètres!$A$1:$I$89,3,0)*VLOOKUP('Données projet'!$B$14,Paramètres!$A$1:$I$89,5,0)</f>
        <v>275.96399999999983</v>
      </c>
      <c r="DQ85" s="13">
        <f t="shared" si="97"/>
        <v>66.113366665488854</v>
      </c>
      <c r="DR85" s="20">
        <f t="shared" si="70"/>
        <v>595.78474694239264</v>
      </c>
      <c r="DS85" s="59">
        <f t="shared" si="71"/>
        <v>867.29083857437968</v>
      </c>
      <c r="DT85" s="59">
        <f ca="1">AVERAGE(OFFSET($DS$3,0,0,'Données projet'!$E$14+1,1))-AVERAGE(OFFSET($H$3,0,0,'Données projet'!$E$14+1,1))</f>
        <v>376.51107072413777</v>
      </c>
      <c r="DU85" s="59">
        <f t="shared" si="98"/>
        <v>532.90758914457615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0.57712311478169731</v>
      </c>
      <c r="EB85" s="21">
        <f>EXP(-LN(2)/25)*EB84+(1-EXP(-LN(2)/25))/(LN(2)/25)*Calculateur!DW85*Calculateur!DY85*VLOOKUP('Données projet'!$B$14,Paramètres!$A$1:$I$89,3,0)*0.475*44/12</f>
        <v>1.7461869313122942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2.3233100460939915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-1.7053025658242404E-13</v>
      </c>
      <c r="EK85" s="17">
        <f>EJ85*VLOOKUP('Données projet'!$B$15,Paramètres!$A$1:$I$89,3,0)*VLOOKUP('Données projet'!$B$15,Paramètres!$A$1:$I$89,5,0)</f>
        <v>-1.0197709343628959E-13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337.99164391755608</v>
      </c>
      <c r="EP85" s="59">
        <f t="shared" si="100"/>
        <v>421.45428231923393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97.310556055305483</v>
      </c>
      <c r="EW85" s="21">
        <f>EXP(-LN(2)/25)*EW84+(1-EXP(-LN(2)/25))/(LN(2)/25)*Calculateur!ER85*Calculateur!ET85*VLOOKUP('Données projet'!$B$15,Paramètres!$A$1:$I$89,3,0)*0.475*44/12</f>
        <v>21.495955237209881</v>
      </c>
      <c r="EX85" s="21">
        <f>EXP(-LN(2)/2)*EX84+(1-EXP(-LN(2)/2))/(LN(2)/2)*ER85*EU85*VLOOKUP('Données projet'!$B$15,Paramètres!$A$1:$I$89,3,0)*0.475*44/12</f>
        <v>4.9324183279796791E-3</v>
      </c>
      <c r="EY85" s="22">
        <f t="shared" si="75"/>
        <v>118.81144371084335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5.5042735042735051</v>
      </c>
      <c r="N86" s="13">
        <f>IF('Données projet'!$A$36&gt;35,N85+M86-V85,IF(A86&lt;'Données projet'!$A$36,$K$205^A86,IF(A86='Données projet'!$A$36,'Données projet'!$B$36,N85+M86-V85)))</f>
        <v>194.50213675213666</v>
      </c>
      <c r="O86" s="13">
        <f>N86*VLOOKUP('Données projet'!$B$9,Paramètres!$A$1:$I$89,3,0)*VLOOKUP('Données projet'!$B$9,Paramètres!$A$1:$I$89,5,0)</f>
        <v>175.98553333333325</v>
      </c>
      <c r="P86" s="13">
        <f t="shared" si="87"/>
        <v>44.427872246727624</v>
      </c>
      <c r="Q86" s="20">
        <f t="shared" si="54"/>
        <v>383.88668138527265</v>
      </c>
      <c r="R86" s="59">
        <f t="shared" si="55"/>
        <v>655.77142686237607</v>
      </c>
      <c r="S86" s="59">
        <f ca="1">AVERAGE(OFFSET($R$3,0,0,'Données projet'!$E$9+1,1))-AVERAGE(OFFSET($H$3,0,0,'Données projet'!$E$9+1,1))</f>
        <v>388.1278150896951</v>
      </c>
      <c r="T86" s="59">
        <f t="shared" si="88"/>
        <v>232.26614607059227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7.9442335857910917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7.9442335857910917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5.5042735042735051</v>
      </c>
      <c r="AI86" s="13">
        <f>IF('Données projet'!$A$62&gt;35,AI85+AH86-AQ85,IF(A86&lt;'Données projet'!$A$62,$AF$205^A86,IF(A86='Données projet'!$A$62,'Données projet'!$B$62,AI85+AH86-AQ85)))</f>
        <v>194.50213675213666</v>
      </c>
      <c r="AJ86" s="13">
        <f>AI86*VLOOKUP('Données projet'!$B$10,Paramètres!$A$1:$I$89,3,0)*VLOOKUP('Données projet'!$B$10,Paramètres!$A$1:$I$89,5,0)</f>
        <v>197.22516666666658</v>
      </c>
      <c r="AK86" s="13">
        <f t="shared" si="89"/>
        <v>49.133848364506264</v>
      </c>
      <c r="AL86" s="20">
        <f t="shared" si="58"/>
        <v>429.07528451262601</v>
      </c>
      <c r="AM86" s="59">
        <f t="shared" si="59"/>
        <v>700.96002998972949</v>
      </c>
      <c r="AN86" s="59">
        <f ca="1">AVERAGE(OFFSET($AM$3,0,0,'Données projet'!$E$10+1,1))-AVERAGE(OFFSET($H$3,0,0,'Données projet'!$E$10+1,1))</f>
        <v>424.89201140676084</v>
      </c>
      <c r="AO86" s="59">
        <f t="shared" si="90"/>
        <v>253.0016648946303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8.9030203978693248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8.9030203978693248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5.5042735042735051</v>
      </c>
      <c r="BD86" s="12">
        <f>IF('Données projet'!$A$88&gt;35,BD85+BC86-BL85,IF(A86&lt;'Données projet'!$A$88,$BA$205^A86,IF(A86='Données projet'!$A$88,'Données projet'!$B$88,BD85+BC86-BL85)))</f>
        <v>194.50213675213666</v>
      </c>
      <c r="BE86" s="13">
        <f>BD86*VLOOKUP('Données projet'!$B$11,Paramètres!$A$1:$I$89,3,0)*VLOOKUP('Données projet'!$B$11,Paramètres!$A$1:$I$89,5,0)</f>
        <v>185.08823333333325</v>
      </c>
      <c r="BF86" s="13">
        <f t="shared" si="91"/>
        <v>46.452381217770373</v>
      </c>
      <c r="BG86" s="20">
        <f t="shared" si="61"/>
        <v>403.26657034317213</v>
      </c>
      <c r="BH86" s="59">
        <f t="shared" si="62"/>
        <v>675.15131582027561</v>
      </c>
      <c r="BI86" s="59">
        <f ca="1">AVERAGE(OFFSET($BH$3,0,0,'Données projet'!$E$11+1,1))-AVERAGE(OFFSET($H$3,0,0,'Données projet'!$E$11+1,1))</f>
        <v>403.89478276355294</v>
      </c>
      <c r="BJ86" s="59">
        <f t="shared" si="92"/>
        <v>241.1593989733278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8.3551422195389087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8.3551422195389087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319</v>
      </c>
      <c r="BZ86" s="13">
        <f>BY86*VLOOKUP('Données projet'!$B$12,Paramètres!$A$1:$I$89,3,0)*VLOOKUP('Données projet'!$B$12,Paramètres!$A$1:$I$89,5,0)</f>
        <v>253.79640000000001</v>
      </c>
      <c r="CA86" s="13">
        <f t="shared" si="93"/>
        <v>61.39816832228076</v>
      </c>
      <c r="CB86" s="20">
        <f t="shared" si="64"/>
        <v>548.96387316130563</v>
      </c>
      <c r="CC86" s="59">
        <f t="shared" si="65"/>
        <v>820.84861863840911</v>
      </c>
      <c r="CD86" s="59">
        <f ca="1">AVERAGE(OFFSET($CC$3,0,0,'Données projet'!$E$12+1,1))-AVERAGE(OFFSET($H$3,0,0,'Données projet'!$E$12+1,1))</f>
        <v>377.27600411578322</v>
      </c>
      <c r="CE86" s="59">
        <f t="shared" si="94"/>
        <v>364.58250627635425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42.195884755657147</v>
      </c>
      <c r="CL86" s="21">
        <f>EXP(-LN(2)/25)*CL85+(1-EXP(-LN(2)/25))/(LN(2)/25)*Calculateur!CG86*Calculateur!CI86*VLOOKUP('Données projet'!$B$12,Paramètres!$A$1:$I$89,3,0)*0.475*44/12</f>
        <v>6.9431885366800454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49.139073292337194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1.7053025658242404E-13</v>
      </c>
      <c r="CU86" s="17">
        <f>CT86*VLOOKUP('Données projet'!$B$13,Paramètres!$A$1:$I$89,3,0)*VLOOKUP('Données projet'!$B$13,Paramètres!$A$1:$I$89,5,0)</f>
        <v>1.3301360013429075E-13</v>
      </c>
      <c r="CV86" s="13">
        <f t="shared" si="95"/>
        <v>1.9329766731057041E-12</v>
      </c>
      <c r="CW86" s="20">
        <f t="shared" si="67"/>
        <v>3.5982663925596575E-12</v>
      </c>
      <c r="CX86" s="59">
        <f t="shared" si="68"/>
        <v>271.88474547710706</v>
      </c>
      <c r="CY86" s="59">
        <f ca="1">AVERAGE(OFFSET($CX$3,0,0,'Données projet'!$E$13+1,1))-AVERAGE(OFFSET($H$3,0,0,'Données projet'!$E$13+1,1))</f>
        <v>308.82719216177946</v>
      </c>
      <c r="CZ86" s="59">
        <f t="shared" si="96"/>
        <v>302.59481222418219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61.487804812690555</v>
      </c>
      <c r="DG86" s="21">
        <f>EXP(-LN(2)/25)*DG85+(1-EXP(-LN(2)/25))/(LN(2)/25)*Calculateur!DB86*Calculateur!DD86*VLOOKUP('Données projet'!$B$13,Paramètres!$A$1:$I$89,3,0)*0.475*44/12</f>
        <v>46.26667894061827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107.75448375330882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304.99999999999983</v>
      </c>
      <c r="DP86" s="17">
        <f>DO86*VLOOKUP('Données projet'!$B$14,Paramètres!$A$1:$I$89,3,0)*VLOOKUP('Données projet'!$B$14,Paramètres!$A$1:$I$89,5,0)</f>
        <v>275.96399999999983</v>
      </c>
      <c r="DQ86" s="13">
        <f t="shared" si="97"/>
        <v>66.113366665488854</v>
      </c>
      <c r="DR86" s="20">
        <f t="shared" si="70"/>
        <v>595.78474694239264</v>
      </c>
      <c r="DS86" s="59">
        <f t="shared" si="71"/>
        <v>867.66949241949612</v>
      </c>
      <c r="DT86" s="59">
        <f ca="1">AVERAGE(OFFSET($DS$3,0,0,'Données projet'!$E$14+1,1))-AVERAGE(OFFSET($H$3,0,0,'Données projet'!$E$14+1,1))</f>
        <v>376.51107072413777</v>
      </c>
      <c r="DU86" s="59">
        <f t="shared" si="98"/>
        <v>532.90758914457615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0.56580608251117015</v>
      </c>
      <c r="EB86" s="21">
        <f>EXP(-LN(2)/25)*EB85+(1-EXP(-LN(2)/25))/(LN(2)/25)*Calculateur!DW86*Calculateur!DY86*VLOOKUP('Données projet'!$B$14,Paramètres!$A$1:$I$89,3,0)*0.475*44/12</f>
        <v>1.6984373578475798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2.2642434403587499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-1.7053025658242404E-13</v>
      </c>
      <c r="EK86" s="17">
        <f>EJ86*VLOOKUP('Données projet'!$B$15,Paramètres!$A$1:$I$89,3,0)*VLOOKUP('Données projet'!$B$15,Paramètres!$A$1:$I$89,5,0)</f>
        <v>-1.0197709343628959E-13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337.99164391755608</v>
      </c>
      <c r="EP86" s="59">
        <f t="shared" si="100"/>
        <v>421.45428231923393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95.402355404639451</v>
      </c>
      <c r="EW86" s="21">
        <f>EXP(-LN(2)/25)*EW85+(1-EXP(-LN(2)/25))/(LN(2)/25)*Calculateur!ER86*Calculateur!ET86*VLOOKUP('Données projet'!$B$15,Paramètres!$A$1:$I$89,3,0)*0.475*44/12</f>
        <v>20.90814721082522</v>
      </c>
      <c r="EX86" s="21">
        <f>EXP(-LN(2)/2)*EX85+(1-EXP(-LN(2)/2))/(LN(2)/2)*ER86*EU86*VLOOKUP('Données projet'!$B$15,Paramètres!$A$1:$I$89,3,0)*0.475*44/12</f>
        <v>3.4877464473632436E-3</v>
      </c>
      <c r="EY86" s="22">
        <f t="shared" si="75"/>
        <v>116.31399036191203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>
        <f>VLOOKUP(A87,'Données projet'!$A$35:$I$55,2,0)</f>
        <v>200.00641025641025</v>
      </c>
      <c r="L87" s="12">
        <f>VLOOKUP(A87,'Données projet'!$A$35:$I$55,9,0)</f>
        <v>5.5042735042735051</v>
      </c>
      <c r="M87" s="12">
        <f t="array" ref="M87">INDEX(L:L,MIN(IF(ISNUMBER(L87:L283),ROW(L87:L283),"")))</f>
        <v>5.5042735042735051</v>
      </c>
      <c r="N87" s="13">
        <f>IF('Données projet'!$A$36&gt;35,N86+M87-V86,IF(A87&lt;'Données projet'!$A$36,$K$205^A87,IF(A87='Données projet'!$A$36,'Données projet'!$B$36,N86+M87-V86)))</f>
        <v>200.00641025641016</v>
      </c>
      <c r="O87" s="13">
        <f>N87*VLOOKUP('Données projet'!$B$9,Paramètres!$A$1:$I$89,3,0)*VLOOKUP('Données projet'!$B$9,Paramètres!$A$1:$I$89,5,0)</f>
        <v>180.96579999999992</v>
      </c>
      <c r="P87" s="13">
        <f t="shared" si="87"/>
        <v>45.536991906907375</v>
      </c>
      <c r="Q87" s="20">
        <f t="shared" si="54"/>
        <v>394.49236257119691</v>
      </c>
      <c r="R87" s="59">
        <f t="shared" si="55"/>
        <v>666.74919309574716</v>
      </c>
      <c r="S87" s="59">
        <f ca="1">AVERAGE(OFFSET($R$3,0,0,'Données projet'!$E$9+1,1))-AVERAGE(OFFSET($H$3,0,0,'Données projet'!$E$9+1,1))</f>
        <v>388.1278150896951</v>
      </c>
      <c r="T87" s="59">
        <f t="shared" si="88"/>
        <v>232.26614607059227</v>
      </c>
      <c r="U87" s="15">
        <f>IF(ISNA(VLOOKUP(A87,'Données projet'!$A$35:$I$55,3,0)),0,VLOOKUP(A87,'Données projet'!$A$35:$I$55,3,0))</f>
        <v>6</v>
      </c>
      <c r="V87" s="15">
        <f>IF(ISNA(VLOOKUP(A87,'Données projet'!$A$35:$I$55,4,0)),0,VLOOKUP(A87,'Données projet'!$A$35:$I$55,4,0))</f>
        <v>35.083333333333329</v>
      </c>
      <c r="W87" s="16">
        <f>IF(ISNA(VLOOKUP(A87,'Données projet'!$A$35:$I$55,5,0)),0%,VLOOKUP(A87,'Données projet'!$A$35:$I$55,5,0)*VLOOKUP('Données projet'!$B$9,Paramètres!$A$1:$I$89,7,0))</f>
        <v>0.30099999999999999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18.350959932823301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18.350959932823301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200.00641025641025</v>
      </c>
      <c r="AG87" s="12">
        <f>VLOOKUP(A87,'Données projet'!$A$61:$I$81,9,0)</f>
        <v>5.5042735042735051</v>
      </c>
      <c r="AH87" s="12">
        <f t="array" ref="AH87">INDEX(AG:AG,MIN(IF(ISNUMBER(AG87:AG283),ROW(AG87:AG283),"")))</f>
        <v>5.5042735042735051</v>
      </c>
      <c r="AI87" s="13">
        <f>IF('Données projet'!$A$62&gt;35,AI86+AH87-AQ86,IF(A87&lt;'Données projet'!$A$62,$AF$205^A87,IF(A87='Données projet'!$A$62,'Données projet'!$B$62,AI86+AH87-AQ86)))</f>
        <v>200.00641025641016</v>
      </c>
      <c r="AJ87" s="13">
        <f>AI87*VLOOKUP('Données projet'!$B$10,Paramètres!$A$1:$I$89,3,0)*VLOOKUP('Données projet'!$B$10,Paramètres!$A$1:$I$89,5,0)</f>
        <v>202.80649999999991</v>
      </c>
      <c r="AK87" s="13">
        <f t="shared" si="89"/>
        <v>50.360450370083477</v>
      </c>
      <c r="AL87" s="20">
        <f t="shared" si="58"/>
        <v>440.93243856122854</v>
      </c>
      <c r="AM87" s="59">
        <f t="shared" si="59"/>
        <v>713.18926908577885</v>
      </c>
      <c r="AN87" s="59">
        <f ca="1">AVERAGE(OFFSET($AM$3,0,0,'Données projet'!$E$10+1,1))-AVERAGE(OFFSET($H$3,0,0,'Données projet'!$E$10+1,1))</f>
        <v>424.89201140676084</v>
      </c>
      <c r="AO87" s="59">
        <f t="shared" si="90"/>
        <v>253.0016648946303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35.083333333333329</v>
      </c>
      <c r="AR87" s="16">
        <f>IF(ISNA(VLOOKUP(A87,'Données projet'!$A$61:$I$81,5,0)),0%,VLOOKUP(A87,'Données projet'!$A$61:$I$81,5,0)*VLOOKUP('Données projet'!$B$10,Paramètres!$A$1:$I$89,7,0))</f>
        <v>0.30099999999999999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20.565730959198525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20.565730959198525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200.00641025641025</v>
      </c>
      <c r="BB87" s="12">
        <f>VLOOKUP(A87,'Données projet'!$A$87:$I$107,9,0)</f>
        <v>5.5042735042735051</v>
      </c>
      <c r="BC87" s="12">
        <f t="array" ref="BC87">INDEX(BB:BB,MIN(IF(ISNUMBER(BB87:BB283),ROW(BB87:BB283),"")))</f>
        <v>5.5042735042735051</v>
      </c>
      <c r="BD87" s="12">
        <f>IF('Données projet'!$A$88&gt;35,BD86+BC87-BL86,IF(A87&lt;'Données projet'!$A$88,$BA$205^A87,IF(A87='Données projet'!$A$88,'Données projet'!$B$88,BD86+BC87-BL86)))</f>
        <v>200.00641025641016</v>
      </c>
      <c r="BE87" s="13">
        <f>BD87*VLOOKUP('Données projet'!$B$11,Paramètres!$A$1:$I$89,3,0)*VLOOKUP('Données projet'!$B$11,Paramètres!$A$1:$I$89,5,0)</f>
        <v>190.32609999999991</v>
      </c>
      <c r="BF87" s="13">
        <f t="shared" si="91"/>
        <v>47.612041734138863</v>
      </c>
      <c r="BG87" s="20">
        <f t="shared" si="61"/>
        <v>414.40893018695834</v>
      </c>
      <c r="BH87" s="59">
        <f t="shared" si="62"/>
        <v>686.66576071150871</v>
      </c>
      <c r="BI87" s="59">
        <f ca="1">AVERAGE(OFFSET($BH$3,0,0,'Données projet'!$E$11+1,1))-AVERAGE(OFFSET($H$3,0,0,'Données projet'!$E$11+1,1))</f>
        <v>403.89478276355294</v>
      </c>
      <c r="BJ87" s="59">
        <f t="shared" si="92"/>
        <v>241.1593989733278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35.083333333333329</v>
      </c>
      <c r="BM87" s="16">
        <f>IF(ISNA(VLOOKUP(A87,'Données projet'!$A$87:$I$107,5,0)),0%,VLOOKUP(A87,'Données projet'!$A$87:$I$107,5,0)*VLOOKUP('Données projet'!$B$11,Paramètres!$A$1:$I$89,7,0))</f>
        <v>0.30099999999999999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19.300147515555544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19.300147515555544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319</v>
      </c>
      <c r="BZ87" s="13">
        <f>BY87*VLOOKUP('Données projet'!$B$12,Paramètres!$A$1:$I$89,3,0)*VLOOKUP('Données projet'!$B$12,Paramètres!$A$1:$I$89,5,0)</f>
        <v>253.79640000000001</v>
      </c>
      <c r="CA87" s="13">
        <f t="shared" si="93"/>
        <v>61.39816832228076</v>
      </c>
      <c r="CB87" s="20">
        <f t="shared" si="64"/>
        <v>548.96387316130563</v>
      </c>
      <c r="CC87" s="59">
        <f t="shared" si="65"/>
        <v>821.22070368585594</v>
      </c>
      <c r="CD87" s="59">
        <f ca="1">AVERAGE(OFFSET($CC$3,0,0,'Données projet'!$E$12+1,1))-AVERAGE(OFFSET($H$3,0,0,'Données projet'!$E$12+1,1))</f>
        <v>377.27600411578322</v>
      </c>
      <c r="CE87" s="59">
        <f t="shared" si="94"/>
        <v>364.58250627635425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41.368449192547097</v>
      </c>
      <c r="CL87" s="21">
        <f>EXP(-LN(2)/25)*CL86+(1-EXP(-LN(2)/25))/(LN(2)/25)*Calculateur!CG87*Calculateur!CI87*VLOOKUP('Données projet'!$B$12,Paramètres!$A$1:$I$89,3,0)*0.475*44/12</f>
        <v>6.7533266810181134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48.121775873565213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1.7053025658242404E-13</v>
      </c>
      <c r="CU87" s="17">
        <f>CT87*VLOOKUP('Données projet'!$B$13,Paramètres!$A$1:$I$89,3,0)*VLOOKUP('Données projet'!$B$13,Paramètres!$A$1:$I$89,5,0)</f>
        <v>1.3301360013429075E-13</v>
      </c>
      <c r="CV87" s="13">
        <f t="shared" si="95"/>
        <v>1.9329766731057041E-12</v>
      </c>
      <c r="CW87" s="20">
        <f t="shared" si="67"/>
        <v>3.5982663925596575E-12</v>
      </c>
      <c r="CX87" s="59">
        <f t="shared" si="68"/>
        <v>272.25683052455389</v>
      </c>
      <c r="CY87" s="59">
        <f ca="1">AVERAGE(OFFSET($CX$3,0,0,'Données projet'!$E$13+1,1))-AVERAGE(OFFSET($H$3,0,0,'Données projet'!$E$13+1,1))</f>
        <v>308.82719216177946</v>
      </c>
      <c r="CZ87" s="59">
        <f t="shared" si="96"/>
        <v>302.59481222418219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60.282066464171429</v>
      </c>
      <c r="DG87" s="21">
        <f>EXP(-LN(2)/25)*DG86+(1-EXP(-LN(2)/25))/(LN(2)/25)*Calculateur!DB87*Calculateur!DD87*VLOOKUP('Données projet'!$B$13,Paramètres!$A$1:$I$89,3,0)*0.475*44/12</f>
        <v>45.001514171928164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105.2835806360996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304.99999999999983</v>
      </c>
      <c r="DP87" s="17">
        <f>DO87*VLOOKUP('Données projet'!$B$14,Paramètres!$A$1:$I$89,3,0)*VLOOKUP('Données projet'!$B$14,Paramètres!$A$1:$I$89,5,0)</f>
        <v>275.96399999999983</v>
      </c>
      <c r="DQ87" s="13">
        <f t="shared" si="97"/>
        <v>66.113366665488854</v>
      </c>
      <c r="DR87" s="20">
        <f t="shared" si="70"/>
        <v>595.78474694239264</v>
      </c>
      <c r="DS87" s="59">
        <f t="shared" si="71"/>
        <v>868.04157746694295</v>
      </c>
      <c r="DT87" s="59">
        <f ca="1">AVERAGE(OFFSET($DS$3,0,0,'Données projet'!$E$14+1,1))-AVERAGE(OFFSET($H$3,0,0,'Données projet'!$E$14+1,1))</f>
        <v>376.51107072413777</v>
      </c>
      <c r="DU87" s="59">
        <f t="shared" si="98"/>
        <v>532.90758914457615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0.55471097034075989</v>
      </c>
      <c r="EB87" s="21">
        <f>EXP(-LN(2)/25)*EB86+(1-EXP(-LN(2)/25))/(LN(2)/25)*Calculateur!DW87*Calculateur!DY87*VLOOKUP('Données projet'!$B$14,Paramètres!$A$1:$I$89,3,0)*0.475*44/12</f>
        <v>1.6519934989802989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2.2067044693210587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-1.7053025658242404E-13</v>
      </c>
      <c r="EK87" s="17">
        <f>EJ87*VLOOKUP('Données projet'!$B$15,Paramètres!$A$1:$I$89,3,0)*VLOOKUP('Données projet'!$B$15,Paramètres!$A$1:$I$89,5,0)</f>
        <v>-1.0197709343628959E-13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337.99164391755608</v>
      </c>
      <c r="EP87" s="59">
        <f t="shared" si="100"/>
        <v>421.45428231923393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93.531573404845517</v>
      </c>
      <c r="EW87" s="21">
        <f>EXP(-LN(2)/25)*EW86+(1-EXP(-LN(2)/25))/(LN(2)/25)*Calculateur!ER87*Calculateur!ET87*VLOOKUP('Données projet'!$B$15,Paramètres!$A$1:$I$89,3,0)*0.475*44/12</f>
        <v>20.336412825833527</v>
      </c>
      <c r="EX87" s="21">
        <f>EXP(-LN(2)/2)*EX86+(1-EXP(-LN(2)/2))/(LN(2)/2)*ER87*EU87*VLOOKUP('Données projet'!$B$15,Paramètres!$A$1:$I$89,3,0)*0.475*44/12</f>
        <v>2.4662091639898395E-3</v>
      </c>
      <c r="EY87" s="22">
        <f t="shared" si="75"/>
        <v>113.87045243984302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5.2606837606837598</v>
      </c>
      <c r="N88" s="13">
        <f>IF('Données projet'!$A$36&gt;35,N87+M88-V87,IF(A88&lt;'Données projet'!$A$36,$K$205^A88,IF(A88='Données projet'!$A$36,'Données projet'!$B$36,N87+M88-V87)))</f>
        <v>170.18376068376057</v>
      </c>
      <c r="O88" s="13">
        <f>N88*VLOOKUP('Données projet'!$B$9,Paramètres!$A$1:$I$89,3,0)*VLOOKUP('Données projet'!$B$9,Paramètres!$A$1:$I$89,5,0)</f>
        <v>153.98226666666656</v>
      </c>
      <c r="P88" s="13">
        <f t="shared" si="87"/>
        <v>39.482185325458943</v>
      </c>
      <c r="Q88" s="20">
        <f t="shared" si="54"/>
        <v>336.95058721961857</v>
      </c>
      <c r="R88" s="59">
        <f t="shared" si="55"/>
        <v>609.57304794790002</v>
      </c>
      <c r="S88" s="59">
        <f ca="1">AVERAGE(OFFSET($R$3,0,0,'Données projet'!$E$9+1,1))-AVERAGE(OFFSET($H$3,0,0,'Données projet'!$E$9+1,1))</f>
        <v>388.1278150896951</v>
      </c>
      <c r="T88" s="59">
        <f t="shared" si="88"/>
        <v>232.26614607059227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17.99110880152098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17.99110880152098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5.2606837606837598</v>
      </c>
      <c r="AI88" s="13">
        <f>IF('Données projet'!$A$62&gt;35,AI87+AH88-AQ87,IF(A88&lt;'Données projet'!$A$62,$AF$205^A88,IF(A88='Données projet'!$A$62,'Données projet'!$B$62,AI87+AH88-AQ87)))</f>
        <v>170.18376068376057</v>
      </c>
      <c r="AJ88" s="13">
        <f>AI88*VLOOKUP('Données projet'!$B$10,Paramètres!$A$1:$I$89,3,0)*VLOOKUP('Données projet'!$B$10,Paramètres!$A$1:$I$89,5,0)</f>
        <v>172.56633333333323</v>
      </c>
      <c r="AK88" s="13">
        <f t="shared" si="89"/>
        <v>43.664294704622499</v>
      </c>
      <c r="AL88" s="20">
        <f t="shared" si="58"/>
        <v>376.60167716610619</v>
      </c>
      <c r="AM88" s="59">
        <f t="shared" si="59"/>
        <v>649.2241378943877</v>
      </c>
      <c r="AN88" s="59">
        <f ca="1">AVERAGE(OFFSET($AM$3,0,0,'Données projet'!$E$10+1,1))-AVERAGE(OFFSET($H$3,0,0,'Données projet'!$E$10+1,1))</f>
        <v>424.89201140676084</v>
      </c>
      <c r="AO88" s="59">
        <f t="shared" si="90"/>
        <v>253.0016648946303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20.162449518945923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20.162449518945923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5.2606837606837598</v>
      </c>
      <c r="BD88" s="12">
        <f>IF('Données projet'!$A$88&gt;35,BD87+BC88-BL87,IF(A88&lt;'Données projet'!$A$88,$BA$205^A88,IF(A88='Données projet'!$A$88,'Données projet'!$B$88,BD87+BC88-BL87)))</f>
        <v>170.18376068376057</v>
      </c>
      <c r="BE88" s="13">
        <f>BD88*VLOOKUP('Données projet'!$B$11,Paramètres!$A$1:$I$89,3,0)*VLOOKUP('Données projet'!$B$11,Paramètres!$A$1:$I$89,5,0)</f>
        <v>161.94686666666655</v>
      </c>
      <c r="BF88" s="13">
        <f t="shared" si="91"/>
        <v>41.281327043159628</v>
      </c>
      <c r="BG88" s="20">
        <f t="shared" si="61"/>
        <v>353.95577071128059</v>
      </c>
      <c r="BH88" s="59">
        <f t="shared" si="62"/>
        <v>626.57823143956216</v>
      </c>
      <c r="BI88" s="59">
        <f ca="1">AVERAGE(OFFSET($BH$3,0,0,'Données projet'!$E$11+1,1))-AVERAGE(OFFSET($H$3,0,0,'Données projet'!$E$11+1,1))</f>
        <v>403.89478276355294</v>
      </c>
      <c r="BJ88" s="59">
        <f t="shared" si="92"/>
        <v>241.1593989733278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18.921683394703102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18.921683394703102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319</v>
      </c>
      <c r="BZ88" s="13">
        <f>BY88*VLOOKUP('Données projet'!$B$12,Paramètres!$A$1:$I$89,3,0)*VLOOKUP('Données projet'!$B$12,Paramètres!$A$1:$I$89,5,0)</f>
        <v>253.79640000000001</v>
      </c>
      <c r="CA88" s="13">
        <f t="shared" si="93"/>
        <v>61.39816832228076</v>
      </c>
      <c r="CB88" s="20">
        <f t="shared" si="64"/>
        <v>548.96387316130563</v>
      </c>
      <c r="CC88" s="59">
        <f t="shared" si="65"/>
        <v>821.58633388958719</v>
      </c>
      <c r="CD88" s="59">
        <f ca="1">AVERAGE(OFFSET($CC$3,0,0,'Données projet'!$E$12+1,1))-AVERAGE(OFFSET($H$3,0,0,'Données projet'!$E$12+1,1))</f>
        <v>377.27600411578322</v>
      </c>
      <c r="CE88" s="59">
        <f t="shared" si="94"/>
        <v>364.58250627635425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40.557239136143778</v>
      </c>
      <c r="CL88" s="21">
        <f>EXP(-LN(2)/25)*CL87+(1-EXP(-LN(2)/25))/(LN(2)/25)*Calculateur!CG88*Calculateur!CI88*VLOOKUP('Données projet'!$B$12,Paramètres!$A$1:$I$89,3,0)*0.475*44/12</f>
        <v>6.5686566077836579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47.125895743927437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1.7053025658242404E-13</v>
      </c>
      <c r="CU88" s="17">
        <f>CT88*VLOOKUP('Données projet'!$B$13,Paramètres!$A$1:$I$89,3,0)*VLOOKUP('Données projet'!$B$13,Paramètres!$A$1:$I$89,5,0)</f>
        <v>1.3301360013429075E-13</v>
      </c>
      <c r="CV88" s="13">
        <f t="shared" si="95"/>
        <v>1.9329766731057041E-12</v>
      </c>
      <c r="CW88" s="20">
        <f t="shared" si="67"/>
        <v>3.5982663925596575E-12</v>
      </c>
      <c r="CX88" s="59">
        <f t="shared" si="68"/>
        <v>272.62246072828509</v>
      </c>
      <c r="CY88" s="59">
        <f ca="1">AVERAGE(OFFSET($CX$3,0,0,'Données projet'!$E$13+1,1))-AVERAGE(OFFSET($H$3,0,0,'Données projet'!$E$13+1,1))</f>
        <v>308.82719216177946</v>
      </c>
      <c r="CZ88" s="59">
        <f t="shared" si="96"/>
        <v>302.59481222418219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59.099971909238988</v>
      </c>
      <c r="DG88" s="21">
        <f>EXP(-LN(2)/25)*DG87+(1-EXP(-LN(2)/25))/(LN(2)/25)*Calculateur!DB88*Calculateur!DD88*VLOOKUP('Données projet'!$B$13,Paramètres!$A$1:$I$89,3,0)*0.475*44/12</f>
        <v>43.77094540037001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102.870917309609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304.99999999999983</v>
      </c>
      <c r="DP88" s="17">
        <f>DO88*VLOOKUP('Données projet'!$B$14,Paramètres!$A$1:$I$89,3,0)*VLOOKUP('Données projet'!$B$14,Paramètres!$A$1:$I$89,5,0)</f>
        <v>275.96399999999983</v>
      </c>
      <c r="DQ88" s="13">
        <f t="shared" si="97"/>
        <v>66.113366665488854</v>
      </c>
      <c r="DR88" s="20">
        <f t="shared" si="70"/>
        <v>595.78474694239264</v>
      </c>
      <c r="DS88" s="59">
        <f t="shared" si="71"/>
        <v>868.4072076706741</v>
      </c>
      <c r="DT88" s="59">
        <f ca="1">AVERAGE(OFFSET($DS$3,0,0,'Données projet'!$E$14+1,1))-AVERAGE(OFFSET($H$3,0,0,'Données projet'!$E$14+1,1))</f>
        <v>376.51107072413777</v>
      </c>
      <c r="DU88" s="59">
        <f t="shared" si="98"/>
        <v>532.90758914457615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0.5438334265526612</v>
      </c>
      <c r="EB88" s="21">
        <f>EXP(-LN(2)/25)*EB87+(1-EXP(-LN(2)/25))/(LN(2)/25)*Calculateur!DW88*Calculateur!DY88*VLOOKUP('Données projet'!$B$14,Paramètres!$A$1:$I$89,3,0)*0.475*44/12</f>
        <v>1.6068196498761202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2.1506530764287817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-1.7053025658242404E-13</v>
      </c>
      <c r="EK88" s="17">
        <f>EJ88*VLOOKUP('Données projet'!$B$15,Paramètres!$A$1:$I$89,3,0)*VLOOKUP('Données projet'!$B$15,Paramètres!$A$1:$I$89,5,0)</f>
        <v>-1.0197709343628959E-13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337.99164391755608</v>
      </c>
      <c r="EP88" s="59">
        <f t="shared" si="100"/>
        <v>421.45428231923393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91.697476299003185</v>
      </c>
      <c r="EW88" s="21">
        <f>EXP(-LN(2)/25)*EW87+(1-EXP(-LN(2)/25))/(LN(2)/25)*Calculateur!ER88*Calculateur!ET88*VLOOKUP('Données projet'!$B$15,Paramètres!$A$1:$I$89,3,0)*0.475*44/12</f>
        <v>19.780312547665638</v>
      </c>
      <c r="EX88" s="21">
        <f>EXP(-LN(2)/2)*EX87+(1-EXP(-LN(2)/2))/(LN(2)/2)*ER88*EU88*VLOOKUP('Données projet'!$B$15,Paramètres!$A$1:$I$89,3,0)*0.475*44/12</f>
        <v>1.7438732236816218E-3</v>
      </c>
      <c r="EY88" s="22">
        <f t="shared" si="75"/>
        <v>111.47953271989252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5.2606837606837598</v>
      </c>
      <c r="N89" s="13">
        <f>IF('Données projet'!$A$36&gt;35,N88+M89-V88,IF(A89&lt;'Données projet'!$A$36,$K$205^A89,IF(A89='Données projet'!$A$36,'Données projet'!$B$36,N88+M89-V88)))</f>
        <v>175.44444444444431</v>
      </c>
      <c r="O89" s="13">
        <f>N89*VLOOKUP('Données projet'!$B$9,Paramètres!$A$1:$I$89,3,0)*VLOOKUP('Données projet'!$B$9,Paramètres!$A$1:$I$89,5,0)</f>
        <v>158.74213333333321</v>
      </c>
      <c r="P89" s="13">
        <f t="shared" si="87"/>
        <v>40.558669873865824</v>
      </c>
      <c r="Q89" s="20">
        <f t="shared" si="54"/>
        <v>347.11556558587159</v>
      </c>
      <c r="R89" s="59">
        <f t="shared" si="55"/>
        <v>620.09731365127629</v>
      </c>
      <c r="S89" s="59">
        <f ca="1">AVERAGE(OFFSET($R$3,0,0,'Données projet'!$E$9+1,1))-AVERAGE(OFFSET($H$3,0,0,'Données projet'!$E$9+1,1))</f>
        <v>388.1278150896951</v>
      </c>
      <c r="T89" s="59">
        <f t="shared" si="88"/>
        <v>232.26614607059227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17.638314131415981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17.638314131415981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5.2606837606837598</v>
      </c>
      <c r="AI89" s="13">
        <f>IF('Données projet'!$A$62&gt;35,AI88+AH89-AQ88,IF(A89&lt;'Données projet'!$A$62,$AF$205^A89,IF(A89='Données projet'!$A$62,'Données projet'!$B$62,AI88+AH89-AQ88)))</f>
        <v>175.44444444444431</v>
      </c>
      <c r="AJ89" s="13">
        <f>AI89*VLOOKUP('Données projet'!$B$10,Paramètres!$A$1:$I$89,3,0)*VLOOKUP('Données projet'!$B$10,Paramètres!$A$1:$I$89,5,0)</f>
        <v>177.90066666666655</v>
      </c>
      <c r="AK89" s="13">
        <f t="shared" si="89"/>
        <v>44.854804758185892</v>
      </c>
      <c r="AL89" s="20">
        <f t="shared" si="58"/>
        <v>387.96577939828467</v>
      </c>
      <c r="AM89" s="59">
        <f t="shared" si="59"/>
        <v>660.94752746368931</v>
      </c>
      <c r="AN89" s="59">
        <f ca="1">AVERAGE(OFFSET($AM$3,0,0,'Données projet'!$E$10+1,1))-AVERAGE(OFFSET($H$3,0,0,'Données projet'!$E$10+1,1))</f>
        <v>424.89201140676084</v>
      </c>
      <c r="AO89" s="59">
        <f t="shared" si="90"/>
        <v>253.0016648946303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19.767076181759286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19.767076181759286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5.2606837606837598</v>
      </c>
      <c r="BD89" s="12">
        <f>IF('Données projet'!$A$88&gt;35,BD88+BC89-BL88,IF(A89&lt;'Données projet'!$A$88,$BA$205^A89,IF(A89='Données projet'!$A$88,'Données projet'!$B$88,BD88+BC89-BL88)))</f>
        <v>175.44444444444431</v>
      </c>
      <c r="BE89" s="13">
        <f>BD89*VLOOKUP('Données projet'!$B$11,Paramètres!$A$1:$I$89,3,0)*VLOOKUP('Données projet'!$B$11,Paramètres!$A$1:$I$89,5,0)</f>
        <v>166.95293333333319</v>
      </c>
      <c r="BF89" s="13">
        <f t="shared" si="91"/>
        <v>42.40686531651955</v>
      </c>
      <c r="BG89" s="20">
        <f t="shared" si="61"/>
        <v>364.63498264849346</v>
      </c>
      <c r="BH89" s="59">
        <f t="shared" si="62"/>
        <v>637.61673071389816</v>
      </c>
      <c r="BI89" s="59">
        <f ca="1">AVERAGE(OFFSET($BH$3,0,0,'Données projet'!$E$11+1,1))-AVERAGE(OFFSET($H$3,0,0,'Données projet'!$E$11+1,1))</f>
        <v>403.89478276355294</v>
      </c>
      <c r="BJ89" s="59">
        <f t="shared" si="92"/>
        <v>241.1593989733278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18.550640724420258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18.550640724420258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319</v>
      </c>
      <c r="BZ89" s="13">
        <f>BY89*VLOOKUP('Données projet'!$B$12,Paramètres!$A$1:$I$89,3,0)*VLOOKUP('Données projet'!$B$12,Paramètres!$A$1:$I$89,5,0)</f>
        <v>253.79640000000001</v>
      </c>
      <c r="CA89" s="13">
        <f t="shared" si="93"/>
        <v>61.39816832228076</v>
      </c>
      <c r="CB89" s="20">
        <f t="shared" si="64"/>
        <v>548.96387316130563</v>
      </c>
      <c r="CC89" s="59">
        <f t="shared" si="65"/>
        <v>821.94562122671027</v>
      </c>
      <c r="CD89" s="59">
        <f ca="1">AVERAGE(OFFSET($CC$3,0,0,'Données projet'!$E$12+1,1))-AVERAGE(OFFSET($H$3,0,0,'Données projet'!$E$12+1,1))</f>
        <v>377.27600411578322</v>
      </c>
      <c r="CE89" s="59">
        <f t="shared" si="94"/>
        <v>364.58250627635425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39.761936414157248</v>
      </c>
      <c r="CL89" s="21">
        <f>EXP(-LN(2)/25)*CL88+(1-EXP(-LN(2)/25))/(LN(2)/25)*Calculateur!CG89*Calculateur!CI89*VLOOKUP('Données projet'!$B$12,Paramètres!$A$1:$I$89,3,0)*0.475*44/12</f>
        <v>6.3890363474131755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46.150972761570422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1.7053025658242404E-13</v>
      </c>
      <c r="CU89" s="17">
        <f>CT89*VLOOKUP('Données projet'!$B$13,Paramètres!$A$1:$I$89,3,0)*VLOOKUP('Données projet'!$B$13,Paramètres!$A$1:$I$89,5,0)</f>
        <v>1.3301360013429075E-13</v>
      </c>
      <c r="CV89" s="13">
        <f t="shared" si="95"/>
        <v>1.9329766731057041E-12</v>
      </c>
      <c r="CW89" s="20">
        <f t="shared" si="67"/>
        <v>3.5982663925596575E-12</v>
      </c>
      <c r="CX89" s="59">
        <f t="shared" si="68"/>
        <v>272.98174806540828</v>
      </c>
      <c r="CY89" s="59">
        <f ca="1">AVERAGE(OFFSET($CX$3,0,0,'Données projet'!$E$13+1,1))-AVERAGE(OFFSET($H$3,0,0,'Données projet'!$E$13+1,1))</f>
        <v>308.82719216177946</v>
      </c>
      <c r="CZ89" s="59">
        <f t="shared" si="96"/>
        <v>302.59481222418219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57.941057507522288</v>
      </c>
      <c r="DG89" s="21">
        <f>EXP(-LN(2)/25)*DG88+(1-EXP(-LN(2)/25))/(LN(2)/25)*Calculateur!DB89*Calculateur!DD89*VLOOKUP('Données projet'!$B$13,Paramètres!$A$1:$I$89,3,0)*0.475*44/12</f>
        <v>42.574026596582911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100.5150841041052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304.99999999999983</v>
      </c>
      <c r="DP89" s="17">
        <f>DO89*VLOOKUP('Données projet'!$B$14,Paramètres!$A$1:$I$89,3,0)*VLOOKUP('Données projet'!$B$14,Paramètres!$A$1:$I$89,5,0)</f>
        <v>275.96399999999983</v>
      </c>
      <c r="DQ89" s="13">
        <f t="shared" si="97"/>
        <v>66.113366665488854</v>
      </c>
      <c r="DR89" s="20">
        <f t="shared" si="70"/>
        <v>595.78474694239264</v>
      </c>
      <c r="DS89" s="59">
        <f t="shared" si="71"/>
        <v>868.7664950077974</v>
      </c>
      <c r="DT89" s="59">
        <f ca="1">AVERAGE(OFFSET($DS$3,0,0,'Données projet'!$E$14+1,1))-AVERAGE(OFFSET($H$3,0,0,'Données projet'!$E$14+1,1))</f>
        <v>376.51107072413777</v>
      </c>
      <c r="DU89" s="59">
        <f t="shared" si="98"/>
        <v>532.90758914457615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0.53316918476360053</v>
      </c>
      <c r="EB89" s="21">
        <f>EXP(-LN(2)/25)*EB88+(1-EXP(-LN(2)/25))/(LN(2)/25)*Calculateur!DW89*Calculateur!DY89*VLOOKUP('Données projet'!$B$14,Paramètres!$A$1:$I$89,3,0)*0.475*44/12</f>
        <v>1.5628810820512848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2.0960502668148853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-1.7053025658242404E-13</v>
      </c>
      <c r="EK89" s="17">
        <f>EJ89*VLOOKUP('Données projet'!$B$15,Paramètres!$A$1:$I$89,3,0)*VLOOKUP('Données projet'!$B$15,Paramètres!$A$1:$I$89,5,0)</f>
        <v>-1.0197709343628959E-13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337.99164391755608</v>
      </c>
      <c r="EP89" s="59">
        <f t="shared" si="100"/>
        <v>421.45428231923393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89.899344718717657</v>
      </c>
      <c r="EW89" s="21">
        <f>EXP(-LN(2)/25)*EW88+(1-EXP(-LN(2)/25))/(LN(2)/25)*Calculateur!ER89*Calculateur!ET89*VLOOKUP('Données projet'!$B$15,Paramètres!$A$1:$I$89,3,0)*0.475*44/12</f>
        <v>19.239418860848293</v>
      </c>
      <c r="EX89" s="21">
        <f>EXP(-LN(2)/2)*EX88+(1-EXP(-LN(2)/2))/(LN(2)/2)*ER89*EU89*VLOOKUP('Données projet'!$B$15,Paramètres!$A$1:$I$89,3,0)*0.475*44/12</f>
        <v>1.2331045819949198E-3</v>
      </c>
      <c r="EY89" s="22">
        <f t="shared" si="75"/>
        <v>109.13999668414795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5.2606837606837598</v>
      </c>
      <c r="N90" s="13">
        <f>IF('Données projet'!$A$36&gt;35,N89+M90-V89,IF(A90&lt;'Données projet'!$A$36,$K$205^A90,IF(A90='Données projet'!$A$36,'Données projet'!$B$36,N89+M90-V89)))</f>
        <v>180.70512820512806</v>
      </c>
      <c r="O90" s="13">
        <f>N90*VLOOKUP('Données projet'!$B$9,Paramètres!$A$1:$I$89,3,0)*VLOOKUP('Données projet'!$B$9,Paramètres!$A$1:$I$89,5,0)</f>
        <v>163.50199999999987</v>
      </c>
      <c r="P90" s="13">
        <f t="shared" si="87"/>
        <v>41.631403185766587</v>
      </c>
      <c r="Q90" s="20">
        <f t="shared" si="54"/>
        <v>357.27401054854323</v>
      </c>
      <c r="R90" s="59">
        <f t="shared" si="55"/>
        <v>630.60881311901812</v>
      </c>
      <c r="S90" s="59">
        <f ca="1">AVERAGE(OFFSET($R$3,0,0,'Données projet'!$E$9+1,1))-AVERAGE(OFFSET($H$3,0,0,'Données projet'!$E$9+1,1))</f>
        <v>388.1278150896951</v>
      </c>
      <c r="T90" s="59">
        <f t="shared" si="88"/>
        <v>232.26614607059227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17.292437549608241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17.292437549608241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5.2606837606837598</v>
      </c>
      <c r="AI90" s="13">
        <f>IF('Données projet'!$A$62&gt;35,AI89+AH90-AQ89,IF(A90&lt;'Données projet'!$A$62,$AF$205^A90,IF(A90='Données projet'!$A$62,'Données projet'!$B$62,AI89+AH90-AQ89)))</f>
        <v>180.70512820512806</v>
      </c>
      <c r="AJ90" s="13">
        <f>AI90*VLOOKUP('Données projet'!$B$10,Paramètres!$A$1:$I$89,3,0)*VLOOKUP('Données projet'!$B$10,Paramètres!$A$1:$I$89,5,0)</f>
        <v>183.23499999999987</v>
      </c>
      <c r="AK90" s="13">
        <f t="shared" si="89"/>
        <v>46.041166229421272</v>
      </c>
      <c r="AL90" s="20">
        <f t="shared" si="58"/>
        <v>399.32265618290847</v>
      </c>
      <c r="AM90" s="59">
        <f t="shared" si="59"/>
        <v>672.65745875338325</v>
      </c>
      <c r="AN90" s="59">
        <f ca="1">AVERAGE(OFFSET($AM$3,0,0,'Données projet'!$E$10+1,1))-AVERAGE(OFFSET($H$3,0,0,'Données projet'!$E$10+1,1))</f>
        <v>424.89201140676084</v>
      </c>
      <c r="AO90" s="59">
        <f t="shared" si="90"/>
        <v>253.0016648946303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19.379455874560954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19.379455874560954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5.2606837606837598</v>
      </c>
      <c r="BD90" s="12">
        <f>IF('Données projet'!$A$88&gt;35,BD89+BC90-BL89,IF(A90&lt;'Données projet'!$A$88,$BA$205^A90,IF(A90='Données projet'!$A$88,'Données projet'!$B$88,BD89+BC90-BL89)))</f>
        <v>180.70512820512806</v>
      </c>
      <c r="BE90" s="13">
        <f>BD90*VLOOKUP('Données projet'!$B$11,Paramètres!$A$1:$I$89,3,0)*VLOOKUP('Données projet'!$B$11,Paramètres!$A$1:$I$89,5,0)</f>
        <v>171.95899999999986</v>
      </c>
      <c r="BF90" s="13">
        <f t="shared" si="91"/>
        <v>43.528481415365803</v>
      </c>
      <c r="BG90" s="20">
        <f t="shared" si="61"/>
        <v>375.30736346509519</v>
      </c>
      <c r="BH90" s="59">
        <f t="shared" si="62"/>
        <v>648.64216603556997</v>
      </c>
      <c r="BI90" s="59">
        <f ca="1">AVERAGE(OFFSET($BH$3,0,0,'Données projet'!$E$11+1,1))-AVERAGE(OFFSET($H$3,0,0,'Données projet'!$E$11+1,1))</f>
        <v>403.89478276355294</v>
      </c>
      <c r="BJ90" s="59">
        <f t="shared" si="92"/>
        <v>241.1593989733278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18.186873974587979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18.186873974587979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319</v>
      </c>
      <c r="BZ90" s="13">
        <f>BY90*VLOOKUP('Données projet'!$B$12,Paramètres!$A$1:$I$89,3,0)*VLOOKUP('Données projet'!$B$12,Paramètres!$A$1:$I$89,5,0)</f>
        <v>253.79640000000001</v>
      </c>
      <c r="CA90" s="13">
        <f t="shared" si="93"/>
        <v>61.39816832228076</v>
      </c>
      <c r="CB90" s="20">
        <f t="shared" si="64"/>
        <v>548.96387316130563</v>
      </c>
      <c r="CC90" s="59">
        <f t="shared" si="65"/>
        <v>822.29867573178046</v>
      </c>
      <c r="CD90" s="59">
        <f ca="1">AVERAGE(OFFSET($CC$3,0,0,'Données projet'!$E$12+1,1))-AVERAGE(OFFSET($H$3,0,0,'Données projet'!$E$12+1,1))</f>
        <v>377.27600411578322</v>
      </c>
      <c r="CE90" s="59">
        <f t="shared" si="94"/>
        <v>364.58250627635425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38.982229093462109</v>
      </c>
      <c r="CL90" s="21">
        <f>EXP(-LN(2)/25)*CL89+(1-EXP(-LN(2)/25))/(LN(2)/25)*Calculateur!CG90*Calculateur!CI90*VLOOKUP('Données projet'!$B$12,Paramètres!$A$1:$I$89,3,0)*0.475*44/12</f>
        <v>6.2143278125083432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45.196556905970453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1.7053025658242404E-13</v>
      </c>
      <c r="CU90" s="17">
        <f>CT90*VLOOKUP('Données projet'!$B$13,Paramètres!$A$1:$I$89,3,0)*VLOOKUP('Données projet'!$B$13,Paramètres!$A$1:$I$89,5,0)</f>
        <v>1.3301360013429075E-13</v>
      </c>
      <c r="CV90" s="13">
        <f t="shared" si="95"/>
        <v>1.9329766731057041E-12</v>
      </c>
      <c r="CW90" s="20">
        <f t="shared" si="67"/>
        <v>3.5982663925596575E-12</v>
      </c>
      <c r="CX90" s="59">
        <f t="shared" si="68"/>
        <v>273.33480257047842</v>
      </c>
      <c r="CY90" s="59">
        <f ca="1">AVERAGE(OFFSET($CX$3,0,0,'Données projet'!$E$13+1,1))-AVERAGE(OFFSET($H$3,0,0,'Données projet'!$E$13+1,1))</f>
        <v>308.82719216177946</v>
      </c>
      <c r="CZ90" s="59">
        <f t="shared" si="96"/>
        <v>302.59481222418219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56.804868710355265</v>
      </c>
      <c r="DG90" s="21">
        <f>EXP(-LN(2)/25)*DG89+(1-EXP(-LN(2)/25))/(LN(2)/25)*Calculateur!DB90*Calculateur!DD90*VLOOKUP('Données projet'!$B$13,Paramètres!$A$1:$I$89,3,0)*0.475*44/12</f>
        <v>41.409837600428595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98.214706310783868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304.99999999999983</v>
      </c>
      <c r="DP90" s="17">
        <f>DO90*VLOOKUP('Données projet'!$B$14,Paramètres!$A$1:$I$89,3,0)*VLOOKUP('Données projet'!$B$14,Paramètres!$A$1:$I$89,5,0)</f>
        <v>275.96399999999983</v>
      </c>
      <c r="DQ90" s="13">
        <f t="shared" si="97"/>
        <v>66.113366665488854</v>
      </c>
      <c r="DR90" s="20">
        <f t="shared" si="70"/>
        <v>595.78474694239264</v>
      </c>
      <c r="DS90" s="59">
        <f t="shared" si="71"/>
        <v>869.11954951286748</v>
      </c>
      <c r="DT90" s="59">
        <f ca="1">AVERAGE(OFFSET($DS$3,0,0,'Données projet'!$E$14+1,1))-AVERAGE(OFFSET($H$3,0,0,'Données projet'!$E$14+1,1))</f>
        <v>376.51107072413777</v>
      </c>
      <c r="DU90" s="59">
        <f t="shared" si="98"/>
        <v>532.90758914457615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0.5227140622514781</v>
      </c>
      <c r="EB90" s="21">
        <f>EXP(-LN(2)/25)*EB89+(1-EXP(-LN(2)/25))/(LN(2)/25)*Calculateur!DW90*Calculateur!DY90*VLOOKUP('Données projet'!$B$14,Paramètres!$A$1:$I$89,3,0)*0.475*44/12</f>
        <v>1.5201440166742484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2.0428580789257262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-1.7053025658242404E-13</v>
      </c>
      <c r="EK90" s="17">
        <f>EJ90*VLOOKUP('Données projet'!$B$15,Paramètres!$A$1:$I$89,3,0)*VLOOKUP('Données projet'!$B$15,Paramètres!$A$1:$I$89,5,0)</f>
        <v>-1.0197709343628959E-13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337.99164391755608</v>
      </c>
      <c r="EP90" s="59">
        <f t="shared" si="100"/>
        <v>421.45428231923393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88.136473401969553</v>
      </c>
      <c r="EW90" s="21">
        <f>EXP(-LN(2)/25)*EW89+(1-EXP(-LN(2)/25))/(LN(2)/25)*Calculateur!ER90*Calculateur!ET90*VLOOKUP('Données projet'!$B$15,Paramètres!$A$1:$I$89,3,0)*0.475*44/12</f>
        <v>18.713315940341332</v>
      </c>
      <c r="EX90" s="21">
        <f>EXP(-LN(2)/2)*EX89+(1-EXP(-LN(2)/2))/(LN(2)/2)*ER90*EU90*VLOOKUP('Données projet'!$B$15,Paramètres!$A$1:$I$89,3,0)*0.475*44/12</f>
        <v>8.7193661184081089E-4</v>
      </c>
      <c r="EY90" s="22">
        <f t="shared" si="75"/>
        <v>106.85066127892273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5.2606837606837598</v>
      </c>
      <c r="N91" s="13">
        <f>IF('Données projet'!$A$36&gt;35,N90+M91-V90,IF(A91&lt;'Données projet'!$A$36,$K$205^A91,IF(A91='Données projet'!$A$36,'Données projet'!$B$36,N90+M91-V90)))</f>
        <v>185.96581196581181</v>
      </c>
      <c r="O91" s="13">
        <f>N91*VLOOKUP('Données projet'!$B$9,Paramètres!$A$1:$I$89,3,0)*VLOOKUP('Données projet'!$B$9,Paramètres!$A$1:$I$89,5,0)</f>
        <v>168.26186666666652</v>
      </c>
      <c r="P91" s="13">
        <f t="shared" si="87"/>
        <v>42.700507007169499</v>
      </c>
      <c r="Q91" s="20">
        <f t="shared" si="54"/>
        <v>367.42613414859778</v>
      </c>
      <c r="R91" s="59">
        <f t="shared" si="55"/>
        <v>641.10786651779154</v>
      </c>
      <c r="S91" s="59">
        <f ca="1">AVERAGE(OFFSET($R$3,0,0,'Données projet'!$E$9+1,1))-AVERAGE(OFFSET($H$3,0,0,'Données projet'!$E$9+1,1))</f>
        <v>388.1278150896951</v>
      </c>
      <c r="T91" s="59">
        <f t="shared" si="88"/>
        <v>232.26614607059227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16.953343396605867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16.953343396605867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5.2606837606837598</v>
      </c>
      <c r="AI91" s="13">
        <f>IF('Données projet'!$A$62&gt;35,AI90+AH91-AQ90,IF(A91&lt;'Données projet'!$A$62,$AF$205^A91,IF(A91='Données projet'!$A$62,'Données projet'!$B$62,AI90+AH91-AQ90)))</f>
        <v>185.96581196581181</v>
      </c>
      <c r="AJ91" s="13">
        <f>AI91*VLOOKUP('Données projet'!$B$10,Paramètres!$A$1:$I$89,3,0)*VLOOKUP('Données projet'!$B$10,Paramètres!$A$1:$I$89,5,0)</f>
        <v>188.56933333333319</v>
      </c>
      <c r="AK91" s="13">
        <f t="shared" si="89"/>
        <v>47.223513760156187</v>
      </c>
      <c r="AL91" s="20">
        <f t="shared" si="58"/>
        <v>410.67254202116061</v>
      </c>
      <c r="AM91" s="59">
        <f t="shared" si="59"/>
        <v>684.35427439035425</v>
      </c>
      <c r="AN91" s="59">
        <f ca="1">AVERAGE(OFFSET($AM$3,0,0,'Données projet'!$E$10+1,1))-AVERAGE(OFFSET($H$3,0,0,'Données projet'!$E$10+1,1))</f>
        <v>424.89201140676084</v>
      </c>
      <c r="AO91" s="59">
        <f t="shared" si="90"/>
        <v>253.0016648946303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18.999436565161737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18.999436565161737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5.2606837606837598</v>
      </c>
      <c r="BD91" s="12">
        <f>IF('Données projet'!$A$88&gt;35,BD90+BC91-BL90,IF(A91&lt;'Données projet'!$A$88,$BA$205^A91,IF(A91='Données projet'!$A$88,'Données projet'!$B$88,BD90+BC91-BL90)))</f>
        <v>185.96581196581181</v>
      </c>
      <c r="BE91" s="13">
        <f>BD91*VLOOKUP('Données projet'!$B$11,Paramètres!$A$1:$I$89,3,0)*VLOOKUP('Données projet'!$B$11,Paramètres!$A$1:$I$89,5,0)</f>
        <v>176.9650666666665</v>
      </c>
      <c r="BF91" s="13">
        <f t="shared" si="91"/>
        <v>44.646302633482748</v>
      </c>
      <c r="BG91" s="20">
        <f t="shared" si="61"/>
        <v>385.97313486442658</v>
      </c>
      <c r="BH91" s="59">
        <f t="shared" si="62"/>
        <v>659.65486723362028</v>
      </c>
      <c r="BI91" s="59">
        <f ca="1">AVERAGE(OFFSET($BH$3,0,0,'Données projet'!$E$11+1,1))-AVERAGE(OFFSET($H$3,0,0,'Données projet'!$E$11+1,1))</f>
        <v>403.89478276355294</v>
      </c>
      <c r="BJ91" s="59">
        <f t="shared" si="92"/>
        <v>241.1593989733278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17.830240468844099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17.830240468844099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319</v>
      </c>
      <c r="BZ91" s="13">
        <f>BY91*VLOOKUP('Données projet'!$B$12,Paramètres!$A$1:$I$89,3,0)*VLOOKUP('Données projet'!$B$12,Paramètres!$A$1:$I$89,5,0)</f>
        <v>253.79640000000001</v>
      </c>
      <c r="CA91" s="13">
        <f t="shared" si="93"/>
        <v>61.39816832228076</v>
      </c>
      <c r="CB91" s="20">
        <f t="shared" si="64"/>
        <v>548.96387316130563</v>
      </c>
      <c r="CC91" s="59">
        <f t="shared" si="65"/>
        <v>822.64560553049932</v>
      </c>
      <c r="CD91" s="59">
        <f ca="1">AVERAGE(OFFSET($CC$3,0,0,'Données projet'!$E$12+1,1))-AVERAGE(OFFSET($H$3,0,0,'Données projet'!$E$12+1,1))</f>
        <v>377.27600411578322</v>
      </c>
      <c r="CE91" s="59">
        <f t="shared" si="94"/>
        <v>364.58250627635425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38.217811357751302</v>
      </c>
      <c r="CL91" s="21">
        <f>EXP(-LN(2)/25)*CL90+(1-EXP(-LN(2)/25))/(LN(2)/25)*Calculateur!CG91*Calculateur!CI91*VLOOKUP('Données projet'!$B$12,Paramètres!$A$1:$I$89,3,0)*0.475*44/12</f>
        <v>6.0443966916780063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44.262208049429304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1.7053025658242404E-13</v>
      </c>
      <c r="CU91" s="17">
        <f>CT91*VLOOKUP('Données projet'!$B$13,Paramètres!$A$1:$I$89,3,0)*VLOOKUP('Données projet'!$B$13,Paramètres!$A$1:$I$89,5,0)</f>
        <v>1.3301360013429075E-13</v>
      </c>
      <c r="CV91" s="13">
        <f t="shared" si="95"/>
        <v>1.9329766731057041E-12</v>
      </c>
      <c r="CW91" s="20">
        <f t="shared" si="67"/>
        <v>3.5982663925596575E-12</v>
      </c>
      <c r="CX91" s="59">
        <f t="shared" si="68"/>
        <v>273.68173236919728</v>
      </c>
      <c r="CY91" s="59">
        <f ca="1">AVERAGE(OFFSET($CX$3,0,0,'Données projet'!$E$13+1,1))-AVERAGE(OFFSET($H$3,0,0,'Données projet'!$E$13+1,1))</f>
        <v>308.82719216177946</v>
      </c>
      <c r="CZ91" s="59">
        <f t="shared" si="96"/>
        <v>302.59481222418219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55.690959882493949</v>
      </c>
      <c r="DG91" s="21">
        <f>EXP(-LN(2)/25)*DG90+(1-EXP(-LN(2)/25))/(LN(2)/25)*Calculateur!DB91*Calculateur!DD91*VLOOKUP('Données projet'!$B$13,Paramètres!$A$1:$I$89,3,0)*0.475*44/12</f>
        <v>40.277483413596158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95.968443296090101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304.99999999999983</v>
      </c>
      <c r="DP91" s="17">
        <f>DO91*VLOOKUP('Données projet'!$B$14,Paramètres!$A$1:$I$89,3,0)*VLOOKUP('Données projet'!$B$14,Paramètres!$A$1:$I$89,5,0)</f>
        <v>275.96399999999983</v>
      </c>
      <c r="DQ91" s="13">
        <f t="shared" si="97"/>
        <v>66.113366665488854</v>
      </c>
      <c r="DR91" s="20">
        <f t="shared" si="70"/>
        <v>595.78474694239264</v>
      </c>
      <c r="DS91" s="59">
        <f t="shared" si="71"/>
        <v>869.46647931158634</v>
      </c>
      <c r="DT91" s="59">
        <f ca="1">AVERAGE(OFFSET($DS$3,0,0,'Données projet'!$E$14+1,1))-AVERAGE(OFFSET($H$3,0,0,'Données projet'!$E$14+1,1))</f>
        <v>376.51107072413777</v>
      </c>
      <c r="DU91" s="59">
        <f t="shared" si="98"/>
        <v>532.90758914457615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0.51246395831482328</v>
      </c>
      <c r="EB91" s="21">
        <f>EXP(-LN(2)/25)*EB90+(1-EXP(-LN(2)/25))/(LN(2)/25)*Calculateur!DW91*Calculateur!DY91*VLOOKUP('Données projet'!$B$14,Paramètres!$A$1:$I$89,3,0)*0.475*44/12</f>
        <v>1.4785755985973916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1.9910395569122148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-1.7053025658242404E-13</v>
      </c>
      <c r="EK91" s="17">
        <f>EJ91*VLOOKUP('Données projet'!$B$15,Paramètres!$A$1:$I$89,3,0)*VLOOKUP('Données projet'!$B$15,Paramètres!$A$1:$I$89,5,0)</f>
        <v>-1.0197709343628959E-13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337.99164391755608</v>
      </c>
      <c r="EP91" s="59">
        <f t="shared" si="100"/>
        <v>421.45428231923393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86.408170916497554</v>
      </c>
      <c r="EW91" s="21">
        <f>EXP(-LN(2)/25)*EW90+(1-EXP(-LN(2)/25))/(LN(2)/25)*Calculateur!ER91*Calculateur!ET91*VLOOKUP('Données projet'!$B$15,Paramètres!$A$1:$I$89,3,0)*0.475*44/12</f>
        <v>18.201599331862184</v>
      </c>
      <c r="EX91" s="21">
        <f>EXP(-LN(2)/2)*EX90+(1-EXP(-LN(2)/2))/(LN(2)/2)*ER91*EU91*VLOOKUP('Données projet'!$B$15,Paramètres!$A$1:$I$89,3,0)*0.475*44/12</f>
        <v>6.1655229099745988E-4</v>
      </c>
      <c r="EY91" s="22">
        <f t="shared" si="75"/>
        <v>104.61038680065073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5.2606837606837598</v>
      </c>
      <c r="N92" s="13">
        <f>IF('Données projet'!$A$36&gt;35,N91+M92-V91,IF(A92&lt;'Données projet'!$A$36,$K$205^A92,IF(A92='Données projet'!$A$36,'Données projet'!$B$36,N91+M92-V91)))</f>
        <v>191.22649572649556</v>
      </c>
      <c r="O92" s="13">
        <f>N92*VLOOKUP('Données projet'!$B$9,Paramètres!$A$1:$I$89,3,0)*VLOOKUP('Données projet'!$B$9,Paramètres!$A$1:$I$89,5,0)</f>
        <v>173.02173333333317</v>
      </c>
      <c r="P92" s="13">
        <f t="shared" si="87"/>
        <v>43.766095804240145</v>
      </c>
      <c r="Q92" s="20">
        <f t="shared" si="54"/>
        <v>377.57213574794014</v>
      </c>
      <c r="R92" s="59">
        <f t="shared" si="55"/>
        <v>651.59477945946378</v>
      </c>
      <c r="S92" s="59">
        <f ca="1">AVERAGE(OFFSET($R$3,0,0,'Données projet'!$E$9+1,1))-AVERAGE(OFFSET($H$3,0,0,'Données projet'!$E$9+1,1))</f>
        <v>388.1278150896951</v>
      </c>
      <c r="T92" s="59">
        <f t="shared" si="88"/>
        <v>232.26614607059227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16.620898673116855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16.620898673116855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5.2606837606837598</v>
      </c>
      <c r="AI92" s="13">
        <f>IF('Données projet'!$A$62&gt;35,AI91+AH92-AQ91,IF(A92&lt;'Données projet'!$A$62,$AF$205^A92,IF(A92='Données projet'!$A$62,'Données projet'!$B$62,AI91+AH92-AQ91)))</f>
        <v>191.22649572649556</v>
      </c>
      <c r="AJ92" s="13">
        <f>AI92*VLOOKUP('Données projet'!$B$10,Paramètres!$A$1:$I$89,3,0)*VLOOKUP('Données projet'!$B$10,Paramètres!$A$1:$I$89,5,0)</f>
        <v>193.90366666666651</v>
      </c>
      <c r="AK92" s="13">
        <f t="shared" si="89"/>
        <v>48.401973941265673</v>
      </c>
      <c r="AL92" s="20">
        <f t="shared" si="58"/>
        <v>422.01565739214857</v>
      </c>
      <c r="AM92" s="59">
        <f t="shared" si="59"/>
        <v>696.03830110367221</v>
      </c>
      <c r="AN92" s="59">
        <f ca="1">AVERAGE(OFFSET($AM$3,0,0,'Données projet'!$E$10+1,1))-AVERAGE(OFFSET($H$3,0,0,'Données projet'!$E$10+1,1))</f>
        <v>424.89201140676084</v>
      </c>
      <c r="AO92" s="59">
        <f t="shared" si="90"/>
        <v>253.0016648946303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18.626869202630949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18.626869202630949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5.2606837606837598</v>
      </c>
      <c r="BD92" s="12">
        <f>IF('Données projet'!$A$88&gt;35,BD91+BC92-BL91,IF(A92&lt;'Données projet'!$A$88,$BA$205^A92,IF(A92='Données projet'!$A$88,'Données projet'!$B$88,BD91+BC92-BL91)))</f>
        <v>191.22649572649556</v>
      </c>
      <c r="BE92" s="13">
        <f>BD92*VLOOKUP('Données projet'!$B$11,Paramètres!$A$1:$I$89,3,0)*VLOOKUP('Données projet'!$B$11,Paramètres!$A$1:$I$89,5,0)</f>
        <v>181.97113333333317</v>
      </c>
      <c r="BF92" s="13">
        <f t="shared" si="91"/>
        <v>45.760448653081077</v>
      </c>
      <c r="BG92" s="20">
        <f t="shared" si="61"/>
        <v>396.63250529300484</v>
      </c>
      <c r="BH92" s="59">
        <f t="shared" si="62"/>
        <v>670.65514900452843</v>
      </c>
      <c r="BI92" s="59">
        <f ca="1">AVERAGE(OFFSET($BH$3,0,0,'Données projet'!$E$11+1,1))-AVERAGE(OFFSET($H$3,0,0,'Données projet'!$E$11+1,1))</f>
        <v>403.89478276355294</v>
      </c>
      <c r="BJ92" s="59">
        <f t="shared" si="92"/>
        <v>241.1593989733278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17.480600328622899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17.480600328622899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319</v>
      </c>
      <c r="BZ92" s="13">
        <f>BY92*VLOOKUP('Données projet'!$B$12,Paramètres!$A$1:$I$89,3,0)*VLOOKUP('Données projet'!$B$12,Paramètres!$A$1:$I$89,5,0)</f>
        <v>253.79640000000001</v>
      </c>
      <c r="CA92" s="13">
        <f t="shared" si="93"/>
        <v>61.39816832228076</v>
      </c>
      <c r="CB92" s="20">
        <f t="shared" si="64"/>
        <v>548.96387316130563</v>
      </c>
      <c r="CC92" s="59">
        <f t="shared" si="65"/>
        <v>822.98651687282927</v>
      </c>
      <c r="CD92" s="59">
        <f ca="1">AVERAGE(OFFSET($CC$3,0,0,'Données projet'!$E$12+1,1))-AVERAGE(OFFSET($H$3,0,0,'Données projet'!$E$12+1,1))</f>
        <v>377.27600411578322</v>
      </c>
      <c r="CE92" s="59">
        <f t="shared" si="94"/>
        <v>364.58250627635425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37.468383387589</v>
      </c>
      <c r="CL92" s="21">
        <f>EXP(-LN(2)/25)*CL91+(1-EXP(-LN(2)/25))/(LN(2)/25)*Calculateur!CG92*Calculateur!CI92*VLOOKUP('Données projet'!$B$12,Paramètres!$A$1:$I$89,3,0)*0.475*44/12</f>
        <v>5.8791123462830637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43.347495733872066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1.7053025658242404E-13</v>
      </c>
      <c r="CU92" s="17">
        <f>CT92*VLOOKUP('Données projet'!$B$13,Paramètres!$A$1:$I$89,3,0)*VLOOKUP('Données projet'!$B$13,Paramètres!$A$1:$I$89,5,0)</f>
        <v>1.3301360013429075E-13</v>
      </c>
      <c r="CV92" s="13">
        <f t="shared" si="95"/>
        <v>1.9329766731057041E-12</v>
      </c>
      <c r="CW92" s="20">
        <f t="shared" si="67"/>
        <v>3.5982663925596575E-12</v>
      </c>
      <c r="CX92" s="59">
        <f t="shared" si="68"/>
        <v>274.02264371152717</v>
      </c>
      <c r="CY92" s="59">
        <f ca="1">AVERAGE(OFFSET($CX$3,0,0,'Données projet'!$E$13+1,1))-AVERAGE(OFFSET($H$3,0,0,'Données projet'!$E$13+1,1))</f>
        <v>308.82719216177946</v>
      </c>
      <c r="CZ92" s="59">
        <f t="shared" si="96"/>
        <v>302.59481222418219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54.5988941273297</v>
      </c>
      <c r="DG92" s="21">
        <f>EXP(-LN(2)/25)*DG91+(1-EXP(-LN(2)/25))/(LN(2)/25)*Calculateur!DB92*Calculateur!DD92*VLOOKUP('Données projet'!$B$13,Paramètres!$A$1:$I$89,3,0)*0.475*44/12</f>
        <v>39.176093511550576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93.774987638880276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304.99999999999983</v>
      </c>
      <c r="DP92" s="17">
        <f>DO92*VLOOKUP('Données projet'!$B$14,Paramètres!$A$1:$I$89,3,0)*VLOOKUP('Données projet'!$B$14,Paramètres!$A$1:$I$89,5,0)</f>
        <v>275.96399999999983</v>
      </c>
      <c r="DQ92" s="13">
        <f t="shared" si="97"/>
        <v>66.113366665488854</v>
      </c>
      <c r="DR92" s="20">
        <f t="shared" si="70"/>
        <v>595.78474694239264</v>
      </c>
      <c r="DS92" s="59">
        <f t="shared" si="71"/>
        <v>869.80739065391617</v>
      </c>
      <c r="DT92" s="59">
        <f ca="1">AVERAGE(OFFSET($DS$3,0,0,'Données projet'!$E$14+1,1))-AVERAGE(OFFSET($H$3,0,0,'Données projet'!$E$14+1,1))</f>
        <v>376.51107072413777</v>
      </c>
      <c r="DU92" s="59">
        <f t="shared" si="98"/>
        <v>532.90758914457615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0.50241485266442021</v>
      </c>
      <c r="EB92" s="21">
        <f>EXP(-LN(2)/25)*EB91+(1-EXP(-LN(2)/25))/(LN(2)/25)*Calculateur!DW92*Calculateur!DY92*VLOOKUP('Données projet'!$B$14,Paramètres!$A$1:$I$89,3,0)*0.475*44/12</f>
        <v>1.4381438710988346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1.9405587237632549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-1.7053025658242404E-13</v>
      </c>
      <c r="EK92" s="17">
        <f>EJ92*VLOOKUP('Données projet'!$B$15,Paramètres!$A$1:$I$89,3,0)*VLOOKUP('Données projet'!$B$15,Paramètres!$A$1:$I$89,5,0)</f>
        <v>-1.0197709343628959E-13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337.99164391755608</v>
      </c>
      <c r="EP92" s="59">
        <f t="shared" si="100"/>
        <v>421.45428231923393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84.713759388605226</v>
      </c>
      <c r="EW92" s="21">
        <f>EXP(-LN(2)/25)*EW91+(1-EXP(-LN(2)/25))/(LN(2)/25)*Calculateur!ER92*Calculateur!ET92*VLOOKUP('Données projet'!$B$15,Paramètres!$A$1:$I$89,3,0)*0.475*44/12</f>
        <v>17.703875640951903</v>
      </c>
      <c r="EX92" s="21">
        <f>EXP(-LN(2)/2)*EX91+(1-EXP(-LN(2)/2))/(LN(2)/2)*ER92*EU92*VLOOKUP('Données projet'!$B$15,Paramètres!$A$1:$I$89,3,0)*0.475*44/12</f>
        <v>4.3596830592040545E-4</v>
      </c>
      <c r="EY92" s="22">
        <f t="shared" si="75"/>
        <v>102.41807099786305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5.2606837606837598</v>
      </c>
      <c r="N93" s="13">
        <f>IF('Données projet'!$A$36&gt;35,N92+M93-V92,IF(A93&lt;'Données projet'!$A$36,$K$205^A93,IF(A93='Données projet'!$A$36,'Données projet'!$B$36,N92+M93-V92)))</f>
        <v>196.4871794871793</v>
      </c>
      <c r="O93" s="13">
        <f>N93*VLOOKUP('Données projet'!$B$9,Paramètres!$A$1:$I$89,3,0)*VLOOKUP('Données projet'!$B$9,Paramètres!$A$1:$I$89,5,0)</f>
        <v>177.78159999999983</v>
      </c>
      <c r="P93" s="13">
        <f t="shared" si="87"/>
        <v>44.828277386743572</v>
      </c>
      <c r="Q93" s="20">
        <f t="shared" si="54"/>
        <v>387.71220311524468</v>
      </c>
      <c r="R93" s="59">
        <f t="shared" si="55"/>
        <v>662.06984411947235</v>
      </c>
      <c r="S93" s="59">
        <f ca="1">AVERAGE(OFFSET($R$3,0,0,'Données projet'!$E$9+1,1))-AVERAGE(OFFSET($H$3,0,0,'Données projet'!$E$9+1,1))</f>
        <v>388.1278150896951</v>
      </c>
      <c r="T93" s="59">
        <f t="shared" si="88"/>
        <v>232.26614607059227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16.294972987884204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16.294972987884204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5.2606837606837598</v>
      </c>
      <c r="AI93" s="13">
        <f>IF('Données projet'!$A$62&gt;35,AI92+AH93-AQ92,IF(A93&lt;'Données projet'!$A$62,$AF$205^A93,IF(A93='Données projet'!$A$62,'Données projet'!$B$62,AI92+AH93-AQ92)))</f>
        <v>196.4871794871793</v>
      </c>
      <c r="AJ93" s="13">
        <f>AI93*VLOOKUP('Données projet'!$B$10,Paramètres!$A$1:$I$89,3,0)*VLOOKUP('Données projet'!$B$10,Paramètres!$A$1:$I$89,5,0)</f>
        <v>199.23799999999983</v>
      </c>
      <c r="AK93" s="13">
        <f t="shared" si="89"/>
        <v>49.576666002151768</v>
      </c>
      <c r="AL93" s="20">
        <f t="shared" si="58"/>
        <v>433.35220995374738</v>
      </c>
      <c r="AM93" s="59">
        <f t="shared" si="59"/>
        <v>707.70985095797505</v>
      </c>
      <c r="AN93" s="59">
        <f ca="1">AVERAGE(OFFSET($AM$3,0,0,'Données projet'!$E$10+1,1))-AVERAGE(OFFSET($H$3,0,0,'Données projet'!$E$10+1,1))</f>
        <v>424.89201140676084</v>
      </c>
      <c r="AO93" s="59">
        <f t="shared" si="90"/>
        <v>253.0016648946303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18.261607658835739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18.261607658835739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5.2606837606837598</v>
      </c>
      <c r="BD93" s="12">
        <f>IF('Données projet'!$A$88&gt;35,BD92+BC93-BL92,IF(A93&lt;'Données projet'!$A$88,$BA$205^A93,IF(A93='Données projet'!$A$88,'Données projet'!$B$88,BD92+BC93-BL92)))</f>
        <v>196.4871794871793</v>
      </c>
      <c r="BE93" s="13">
        <f>BD93*VLOOKUP('Données projet'!$B$11,Paramètres!$A$1:$I$89,3,0)*VLOOKUP('Données projet'!$B$11,Paramètres!$A$1:$I$89,5,0)</f>
        <v>186.97719999999984</v>
      </c>
      <c r="BF93" s="13">
        <f t="shared" si="91"/>
        <v>46.871032196648777</v>
      </c>
      <c r="BG93" s="20">
        <f t="shared" si="61"/>
        <v>407.28567107582967</v>
      </c>
      <c r="BH93" s="59">
        <f t="shared" si="62"/>
        <v>681.64331208005729</v>
      </c>
      <c r="BI93" s="59">
        <f ca="1">AVERAGE(OFFSET($BH$3,0,0,'Données projet'!$E$11+1,1))-AVERAGE(OFFSET($H$3,0,0,'Données projet'!$E$11+1,1))</f>
        <v>403.89478276355294</v>
      </c>
      <c r="BJ93" s="59">
        <f t="shared" si="92"/>
        <v>241.1593989733278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17.137816418292008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17.137816418292008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319</v>
      </c>
      <c r="BZ93" s="13">
        <f>BY93*VLOOKUP('Données projet'!$B$12,Paramètres!$A$1:$I$89,3,0)*VLOOKUP('Données projet'!$B$12,Paramètres!$A$1:$I$89,5,0)</f>
        <v>253.79640000000001</v>
      </c>
      <c r="CA93" s="13">
        <f t="shared" si="93"/>
        <v>61.39816832228076</v>
      </c>
      <c r="CB93" s="20">
        <f t="shared" si="64"/>
        <v>548.96387316130563</v>
      </c>
      <c r="CC93" s="59">
        <f t="shared" si="65"/>
        <v>823.32151416553324</v>
      </c>
      <c r="CD93" s="59">
        <f ca="1">AVERAGE(OFFSET($CC$3,0,0,'Données projet'!$E$12+1,1))-AVERAGE(OFFSET($H$3,0,0,'Données projet'!$E$12+1,1))</f>
        <v>377.27600411578322</v>
      </c>
      <c r="CE93" s="59">
        <f t="shared" si="94"/>
        <v>364.58250627635425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36.733651242815654</v>
      </c>
      <c r="CL93" s="21">
        <f>EXP(-LN(2)/25)*CL92+(1-EXP(-LN(2)/25))/(LN(2)/25)*Calculateur!CG93*Calculateur!CI93*VLOOKUP('Données projet'!$B$12,Paramètres!$A$1:$I$89,3,0)*0.475*44/12</f>
        <v>5.7183477100048723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42.451998952820524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1.7053025658242404E-13</v>
      </c>
      <c r="CU93" s="17">
        <f>CT93*VLOOKUP('Données projet'!$B$13,Paramètres!$A$1:$I$89,3,0)*VLOOKUP('Données projet'!$B$13,Paramètres!$A$1:$I$89,5,0)</f>
        <v>1.3301360013429075E-13</v>
      </c>
      <c r="CV93" s="13">
        <f t="shared" si="95"/>
        <v>1.9329766731057041E-12</v>
      </c>
      <c r="CW93" s="20">
        <f t="shared" si="67"/>
        <v>3.5982663925596575E-12</v>
      </c>
      <c r="CX93" s="59">
        <f t="shared" si="68"/>
        <v>274.35764100423125</v>
      </c>
      <c r="CY93" s="59">
        <f ca="1">AVERAGE(OFFSET($CX$3,0,0,'Données projet'!$E$13+1,1))-AVERAGE(OFFSET($H$3,0,0,'Données projet'!$E$13+1,1))</f>
        <v>308.82719216177946</v>
      </c>
      <c r="CZ93" s="59">
        <f t="shared" si="96"/>
        <v>302.59481222418219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53.528243115529882</v>
      </c>
      <c r="DG93" s="21">
        <f>EXP(-LN(2)/25)*DG92+(1-EXP(-LN(2)/25))/(LN(2)/25)*Calculateur!DB93*Calculateur!DD93*VLOOKUP('Données projet'!$B$13,Paramètres!$A$1:$I$89,3,0)*0.475*44/12</f>
        <v>38.104821174296006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91.633064289825882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304.99999999999983</v>
      </c>
      <c r="DP93" s="17">
        <f>DO93*VLOOKUP('Données projet'!$B$14,Paramètres!$A$1:$I$89,3,0)*VLOOKUP('Données projet'!$B$14,Paramètres!$A$1:$I$89,5,0)</f>
        <v>275.96399999999983</v>
      </c>
      <c r="DQ93" s="13">
        <f t="shared" si="97"/>
        <v>66.113366665488854</v>
      </c>
      <c r="DR93" s="20">
        <f t="shared" si="70"/>
        <v>595.78474694239264</v>
      </c>
      <c r="DS93" s="59">
        <f t="shared" si="71"/>
        <v>870.14238794662037</v>
      </c>
      <c r="DT93" s="59">
        <f ca="1">AVERAGE(OFFSET($DS$3,0,0,'Données projet'!$E$14+1,1))-AVERAGE(OFFSET($H$3,0,0,'Données projet'!$E$14+1,1))</f>
        <v>376.51107072413777</v>
      </c>
      <c r="DU93" s="59">
        <f t="shared" si="98"/>
        <v>532.90758914457615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0.49256280384647233</v>
      </c>
      <c r="EB93" s="21">
        <f>EXP(-LN(2)/25)*EB92+(1-EXP(-LN(2)/25))/(LN(2)/25)*Calculateur!DW93*Calculateur!DY93*VLOOKUP('Données projet'!$B$14,Paramètres!$A$1:$I$89,3,0)*0.475*44/12</f>
        <v>1.3988177513149376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1.89138055516141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-1.7053025658242404E-13</v>
      </c>
      <c r="EK93" s="17">
        <f>EJ93*VLOOKUP('Données projet'!$B$15,Paramètres!$A$1:$I$89,3,0)*VLOOKUP('Données projet'!$B$15,Paramètres!$A$1:$I$89,5,0)</f>
        <v>-1.0197709343628959E-13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337.99164391755608</v>
      </c>
      <c r="EP93" s="59">
        <f t="shared" si="100"/>
        <v>421.45428231923393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83.052574237285882</v>
      </c>
      <c r="EW93" s="21">
        <f>EXP(-LN(2)/25)*EW92+(1-EXP(-LN(2)/25))/(LN(2)/25)*Calculateur!ER93*Calculateur!ET93*VLOOKUP('Données projet'!$B$15,Paramètres!$A$1:$I$89,3,0)*0.475*44/12</f>
        <v>17.219762230543715</v>
      </c>
      <c r="EX93" s="21">
        <f>EXP(-LN(2)/2)*EX92+(1-EXP(-LN(2)/2))/(LN(2)/2)*ER93*EU93*VLOOKUP('Données projet'!$B$15,Paramètres!$A$1:$I$89,3,0)*0.475*44/12</f>
        <v>3.0827614549872994E-4</v>
      </c>
      <c r="EY93" s="22">
        <f t="shared" si="75"/>
        <v>100.27264474397511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5.2606837606837598</v>
      </c>
      <c r="N94" s="13">
        <f>IF('Données projet'!$A$36&gt;35,N93+M94-V93,IF(A94&lt;'Données projet'!$A$36,$K$205^A94,IF(A94='Données projet'!$A$36,'Données projet'!$B$36,N93+M94-V93)))</f>
        <v>201.74786324786305</v>
      </c>
      <c r="O94" s="13">
        <f>N94*VLOOKUP('Données projet'!$B$9,Paramètres!$A$1:$I$89,3,0)*VLOOKUP('Données projet'!$B$9,Paramètres!$A$1:$I$89,5,0)</f>
        <v>182.54146666666648</v>
      </c>
      <c r="P94" s="13">
        <f t="shared" si="87"/>
        <v>45.887153462840786</v>
      </c>
      <c r="Q94" s="20">
        <f t="shared" si="54"/>
        <v>397.84651339222506</v>
      </c>
      <c r="R94" s="59">
        <f t="shared" si="55"/>
        <v>672.53334023507011</v>
      </c>
      <c r="S94" s="59">
        <f ca="1">AVERAGE(OFFSET($R$3,0,0,'Données projet'!$E$9+1,1))-AVERAGE(OFFSET($H$3,0,0,'Données projet'!$E$9+1,1))</f>
        <v>388.1278150896951</v>
      </c>
      <c r="T94" s="59">
        <f t="shared" si="88"/>
        <v>232.26614607059227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15.975438506543927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15.975438506543927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5.2606837606837598</v>
      </c>
      <c r="AI94" s="13">
        <f>IF('Données projet'!$A$62&gt;35,AI93+AH94-AQ93,IF(A94&lt;'Données projet'!$A$62,$AF$205^A94,IF(A94='Données projet'!$A$62,'Données projet'!$B$62,AI93+AH94-AQ93)))</f>
        <v>201.74786324786305</v>
      </c>
      <c r="AJ94" s="13">
        <f>AI94*VLOOKUP('Données projet'!$B$10,Paramètres!$A$1:$I$89,3,0)*VLOOKUP('Données projet'!$B$10,Paramètres!$A$1:$I$89,5,0)</f>
        <v>204.57233333333312</v>
      </c>
      <c r="AK94" s="13">
        <f t="shared" si="89"/>
        <v>50.747702424306688</v>
      </c>
      <c r="AL94" s="20">
        <f t="shared" si="58"/>
        <v>444.6823956112226</v>
      </c>
      <c r="AM94" s="59">
        <f t="shared" si="59"/>
        <v>719.36922245406765</v>
      </c>
      <c r="AN94" s="59">
        <f ca="1">AVERAGE(OFFSET($AM$3,0,0,'Données projet'!$E$10+1,1))-AVERAGE(OFFSET($H$3,0,0,'Données projet'!$E$10+1,1))</f>
        <v>424.89201140676084</v>
      </c>
      <c r="AO94" s="59">
        <f t="shared" si="90"/>
        <v>253.0016648946303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17.903508671126808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17.903508671126808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5.2606837606837598</v>
      </c>
      <c r="BD94" s="12">
        <f>IF('Données projet'!$A$88&gt;35,BD93+BC94-BL93,IF(A94&lt;'Données projet'!$A$88,$BA$205^A94,IF(A94='Données projet'!$A$88,'Données projet'!$B$88,BD93+BC94-BL93)))</f>
        <v>201.74786324786305</v>
      </c>
      <c r="BE94" s="13">
        <f>BD94*VLOOKUP('Données projet'!$B$11,Paramètres!$A$1:$I$89,3,0)*VLOOKUP('Données projet'!$B$11,Paramètres!$A$1:$I$89,5,0)</f>
        <v>191.98326666666648</v>
      </c>
      <c r="BF94" s="13">
        <f t="shared" si="91"/>
        <v>47.97815960702949</v>
      </c>
      <c r="BG94" s="20">
        <f t="shared" si="61"/>
        <v>417.93281742668711</v>
      </c>
      <c r="BH94" s="59">
        <f t="shared" si="62"/>
        <v>692.61964426953216</v>
      </c>
      <c r="BI94" s="59">
        <f ca="1">AVERAGE(OFFSET($BH$3,0,0,'Données projet'!$E$11+1,1))-AVERAGE(OFFSET($H$3,0,0,'Données projet'!$E$11+1,1))</f>
        <v>403.89478276355294</v>
      </c>
      <c r="BJ94" s="59">
        <f t="shared" si="92"/>
        <v>241.1593989733278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16.801754291365164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16.801754291365164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319</v>
      </c>
      <c r="BZ94" s="13">
        <f>BY94*VLOOKUP('Données projet'!$B$12,Paramètres!$A$1:$I$89,3,0)*VLOOKUP('Données projet'!$B$12,Paramètres!$A$1:$I$89,5,0)</f>
        <v>253.79640000000001</v>
      </c>
      <c r="CA94" s="13">
        <f t="shared" si="93"/>
        <v>61.39816832228076</v>
      </c>
      <c r="CB94" s="20">
        <f t="shared" si="64"/>
        <v>548.96387316130563</v>
      </c>
      <c r="CC94" s="59">
        <f t="shared" si="65"/>
        <v>823.65070000415062</v>
      </c>
      <c r="CD94" s="59">
        <f ca="1">AVERAGE(OFFSET($CC$3,0,0,'Données projet'!$E$12+1,1))-AVERAGE(OFFSET($H$3,0,0,'Données projet'!$E$12+1,1))</f>
        <v>377.27600411578322</v>
      </c>
      <c r="CE94" s="59">
        <f t="shared" si="94"/>
        <v>364.58250627635425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36.013326747258958</v>
      </c>
      <c r="CL94" s="21">
        <f>EXP(-LN(2)/25)*CL93+(1-EXP(-LN(2)/25))/(LN(2)/25)*Calculateur!CG94*Calculateur!CI94*VLOOKUP('Données projet'!$B$12,Paramètres!$A$1:$I$89,3,0)*0.475*44/12</f>
        <v>5.5619791911599528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41.575305938418907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1.7053025658242404E-13</v>
      </c>
      <c r="CU94" s="17">
        <f>CT94*VLOOKUP('Données projet'!$B$13,Paramètres!$A$1:$I$89,3,0)*VLOOKUP('Données projet'!$B$13,Paramètres!$A$1:$I$89,5,0)</f>
        <v>1.3301360013429075E-13</v>
      </c>
      <c r="CV94" s="13">
        <f t="shared" si="95"/>
        <v>1.9329766731057041E-12</v>
      </c>
      <c r="CW94" s="20">
        <f t="shared" si="67"/>
        <v>3.5982663925596575E-12</v>
      </c>
      <c r="CX94" s="59">
        <f t="shared" si="68"/>
        <v>274.68682684284863</v>
      </c>
      <c r="CY94" s="59">
        <f ca="1">AVERAGE(OFFSET($CX$3,0,0,'Données projet'!$E$13+1,1))-AVERAGE(OFFSET($H$3,0,0,'Données projet'!$E$13+1,1))</f>
        <v>308.82719216177946</v>
      </c>
      <c r="CZ94" s="59">
        <f t="shared" si="96"/>
        <v>302.59481222418219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52.478586917038818</v>
      </c>
      <c r="DG94" s="21">
        <f>EXP(-LN(2)/25)*DG93+(1-EXP(-LN(2)/25))/(LN(2)/25)*Calculateur!DB94*Calculateur!DD94*VLOOKUP('Données projet'!$B$13,Paramètres!$A$1:$I$89,3,0)*0.475*44/12</f>
        <v>37.062842835439426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89.541429752478251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304.99999999999983</v>
      </c>
      <c r="DP94" s="17">
        <f>DO94*VLOOKUP('Données projet'!$B$14,Paramètres!$A$1:$I$89,3,0)*VLOOKUP('Données projet'!$B$14,Paramètres!$A$1:$I$89,5,0)</f>
        <v>275.96399999999983</v>
      </c>
      <c r="DQ94" s="13">
        <f t="shared" si="97"/>
        <v>66.113366665488854</v>
      </c>
      <c r="DR94" s="20">
        <f t="shared" si="70"/>
        <v>595.78474694239264</v>
      </c>
      <c r="DS94" s="59">
        <f t="shared" si="71"/>
        <v>870.47157378523775</v>
      </c>
      <c r="DT94" s="59">
        <f ca="1">AVERAGE(OFFSET($DS$3,0,0,'Données projet'!$E$14+1,1))-AVERAGE(OFFSET($H$3,0,0,'Données projet'!$E$14+1,1))</f>
        <v>376.51107072413777</v>
      </c>
      <c r="DU94" s="59">
        <f t="shared" si="98"/>
        <v>532.90758914457615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0.48290394769668799</v>
      </c>
      <c r="EB94" s="21">
        <f>EXP(-LN(2)/25)*EB93+(1-EXP(-LN(2)/25))/(LN(2)/25)*Calculateur!DW94*Calculateur!DY94*VLOOKUP('Données projet'!$B$14,Paramètres!$A$1:$I$89,3,0)*0.475*44/12</f>
        <v>1.360567006344602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1.8434709540412899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-1.7053025658242404E-13</v>
      </c>
      <c r="EK94" s="17">
        <f>EJ94*VLOOKUP('Données projet'!$B$15,Paramètres!$A$1:$I$89,3,0)*VLOOKUP('Données projet'!$B$15,Paramètres!$A$1:$I$89,5,0)</f>
        <v>-1.0197709343628959E-13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337.99164391755608</v>
      </c>
      <c r="EP94" s="59">
        <f t="shared" si="100"/>
        <v>421.45428231923393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81.423963913561025</v>
      </c>
      <c r="EW94" s="21">
        <f>EXP(-LN(2)/25)*EW93+(1-EXP(-LN(2)/25))/(LN(2)/25)*Calculateur!ER94*Calculateur!ET94*VLOOKUP('Données projet'!$B$15,Paramètres!$A$1:$I$89,3,0)*0.475*44/12</f>
        <v>16.748886926801557</v>
      </c>
      <c r="EX94" s="21">
        <f>EXP(-LN(2)/2)*EX93+(1-EXP(-LN(2)/2))/(LN(2)/2)*ER94*EU94*VLOOKUP('Données projet'!$B$15,Paramètres!$A$1:$I$89,3,0)*0.475*44/12</f>
        <v>2.1798415296020272E-4</v>
      </c>
      <c r="EY94" s="22">
        <f t="shared" si="75"/>
        <v>98.173068824515539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5.2606837606837598</v>
      </c>
      <c r="N95" s="13">
        <f>IF('Données projet'!$A$36&gt;35,N94+M95-V94,IF(A95&lt;'Données projet'!$A$36,$K$205^A95,IF(A95='Données projet'!$A$36,'Données projet'!$B$36,N94+M95-V94)))</f>
        <v>207.0085470085468</v>
      </c>
      <c r="O95" s="13">
        <f>N95*VLOOKUP('Données projet'!$B$9,Paramètres!$A$1:$I$89,3,0)*VLOOKUP('Données projet'!$B$9,Paramètres!$A$1:$I$89,5,0)</f>
        <v>187.30133333333313</v>
      </c>
      <c r="P95" s="13">
        <f t="shared" si="87"/>
        <v>46.942820134391475</v>
      </c>
      <c r="Q95" s="20">
        <f t="shared" si="54"/>
        <v>407.97523395628696</v>
      </c>
      <c r="R95" s="59">
        <f t="shared" si="55"/>
        <v>682.98553599939873</v>
      </c>
      <c r="S95" s="59">
        <f ca="1">AVERAGE(OFFSET($R$3,0,0,'Données projet'!$E$9+1,1))-AVERAGE(OFFSET($H$3,0,0,'Données projet'!$E$9+1,1))</f>
        <v>388.1278150896951</v>
      </c>
      <c r="T95" s="59">
        <f t="shared" si="88"/>
        <v>232.26614607059227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15.662169901485944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15.662169901485944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5.2606837606837598</v>
      </c>
      <c r="AI95" s="13">
        <f>IF('Données projet'!$A$62&gt;35,AI94+AH95-AQ94,IF(A95&lt;'Données projet'!$A$62,$AF$205^A95,IF(A95='Données projet'!$A$62,'Données projet'!$B$62,AI94+AH95-AQ94)))</f>
        <v>207.0085470085468</v>
      </c>
      <c r="AJ95" s="13">
        <f>AI95*VLOOKUP('Données projet'!$B$10,Paramètres!$A$1:$I$89,3,0)*VLOOKUP('Données projet'!$B$10,Paramètres!$A$1:$I$89,5,0)</f>
        <v>209.90666666666647</v>
      </c>
      <c r="AK95" s="13">
        <f t="shared" si="89"/>
        <v>51.915189489079573</v>
      </c>
      <c r="AL95" s="20">
        <f t="shared" si="58"/>
        <v>456.00639947125768</v>
      </c>
      <c r="AM95" s="59">
        <f t="shared" si="59"/>
        <v>731.0167015143694</v>
      </c>
      <c r="AN95" s="59">
        <f ca="1">AVERAGE(OFFSET($AM$3,0,0,'Données projet'!$E$10+1,1))-AVERAGE(OFFSET($H$3,0,0,'Données projet'!$E$10+1,1))</f>
        <v>424.89201140676084</v>
      </c>
      <c r="AO95" s="59">
        <f t="shared" si="90"/>
        <v>253.0016648946303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17.552431786148034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17.552431786148034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5.2606837606837598</v>
      </c>
      <c r="BD95" s="12">
        <f>IF('Données projet'!$A$88&gt;35,BD94+BC95-BL94,IF(A95&lt;'Données projet'!$A$88,$BA$205^A95,IF(A95='Données projet'!$A$88,'Données projet'!$B$88,BD94+BC95-BL94)))</f>
        <v>207.0085470085468</v>
      </c>
      <c r="BE95" s="13">
        <f>BD95*VLOOKUP('Données projet'!$B$11,Paramètres!$A$1:$I$89,3,0)*VLOOKUP('Données projet'!$B$11,Paramètres!$A$1:$I$89,5,0)</f>
        <v>196.98933333333315</v>
      </c>
      <c r="BF95" s="13">
        <f t="shared" si="91"/>
        <v>49.081931365294992</v>
      </c>
      <c r="BG95" s="20">
        <f t="shared" si="61"/>
        <v>428.57411935011061</v>
      </c>
      <c r="BH95" s="59">
        <f t="shared" si="62"/>
        <v>703.58442139322233</v>
      </c>
      <c r="BI95" s="59">
        <f ca="1">AVERAGE(OFFSET($BH$3,0,0,'Données projet'!$E$11+1,1))-AVERAGE(OFFSET($H$3,0,0,'Données projet'!$E$11+1,1))</f>
        <v>403.89478276355294</v>
      </c>
      <c r="BJ95" s="59">
        <f t="shared" si="92"/>
        <v>241.1593989733278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16.4722821377697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16.4722821377697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319</v>
      </c>
      <c r="BZ95" s="13">
        <f>BY95*VLOOKUP('Données projet'!$B$12,Paramètres!$A$1:$I$89,3,0)*VLOOKUP('Données projet'!$B$12,Paramètres!$A$1:$I$89,5,0)</f>
        <v>253.79640000000001</v>
      </c>
      <c r="CA95" s="13">
        <f t="shared" si="93"/>
        <v>61.39816832228076</v>
      </c>
      <c r="CB95" s="20">
        <f t="shared" si="64"/>
        <v>548.96387316130563</v>
      </c>
      <c r="CC95" s="59">
        <f t="shared" si="65"/>
        <v>823.97417520441741</v>
      </c>
      <c r="CD95" s="59">
        <f ca="1">AVERAGE(OFFSET($CC$3,0,0,'Données projet'!$E$12+1,1))-AVERAGE(OFFSET($H$3,0,0,'Données projet'!$E$12+1,1))</f>
        <v>377.27600411578322</v>
      </c>
      <c r="CE95" s="59">
        <f t="shared" si="94"/>
        <v>364.58250627635425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35.307127375705569</v>
      </c>
      <c r="CL95" s="21">
        <f>EXP(-LN(2)/25)*CL94+(1-EXP(-LN(2)/25))/(LN(2)/25)*Calculateur!CG95*Calculateur!CI95*VLOOKUP('Données projet'!$B$12,Paramètres!$A$1:$I$89,3,0)*0.475*44/12</f>
        <v>5.40988657768591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40.717013953391479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1.7053025658242404E-13</v>
      </c>
      <c r="CU95" s="17">
        <f>CT95*VLOOKUP('Données projet'!$B$13,Paramètres!$A$1:$I$89,3,0)*VLOOKUP('Données projet'!$B$13,Paramètres!$A$1:$I$89,5,0)</f>
        <v>1.3301360013429075E-13</v>
      </c>
      <c r="CV95" s="13">
        <f t="shared" si="95"/>
        <v>1.9329766731057041E-12</v>
      </c>
      <c r="CW95" s="20">
        <f t="shared" si="67"/>
        <v>3.5982663925596575E-12</v>
      </c>
      <c r="CX95" s="59">
        <f t="shared" si="68"/>
        <v>275.0103020431153</v>
      </c>
      <c r="CY95" s="59">
        <f ca="1">AVERAGE(OFFSET($CX$3,0,0,'Données projet'!$E$13+1,1))-AVERAGE(OFFSET($H$3,0,0,'Données projet'!$E$13+1,1))</f>
        <v>308.82719216177946</v>
      </c>
      <c r="CZ95" s="59">
        <f t="shared" si="96"/>
        <v>302.59481222418219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51.4495138363731</v>
      </c>
      <c r="DG95" s="21">
        <f>EXP(-LN(2)/25)*DG94+(1-EXP(-LN(2)/25))/(LN(2)/25)*Calculateur!DB95*Calculateur!DD95*VLOOKUP('Données projet'!$B$13,Paramètres!$A$1:$I$89,3,0)*0.475*44/12</f>
        <v>36.049357449054135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87.498871285427242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304.99999999999983</v>
      </c>
      <c r="DP95" s="17">
        <f>DO95*VLOOKUP('Données projet'!$B$14,Paramètres!$A$1:$I$89,3,0)*VLOOKUP('Données projet'!$B$14,Paramètres!$A$1:$I$89,5,0)</f>
        <v>275.96399999999983</v>
      </c>
      <c r="DQ95" s="13">
        <f t="shared" si="97"/>
        <v>66.113366665488854</v>
      </c>
      <c r="DR95" s="20">
        <f t="shared" si="70"/>
        <v>595.78474694239264</v>
      </c>
      <c r="DS95" s="59">
        <f t="shared" si="71"/>
        <v>870.79504898550431</v>
      </c>
      <c r="DT95" s="59">
        <f ca="1">AVERAGE(OFFSET($DS$3,0,0,'Données projet'!$E$14+1,1))-AVERAGE(OFFSET($H$3,0,0,'Données projet'!$E$14+1,1))</f>
        <v>376.51107072413777</v>
      </c>
      <c r="DU95" s="59">
        <f t="shared" si="98"/>
        <v>532.90758914457615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0.47343449582468039</v>
      </c>
      <c r="EB95" s="21">
        <f>EXP(-LN(2)/25)*EB94+(1-EXP(-LN(2)/25))/(LN(2)/25)*Calculateur!DW95*Calculateur!DY95*VLOOKUP('Données projet'!$B$14,Paramètres!$A$1:$I$89,3,0)*0.475*44/12</f>
        <v>1.3233622300069996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1.7967967258316799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-1.7053025658242404E-13</v>
      </c>
      <c r="EK95" s="17">
        <f>EJ95*VLOOKUP('Données projet'!$B$15,Paramètres!$A$1:$I$89,3,0)*VLOOKUP('Données projet'!$B$15,Paramètres!$A$1:$I$89,5,0)</f>
        <v>-1.0197709343628959E-13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337.99164391755608</v>
      </c>
      <c r="EP95" s="59">
        <f t="shared" si="100"/>
        <v>421.45428231923393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79.82728964493019</v>
      </c>
      <c r="EW95" s="21">
        <f>EXP(-LN(2)/25)*EW94+(1-EXP(-LN(2)/25))/(LN(2)/25)*Calculateur!ER95*Calculateur!ET95*VLOOKUP('Données projet'!$B$15,Paramètres!$A$1:$I$89,3,0)*0.475*44/12</f>
        <v>16.290887733002485</v>
      </c>
      <c r="EX95" s="21">
        <f>EXP(-LN(2)/2)*EX94+(1-EXP(-LN(2)/2))/(LN(2)/2)*ER95*EU95*VLOOKUP('Données projet'!$B$15,Paramètres!$A$1:$I$89,3,0)*0.475*44/12</f>
        <v>1.5413807274936497E-4</v>
      </c>
      <c r="EY95" s="22">
        <f t="shared" si="75"/>
        <v>96.118331516005426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>
        <f>VLOOKUP(A96,'Données projet'!$A$35:$I$55,2,0)</f>
        <v>212.26923076923075</v>
      </c>
      <c r="L96" s="12">
        <f>VLOOKUP(A96,'Données projet'!$A$35:$I$55,9,0)</f>
        <v>5.2606837606837598</v>
      </c>
      <c r="M96" s="12">
        <f t="array" ref="M96">INDEX(L:L,MIN(IF(ISNUMBER(L96:L292),ROW(L96:L292),"")))</f>
        <v>5.2606837606837598</v>
      </c>
      <c r="N96" s="13">
        <f>IF('Données projet'!$A$36&gt;35,N95+M96-V95,IF(A96&lt;'Données projet'!$A$36,$K$205^A96,IF(A96='Données projet'!$A$36,'Données projet'!$B$36,N95+M96-V95)))</f>
        <v>212.26923076923055</v>
      </c>
      <c r="O96" s="13">
        <f>N96*VLOOKUP('Données projet'!$B$9,Paramètres!$A$1:$I$89,3,0)*VLOOKUP('Données projet'!$B$9,Paramètres!$A$1:$I$89,5,0)</f>
        <v>192.06119999999979</v>
      </c>
      <c r="P96" s="13">
        <f t="shared" si="87"/>
        <v>47.995368340490955</v>
      </c>
      <c r="Q96" s="20">
        <f t="shared" si="54"/>
        <v>418.09852319302132</v>
      </c>
      <c r="R96" s="59">
        <f t="shared" si="55"/>
        <v>693.42668886485728</v>
      </c>
      <c r="S96" s="59">
        <f ca="1">AVERAGE(OFFSET($R$3,0,0,'Données projet'!$E$9+1,1))-AVERAGE(OFFSET($H$3,0,0,'Données projet'!$E$9+1,1))</f>
        <v>388.1278150896951</v>
      </c>
      <c r="T96" s="59">
        <f t="shared" si="88"/>
        <v>232.26614607059227</v>
      </c>
      <c r="U96" s="15">
        <f>IF(ISNA(VLOOKUP(A96,'Données projet'!$A$35:$I$55,3,0)),0,VLOOKUP(A96,'Données projet'!$A$35:$I$55,3,0))</f>
        <v>7</v>
      </c>
      <c r="V96" s="15">
        <f>IF(ISNA(VLOOKUP(A96,'Données projet'!$A$35:$I$55,4,0)),0,VLOOKUP(A96,'Données projet'!$A$35:$I$55,4,0))</f>
        <v>30.083333333333332</v>
      </c>
      <c r="W96" s="16">
        <f>IF(ISNA(VLOOKUP(A96,'Données projet'!$A$35:$I$55,5,0)),0%,VLOOKUP(A96,'Données projet'!$A$35:$I$55,5,0)*VLOOKUP('Données projet'!$B$9,Paramètres!$A$1:$I$89,7,0))</f>
        <v>0.30099999999999999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24.412206677744578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24.412206677744578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>
        <f>VLOOKUP(A96,'Données projet'!$A$61:$I$81,2,0)</f>
        <v>212.26923076923075</v>
      </c>
      <c r="AG96" s="12">
        <f>VLOOKUP(A96,'Données projet'!$A$61:$I$81,9,0)</f>
        <v>5.2606837606837598</v>
      </c>
      <c r="AH96" s="12">
        <f t="array" ref="AH96">INDEX(AG:AG,MIN(IF(ISNUMBER(AG96:AG292),ROW(AG96:AG292),"")))</f>
        <v>5.2606837606837598</v>
      </c>
      <c r="AI96" s="13">
        <f>IF('Données projet'!$A$62&gt;35,AI95+AH96-AQ95,IF(A96&lt;'Données projet'!$A$62,$AF$205^A96,IF(A96='Données projet'!$A$62,'Données projet'!$B$62,AI95+AH96-AQ95)))</f>
        <v>212.26923076923055</v>
      </c>
      <c r="AJ96" s="13">
        <f>AI96*VLOOKUP('Données projet'!$B$10,Paramètres!$A$1:$I$89,3,0)*VLOOKUP('Données projet'!$B$10,Paramètres!$A$1:$I$89,5,0)</f>
        <v>215.24099999999979</v>
      </c>
      <c r="AK96" s="13">
        <f t="shared" si="89"/>
        <v>53.079227768194642</v>
      </c>
      <c r="AL96" s="20">
        <f t="shared" si="58"/>
        <v>467.32439669627183</v>
      </c>
      <c r="AM96" s="59">
        <f t="shared" si="59"/>
        <v>742.65256236810774</v>
      </c>
      <c r="AN96" s="59">
        <f ca="1">AVERAGE(OFFSET($AM$3,0,0,'Données projet'!$E$10+1,1))-AVERAGE(OFFSET($H$3,0,0,'Données projet'!$E$10+1,1))</f>
        <v>424.89201140676084</v>
      </c>
      <c r="AO96" s="59">
        <f t="shared" si="90"/>
        <v>253.0016648946303</v>
      </c>
      <c r="AP96" s="15">
        <f>IF(ISNA(VLOOKUP(A96,'Données projet'!$A$61:$I$81,3,0)),0,VLOOKUP(A96,'Données projet'!$A$61:$I$81,3,0))</f>
        <v>7</v>
      </c>
      <c r="AQ96" s="15">
        <f>IF(ISNA(VLOOKUP(A96,'Données projet'!$A$61:$I$81,4,0)),0,VLOOKUP(A96,'Données projet'!$A$61:$I$81,4,0))</f>
        <v>30.083333333333332</v>
      </c>
      <c r="AR96" s="16">
        <f>IF(ISNA(VLOOKUP(A96,'Données projet'!$A$61:$I$81,5,0)),0%,VLOOKUP(A96,'Données projet'!$A$61:$I$81,5,0)*VLOOKUP('Données projet'!$B$10,Paramètres!$A$1:$I$89,7,0))</f>
        <v>0.30099999999999999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27.358507483679265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27.358507483679265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>
        <f>VLOOKUP(A96,'Données projet'!$A$87:$I$107,2,0)</f>
        <v>212.26923076923075</v>
      </c>
      <c r="BB96" s="12">
        <f>VLOOKUP(A96,'Données projet'!$A$87:$I$107,9,0)</f>
        <v>5.2606837606837598</v>
      </c>
      <c r="BC96" s="12">
        <f t="array" ref="BC96">INDEX(BB:BB,MIN(IF(ISNUMBER(BB96:BB292),ROW(BB96:BB292),"")))</f>
        <v>5.2606837606837598</v>
      </c>
      <c r="BD96" s="12">
        <f>IF('Données projet'!$A$88&gt;35,BD95+BC96-BL95,IF(A96&lt;'Données projet'!$A$88,$BA$205^A96,IF(A96='Données projet'!$A$88,'Données projet'!$B$88,BD95+BC96-BL95)))</f>
        <v>212.26923076923055</v>
      </c>
      <c r="BE96" s="13">
        <f>BD96*VLOOKUP('Données projet'!$B$11,Paramètres!$A$1:$I$89,3,0)*VLOOKUP('Données projet'!$B$11,Paramètres!$A$1:$I$89,5,0)</f>
        <v>201.99539999999979</v>
      </c>
      <c r="BF96" s="13">
        <f t="shared" si="91"/>
        <v>50.182442554493718</v>
      </c>
      <c r="BG96" s="20">
        <f t="shared" si="61"/>
        <v>439.2097424490762</v>
      </c>
      <c r="BH96" s="59">
        <f t="shared" si="62"/>
        <v>714.53790812091211</v>
      </c>
      <c r="BI96" s="59">
        <f ca="1">AVERAGE(OFFSET($BH$3,0,0,'Données projet'!$E$11+1,1))-AVERAGE(OFFSET($H$3,0,0,'Données projet'!$E$11+1,1))</f>
        <v>403.89478276355294</v>
      </c>
      <c r="BJ96" s="59">
        <f t="shared" si="92"/>
        <v>241.1593989733278</v>
      </c>
      <c r="BK96" s="15">
        <f>IF(ISNA(VLOOKUP(A96,'Données projet'!$A$87:$I$107,3,0)),0,VLOOKUP(A96,'Données projet'!$A$87:$I$107,3,0))</f>
        <v>7</v>
      </c>
      <c r="BL96" s="15">
        <f>IF(ISNA(VLOOKUP(A96,'Données projet'!$A$87:$I$107,4,0)),0,VLOOKUP(A96,'Données projet'!$A$87:$I$107,4,0))</f>
        <v>30.083333333333332</v>
      </c>
      <c r="BM96" s="16">
        <f>IF(ISNA(VLOOKUP(A96,'Données projet'!$A$87:$I$107,5,0)),0%,VLOOKUP(A96,'Données projet'!$A$87:$I$107,5,0)*VLOOKUP('Données projet'!$B$11,Paramètres!$A$1:$I$89,7,0))</f>
        <v>0.30099999999999999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25.67490702314516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25.67490702314516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319</v>
      </c>
      <c r="BZ96" s="13">
        <f>BY96*VLOOKUP('Données projet'!$B$12,Paramètres!$A$1:$I$89,3,0)*VLOOKUP('Données projet'!$B$12,Paramètres!$A$1:$I$89,5,0)</f>
        <v>253.79640000000001</v>
      </c>
      <c r="CA96" s="13">
        <f t="shared" si="93"/>
        <v>61.39816832228076</v>
      </c>
      <c r="CB96" s="20">
        <f t="shared" si="64"/>
        <v>548.96387316130563</v>
      </c>
      <c r="CC96" s="59">
        <f t="shared" si="65"/>
        <v>824.29203883314153</v>
      </c>
      <c r="CD96" s="59">
        <f ca="1">AVERAGE(OFFSET($CC$3,0,0,'Données projet'!$E$12+1,1))-AVERAGE(OFFSET($H$3,0,0,'Données projet'!$E$12+1,1))</f>
        <v>377.27600411578322</v>
      </c>
      <c r="CE96" s="59">
        <f t="shared" si="94"/>
        <v>364.58250627635425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34.614776143089259</v>
      </c>
      <c r="CL96" s="21">
        <f>EXP(-LN(2)/25)*CL95+(1-EXP(-LN(2)/25))/(LN(2)/25)*Calculateur!CG96*Calculateur!CI96*VLOOKUP('Données projet'!$B$12,Paramètres!$A$1:$I$89,3,0)*0.475*44/12</f>
        <v>5.2619529447255182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39.87672908781478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1.7053025658242404E-13</v>
      </c>
      <c r="CU96" s="17">
        <f>CT96*VLOOKUP('Données projet'!$B$13,Paramètres!$A$1:$I$89,3,0)*VLOOKUP('Données projet'!$B$13,Paramètres!$A$1:$I$89,5,0)</f>
        <v>1.3301360013429075E-13</v>
      </c>
      <c r="CV96" s="13">
        <f t="shared" si="95"/>
        <v>1.9329766731057041E-12</v>
      </c>
      <c r="CW96" s="20">
        <f t="shared" si="67"/>
        <v>3.5982663925596575E-12</v>
      </c>
      <c r="CX96" s="59">
        <f t="shared" si="68"/>
        <v>275.32816567183954</v>
      </c>
      <c r="CY96" s="59">
        <f ca="1">AVERAGE(OFFSET($CX$3,0,0,'Données projet'!$E$13+1,1))-AVERAGE(OFFSET($H$3,0,0,'Données projet'!$E$13+1,1))</f>
        <v>308.82719216177946</v>
      </c>
      <c r="CZ96" s="59">
        <f t="shared" si="96"/>
        <v>302.59481222418219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50.44062025114664</v>
      </c>
      <c r="DG96" s="21">
        <f>EXP(-LN(2)/25)*DG95+(1-EXP(-LN(2)/25))/(LN(2)/25)*Calculateur!DB96*Calculateur!DD96*VLOOKUP('Données projet'!$B$13,Paramètres!$A$1:$I$89,3,0)*0.475*44/12</f>
        <v>35.063585873856432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85.504206125003066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304.99999999999983</v>
      </c>
      <c r="DP96" s="17">
        <f>DO96*VLOOKUP('Données projet'!$B$14,Paramètres!$A$1:$I$89,3,0)*VLOOKUP('Données projet'!$B$14,Paramètres!$A$1:$I$89,5,0)</f>
        <v>275.96399999999983</v>
      </c>
      <c r="DQ96" s="13">
        <f t="shared" si="97"/>
        <v>66.113366665488854</v>
      </c>
      <c r="DR96" s="20">
        <f t="shared" si="70"/>
        <v>595.78474694239264</v>
      </c>
      <c r="DS96" s="59">
        <f t="shared" si="71"/>
        <v>871.11291261422866</v>
      </c>
      <c r="DT96" s="59">
        <f ca="1">AVERAGE(OFFSET($DS$3,0,0,'Données projet'!$E$14+1,1))-AVERAGE(OFFSET($H$3,0,0,'Données projet'!$E$14+1,1))</f>
        <v>376.51107072413777</v>
      </c>
      <c r="DU96" s="59">
        <f t="shared" si="98"/>
        <v>532.90758914457615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0.46415073412808755</v>
      </c>
      <c r="EB96" s="21">
        <f>EXP(-LN(2)/25)*EB95+(1-EXP(-LN(2)/25))/(LN(2)/25)*Calculateur!DW96*Calculateur!DY96*VLOOKUP('Données projet'!$B$14,Paramètres!$A$1:$I$89,3,0)*0.475*44/12</f>
        <v>1.2871748202348632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1.7513255543629507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-1.7053025658242404E-13</v>
      </c>
      <c r="EK96" s="17">
        <f>EJ96*VLOOKUP('Données projet'!$B$15,Paramètres!$A$1:$I$89,3,0)*VLOOKUP('Données projet'!$B$15,Paramètres!$A$1:$I$89,5,0)</f>
        <v>-1.0197709343628959E-13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337.99164391755608</v>
      </c>
      <c r="EP96" s="59">
        <f t="shared" si="100"/>
        <v>421.45428231923393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78.261925184832066</v>
      </c>
      <c r="EW96" s="21">
        <f>EXP(-LN(2)/25)*EW95+(1-EXP(-LN(2)/25))/(LN(2)/25)*Calculateur!ER96*Calculateur!ET96*VLOOKUP('Données projet'!$B$15,Paramètres!$A$1:$I$89,3,0)*0.475*44/12</f>
        <v>15.84541255124298</v>
      </c>
      <c r="EX96" s="21">
        <f>EXP(-LN(2)/2)*EX95+(1-EXP(-LN(2)/2))/(LN(2)/2)*ER96*EU96*VLOOKUP('Données projet'!$B$15,Paramètres!$A$1:$I$89,3,0)*0.475*44/12</f>
        <v>1.0899207648010136E-4</v>
      </c>
      <c r="EY96" s="22">
        <f t="shared" si="75"/>
        <v>94.107446728151515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5.2583333333333373</v>
      </c>
      <c r="N97" s="13">
        <f>IF('Données projet'!$A$36&gt;35,N96+M97-V96,IF(A97&lt;'Données projet'!$A$36,$K$205^A97,IF(A97='Données projet'!$A$36,'Données projet'!$B$36,N96+M97-V96)))</f>
        <v>187.44423076923053</v>
      </c>
      <c r="O97" s="13">
        <f>N97*VLOOKUP('Données projet'!$B$9,Paramètres!$A$1:$I$89,3,0)*VLOOKUP('Données projet'!$B$9,Paramètres!$A$1:$I$89,5,0)</f>
        <v>169.59953999999976</v>
      </c>
      <c r="P97" s="13">
        <f t="shared" si="87"/>
        <v>43.000321559740421</v>
      </c>
      <c r="Q97" s="20">
        <f t="shared" si="54"/>
        <v>370.27809221654746</v>
      </c>
      <c r="R97" s="59">
        <f t="shared" si="55"/>
        <v>645.91860729378595</v>
      </c>
      <c r="S97" s="59">
        <f ca="1">AVERAGE(OFFSET($R$3,0,0,'Données projet'!$E$9+1,1))-AVERAGE(OFFSET($H$3,0,0,'Données projet'!$E$9+1,1))</f>
        <v>388.1278150896951</v>
      </c>
      <c r="T97" s="59">
        <f t="shared" si="88"/>
        <v>232.26614607059227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23.933498194769818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23.933498194769818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5.2583333333333373</v>
      </c>
      <c r="AI97" s="13">
        <f>IF('Données projet'!$A$62&gt;35,AI96+AH97-AQ96,IF(A97&lt;'Données projet'!$A$62,$AF$205^A97,IF(A97='Données projet'!$A$62,'Données projet'!$B$62,AI96+AH97-AQ96)))</f>
        <v>187.44423076923053</v>
      </c>
      <c r="AJ97" s="13">
        <f>AI97*VLOOKUP('Données projet'!$B$10,Paramètres!$A$1:$I$89,3,0)*VLOOKUP('Données projet'!$B$10,Paramètres!$A$1:$I$89,5,0)</f>
        <v>190.06844999999976</v>
      </c>
      <c r="AK97" s="13">
        <f t="shared" si="89"/>
        <v>47.555085857097623</v>
      </c>
      <c r="AL97" s="20">
        <f t="shared" si="58"/>
        <v>413.86099161777793</v>
      </c>
      <c r="AM97" s="59">
        <f t="shared" si="59"/>
        <v>689.50150669501636</v>
      </c>
      <c r="AN97" s="59">
        <f ca="1">AVERAGE(OFFSET($AM$3,0,0,'Données projet'!$E$10+1,1))-AVERAGE(OFFSET($H$3,0,0,'Données projet'!$E$10+1,1))</f>
        <v>424.89201140676084</v>
      </c>
      <c r="AO97" s="59">
        <f t="shared" si="90"/>
        <v>253.0016648946303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26.822023838966171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26.822023838966171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5.2583333333333373</v>
      </c>
      <c r="BD97" s="12">
        <f>IF('Données projet'!$A$88&gt;35,BD96+BC97-BL96,IF(A97&lt;'Données projet'!$A$88,$BA$205^A97,IF(A97='Données projet'!$A$88,'Données projet'!$B$88,BD96+BC97-BL96)))</f>
        <v>187.44423076923053</v>
      </c>
      <c r="BE97" s="13">
        <f>BD97*VLOOKUP('Données projet'!$B$11,Paramètres!$A$1:$I$89,3,0)*VLOOKUP('Données projet'!$B$11,Paramètres!$A$1:$I$89,5,0)</f>
        <v>178.37192999999979</v>
      </c>
      <c r="BF97" s="13">
        <f t="shared" si="91"/>
        <v>44.959779268450049</v>
      </c>
      <c r="BG97" s="20">
        <f t="shared" si="61"/>
        <v>388.96939364255013</v>
      </c>
      <c r="BH97" s="59">
        <f t="shared" si="62"/>
        <v>664.60990871978856</v>
      </c>
      <c r="BI97" s="59">
        <f ca="1">AVERAGE(OFFSET($BH$3,0,0,'Données projet'!$E$11+1,1))-AVERAGE(OFFSET($H$3,0,0,'Données projet'!$E$11+1,1))</f>
        <v>403.89478276355294</v>
      </c>
      <c r="BJ97" s="59">
        <f t="shared" si="92"/>
        <v>241.1593989733278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25.171437756568256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25.171437756568256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319</v>
      </c>
      <c r="BZ97" s="13">
        <f>BY97*VLOOKUP('Données projet'!$B$12,Paramètres!$A$1:$I$89,3,0)*VLOOKUP('Données projet'!$B$12,Paramètres!$A$1:$I$89,5,0)</f>
        <v>253.79640000000001</v>
      </c>
      <c r="CA97" s="13">
        <f t="shared" si="93"/>
        <v>61.39816832228076</v>
      </c>
      <c r="CB97" s="20">
        <f t="shared" si="64"/>
        <v>548.96387316130563</v>
      </c>
      <c r="CC97" s="59">
        <f t="shared" si="65"/>
        <v>824.60438823854406</v>
      </c>
      <c r="CD97" s="59">
        <f ca="1">AVERAGE(OFFSET($CC$3,0,0,'Données projet'!$E$12+1,1))-AVERAGE(OFFSET($H$3,0,0,'Données projet'!$E$12+1,1))</f>
        <v>377.27600411578322</v>
      </c>
      <c r="CE97" s="59">
        <f t="shared" si="94"/>
        <v>364.58250627635425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33.936001495851997</v>
      </c>
      <c r="CL97" s="21">
        <f>EXP(-LN(2)/25)*CL96+(1-EXP(-LN(2)/25))/(LN(2)/25)*Calculateur!CG97*Calculateur!CI97*VLOOKUP('Données projet'!$B$12,Paramètres!$A$1:$I$89,3,0)*0.475*44/12</f>
        <v>5.1180645647379199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39.054066060589918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1.7053025658242404E-13</v>
      </c>
      <c r="CU97" s="17">
        <f>CT97*VLOOKUP('Données projet'!$B$13,Paramètres!$A$1:$I$89,3,0)*VLOOKUP('Données projet'!$B$13,Paramètres!$A$1:$I$89,5,0)</f>
        <v>1.3301360013429075E-13</v>
      </c>
      <c r="CV97" s="13">
        <f t="shared" si="95"/>
        <v>1.9329766731057041E-12</v>
      </c>
      <c r="CW97" s="20">
        <f t="shared" si="67"/>
        <v>3.5982663925596575E-12</v>
      </c>
      <c r="CX97" s="59">
        <f t="shared" si="68"/>
        <v>275.64051507724207</v>
      </c>
      <c r="CY97" s="59">
        <f ca="1">AVERAGE(OFFSET($CX$3,0,0,'Données projet'!$E$13+1,1))-AVERAGE(OFFSET($H$3,0,0,'Données projet'!$E$13+1,1))</f>
        <v>308.82719216177946</v>
      </c>
      <c r="CZ97" s="59">
        <f t="shared" si="96"/>
        <v>302.59481222418219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49.451510453762147</v>
      </c>
      <c r="DG97" s="21">
        <f>EXP(-LN(2)/25)*DG96+(1-EXP(-LN(2)/25))/(LN(2)/25)*Calculateur!DB97*Calculateur!DD97*VLOOKUP('Données projet'!$B$13,Paramètres!$A$1:$I$89,3,0)*0.475*44/12</f>
        <v>34.104770274221984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83.556280727984131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304.99999999999983</v>
      </c>
      <c r="DP97" s="17">
        <f>DO97*VLOOKUP('Données projet'!$B$14,Paramètres!$A$1:$I$89,3,0)*VLOOKUP('Données projet'!$B$14,Paramètres!$A$1:$I$89,5,0)</f>
        <v>275.96399999999983</v>
      </c>
      <c r="DQ97" s="13">
        <f t="shared" si="97"/>
        <v>66.113366665488854</v>
      </c>
      <c r="DR97" s="20">
        <f t="shared" si="70"/>
        <v>595.78474694239264</v>
      </c>
      <c r="DS97" s="59">
        <f t="shared" si="71"/>
        <v>871.42526201963119</v>
      </c>
      <c r="DT97" s="59">
        <f ca="1">AVERAGE(OFFSET($DS$3,0,0,'Données projet'!$E$14+1,1))-AVERAGE(OFFSET($H$3,0,0,'Données projet'!$E$14+1,1))</f>
        <v>376.51107072413777</v>
      </c>
      <c r="DU97" s="59">
        <f t="shared" si="98"/>
        <v>532.90758914457615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0.45504902133582936</v>
      </c>
      <c r="EB97" s="21">
        <f>EXP(-LN(2)/25)*EB96+(1-EXP(-LN(2)/25))/(LN(2)/25)*Calculateur!DW97*Calculateur!DY97*VLOOKUP('Données projet'!$B$14,Paramètres!$A$1:$I$89,3,0)*0.475*44/12</f>
        <v>1.2519769570859589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1.7070259784217883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-1.7053025658242404E-13</v>
      </c>
      <c r="EK97" s="17">
        <f>EJ97*VLOOKUP('Données projet'!$B$15,Paramètres!$A$1:$I$89,3,0)*VLOOKUP('Données projet'!$B$15,Paramètres!$A$1:$I$89,5,0)</f>
        <v>-1.0197709343628959E-13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337.99164391755608</v>
      </c>
      <c r="EP97" s="59">
        <f t="shared" si="100"/>
        <v>421.45428231923393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76.727256567018429</v>
      </c>
      <c r="EW97" s="21">
        <f>EXP(-LN(2)/25)*EW96+(1-EXP(-LN(2)/25))/(LN(2)/25)*Calculateur!ER97*Calculateur!ET97*VLOOKUP('Données projet'!$B$15,Paramètres!$A$1:$I$89,3,0)*0.475*44/12</f>
        <v>15.41211891175521</v>
      </c>
      <c r="EX97" s="21">
        <f>EXP(-LN(2)/2)*EX96+(1-EXP(-LN(2)/2))/(LN(2)/2)*ER97*EU97*VLOOKUP('Données projet'!$B$15,Paramètres!$A$1:$I$89,3,0)*0.475*44/12</f>
        <v>7.7069036374682485E-5</v>
      </c>
      <c r="EY97" s="22">
        <f t="shared" si="75"/>
        <v>92.139452547810023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5.2583333333333373</v>
      </c>
      <c r="N98" s="13">
        <f>IF('Données projet'!$A$36&gt;35,N97+M98-V97,IF(A98&lt;'Données projet'!$A$36,$K$205^A98,IF(A98='Données projet'!$A$36,'Données projet'!$B$36,N97+M98-V97)))</f>
        <v>192.70256410256385</v>
      </c>
      <c r="O98" s="13">
        <f>N98*VLOOKUP('Données projet'!$B$9,Paramètres!$A$1:$I$89,3,0)*VLOOKUP('Données projet'!$B$9,Paramètres!$A$1:$I$89,5,0)</f>
        <v>174.35727999999978</v>
      </c>
      <c r="P98" s="13">
        <f t="shared" si="87"/>
        <v>44.064467301710017</v>
      </c>
      <c r="Q98" s="20">
        <f t="shared" si="54"/>
        <v>380.41787655047784</v>
      </c>
      <c r="R98" s="59">
        <f t="shared" si="55"/>
        <v>656.36532246924378</v>
      </c>
      <c r="S98" s="59">
        <f ca="1">AVERAGE(OFFSET($R$3,0,0,'Données projet'!$E$9+1,1))-AVERAGE(OFFSET($H$3,0,0,'Données projet'!$E$9+1,1))</f>
        <v>388.1278150896951</v>
      </c>
      <c r="T98" s="59">
        <f t="shared" si="88"/>
        <v>232.26614607059227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23.46417689316285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23.46417689316285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5.2583333333333373</v>
      </c>
      <c r="AI98" s="13">
        <f>IF('Données projet'!$A$62&gt;35,AI97+AH98-AQ97,IF(A98&lt;'Données projet'!$A$62,$AF$205^A98,IF(A98='Données projet'!$A$62,'Données projet'!$B$62,AI97+AH98-AQ97)))</f>
        <v>192.70256410256385</v>
      </c>
      <c r="AJ98" s="13">
        <f>AI98*VLOOKUP('Données projet'!$B$10,Paramètres!$A$1:$I$89,3,0)*VLOOKUP('Données projet'!$B$10,Paramètres!$A$1:$I$89,5,0)</f>
        <v>195.40039999999976</v>
      </c>
      <c r="AK98" s="13">
        <f t="shared" si="89"/>
        <v>48.73195012899663</v>
      </c>
      <c r="AL98" s="20">
        <f t="shared" si="58"/>
        <v>425.19717647466877</v>
      </c>
      <c r="AM98" s="59">
        <f t="shared" si="59"/>
        <v>701.1446223934347</v>
      </c>
      <c r="AN98" s="59">
        <f ca="1">AVERAGE(OFFSET($AM$3,0,0,'Données projet'!$E$10+1,1))-AVERAGE(OFFSET($H$3,0,0,'Données projet'!$E$10+1,1))</f>
        <v>424.89201140676084</v>
      </c>
      <c r="AO98" s="59">
        <f t="shared" si="90"/>
        <v>253.0016648946303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26.296060311303187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26.296060311303187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5.2583333333333373</v>
      </c>
      <c r="BD98" s="12">
        <f>IF('Données projet'!$A$88&gt;35,BD97+BC98-BL97,IF(A98&lt;'Données projet'!$A$88,$BA$205^A98,IF(A98='Données projet'!$A$88,'Données projet'!$B$88,BD97+BC98-BL97)))</f>
        <v>192.70256410256385</v>
      </c>
      <c r="BE98" s="13">
        <f>BD98*VLOOKUP('Données projet'!$B$11,Paramètres!$A$1:$I$89,3,0)*VLOOKUP('Données projet'!$B$11,Paramètres!$A$1:$I$89,5,0)</f>
        <v>183.37575999999976</v>
      </c>
      <c r="BF98" s="13">
        <f t="shared" si="91"/>
        <v>46.072416475172908</v>
      </c>
      <c r="BG98" s="20">
        <f t="shared" si="61"/>
        <v>399.62224069425901</v>
      </c>
      <c r="BH98" s="59">
        <f t="shared" si="62"/>
        <v>675.56968661302494</v>
      </c>
      <c r="BI98" s="59">
        <f ca="1">AVERAGE(OFFSET($BH$3,0,0,'Données projet'!$E$11+1,1))-AVERAGE(OFFSET($H$3,0,0,'Données projet'!$E$11+1,1))</f>
        <v>403.89478276355294</v>
      </c>
      <c r="BJ98" s="59">
        <f t="shared" si="92"/>
        <v>241.1593989733278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24.677841215222994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24.677841215222994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319</v>
      </c>
      <c r="BZ98" s="13">
        <f>BY98*VLOOKUP('Données projet'!$B$12,Paramètres!$A$1:$I$89,3,0)*VLOOKUP('Données projet'!$B$12,Paramètres!$A$1:$I$89,5,0)</f>
        <v>253.79640000000001</v>
      </c>
      <c r="CA98" s="13">
        <f t="shared" si="93"/>
        <v>61.39816832228076</v>
      </c>
      <c r="CB98" s="20">
        <f t="shared" si="64"/>
        <v>548.96387316130563</v>
      </c>
      <c r="CC98" s="59">
        <f t="shared" si="65"/>
        <v>824.91131908007151</v>
      </c>
      <c r="CD98" s="59">
        <f ca="1">AVERAGE(OFFSET($CC$3,0,0,'Données projet'!$E$12+1,1))-AVERAGE(OFFSET($H$3,0,0,'Données projet'!$E$12+1,1))</f>
        <v>377.27600411578322</v>
      </c>
      <c r="CE98" s="59">
        <f t="shared" si="94"/>
        <v>364.58250627635425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33.270537205435403</v>
      </c>
      <c r="CL98" s="21">
        <f>EXP(-LN(2)/25)*CL97+(1-EXP(-LN(2)/25))/(LN(2)/25)*Calculateur!CG98*Calculateur!CI98*VLOOKUP('Données projet'!$B$12,Paramètres!$A$1:$I$89,3,0)*0.475*44/12</f>
        <v>4.9781108200678439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38.248648025503243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1.7053025658242404E-13</v>
      </c>
      <c r="CU98" s="17">
        <f>CT98*VLOOKUP('Données projet'!$B$13,Paramètres!$A$1:$I$89,3,0)*VLOOKUP('Données projet'!$B$13,Paramètres!$A$1:$I$89,5,0)</f>
        <v>1.3301360013429075E-13</v>
      </c>
      <c r="CV98" s="13">
        <f t="shared" si="95"/>
        <v>1.9329766731057041E-12</v>
      </c>
      <c r="CW98" s="20">
        <f t="shared" si="67"/>
        <v>3.5982663925596575E-12</v>
      </c>
      <c r="CX98" s="59">
        <f t="shared" si="68"/>
        <v>275.94744591876952</v>
      </c>
      <c r="CY98" s="59">
        <f ca="1">AVERAGE(OFFSET($CX$3,0,0,'Données projet'!$E$13+1,1))-AVERAGE(OFFSET($H$3,0,0,'Données projet'!$E$13+1,1))</f>
        <v>308.82719216177946</v>
      </c>
      <c r="CZ98" s="59">
        <f t="shared" si="96"/>
        <v>302.59481222418219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48.481796496206954</v>
      </c>
      <c r="DG98" s="21">
        <f>EXP(-LN(2)/25)*DG97+(1-EXP(-LN(2)/25))/(LN(2)/25)*Calculateur!DB98*Calculateur!DD98*VLOOKUP('Données projet'!$B$13,Paramètres!$A$1:$I$89,3,0)*0.475*44/12</f>
        <v>33.172173537581465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81.653970033788426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304.99999999999983</v>
      </c>
      <c r="DP98" s="17">
        <f>DO98*VLOOKUP('Données projet'!$B$14,Paramètres!$A$1:$I$89,3,0)*VLOOKUP('Données projet'!$B$14,Paramètres!$A$1:$I$89,5,0)</f>
        <v>275.96399999999983</v>
      </c>
      <c r="DQ98" s="13">
        <f t="shared" si="97"/>
        <v>66.113366665488854</v>
      </c>
      <c r="DR98" s="20">
        <f t="shared" si="70"/>
        <v>595.78474694239264</v>
      </c>
      <c r="DS98" s="59">
        <f t="shared" si="71"/>
        <v>871.73219286115864</v>
      </c>
      <c r="DT98" s="59">
        <f ca="1">AVERAGE(OFFSET($DS$3,0,0,'Données projet'!$E$14+1,1))-AVERAGE(OFFSET($H$3,0,0,'Données projet'!$E$14+1,1))</f>
        <v>376.51107072413777</v>
      </c>
      <c r="DU98" s="59">
        <f t="shared" si="98"/>
        <v>532.90758914457615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0.44612578757993071</v>
      </c>
      <c r="EB98" s="21">
        <f>EXP(-LN(2)/25)*EB97+(1-EXP(-LN(2)/25))/(LN(2)/25)*Calculateur!DW98*Calculateur!DY98*VLOOKUP('Données projet'!$B$14,Paramètres!$A$1:$I$89,3,0)*0.475*44/12</f>
        <v>1.2177415813558365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1.6638673689357673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-1.7053025658242404E-13</v>
      </c>
      <c r="EK98" s="17">
        <f>EJ98*VLOOKUP('Données projet'!$B$15,Paramètres!$A$1:$I$89,3,0)*VLOOKUP('Données projet'!$B$15,Paramètres!$A$1:$I$89,5,0)</f>
        <v>-1.0197709343628959E-13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337.99164391755608</v>
      </c>
      <c r="EP98" s="59">
        <f t="shared" si="100"/>
        <v>421.45428231923393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75.222681864744686</v>
      </c>
      <c r="EW98" s="21">
        <f>EXP(-LN(2)/25)*EW97+(1-EXP(-LN(2)/25))/(LN(2)/25)*Calculateur!ER98*Calculateur!ET98*VLOOKUP('Données projet'!$B$15,Paramètres!$A$1:$I$89,3,0)*0.475*44/12</f>
        <v>14.990673709625154</v>
      </c>
      <c r="EX98" s="21">
        <f>EXP(-LN(2)/2)*EX97+(1-EXP(-LN(2)/2))/(LN(2)/2)*ER98*EU98*VLOOKUP('Données projet'!$B$15,Paramètres!$A$1:$I$89,3,0)*0.475*44/12</f>
        <v>5.4496038240050681E-5</v>
      </c>
      <c r="EY98" s="22">
        <f t="shared" si="75"/>
        <v>90.213410070408088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5.2583333333333373</v>
      </c>
      <c r="N99" s="13">
        <f>IF('Données projet'!$A$36&gt;35,N98+M99-V98,IF(A99&lt;'Données projet'!$A$36,$K$205^A99,IF(A99='Données projet'!$A$36,'Données projet'!$B$36,N98+M99-V98)))</f>
        <v>197.96089743589718</v>
      </c>
      <c r="O99" s="13">
        <f>N99*VLOOKUP('Données projet'!$B$9,Paramètres!$A$1:$I$89,3,0)*VLOOKUP('Données projet'!$B$9,Paramètres!$A$1:$I$89,5,0)</f>
        <v>179.11501999999976</v>
      </c>
      <c r="P99" s="13">
        <f t="shared" si="87"/>
        <v>45.125237978705186</v>
      </c>
      <c r="Q99" s="20">
        <f t="shared" ref="Q99:Q130" si="107">(O99+P99)*0.475*44/12</f>
        <v>390.55178264624448</v>
      </c>
      <c r="R99" s="59">
        <f t="shared" si="55"/>
        <v>666.80083484263196</v>
      </c>
      <c r="S99" s="59">
        <f ca="1">AVERAGE(OFFSET($R$3,0,0,'Données projet'!$E$9+1,1))-AVERAGE(OFFSET($H$3,0,0,'Données projet'!$E$9+1,1))</f>
        <v>388.1278150896951</v>
      </c>
      <c r="T99" s="59">
        <f t="shared" si="88"/>
        <v>232.26614607059227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23.004058696022664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23.004058696022664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5.2583333333333373</v>
      </c>
      <c r="AI99" s="13">
        <f>IF('Données projet'!$A$62&gt;35,AI98+AH99-AQ98,IF(A99&lt;'Données projet'!$A$62,$AF$205^A99,IF(A99='Données projet'!$A$62,'Données projet'!$B$62,AI98+AH99-AQ98)))</f>
        <v>197.96089743589718</v>
      </c>
      <c r="AJ99" s="13">
        <f>AI99*VLOOKUP('Données projet'!$B$10,Paramètres!$A$1:$I$89,3,0)*VLOOKUP('Données projet'!$B$10,Paramètres!$A$1:$I$89,5,0)</f>
        <v>200.73234999999977</v>
      </c>
      <c r="AK99" s="13">
        <f t="shared" si="89"/>
        <v>49.905081835677372</v>
      </c>
      <c r="AL99" s="20">
        <f t="shared" si="58"/>
        <v>436.52686044713772</v>
      </c>
      <c r="AM99" s="59">
        <f t="shared" si="59"/>
        <v>712.77591264352509</v>
      </c>
      <c r="AN99" s="59">
        <f ca="1">AVERAGE(OFFSET($AM$3,0,0,'Données projet'!$E$10+1,1))-AVERAGE(OFFSET($H$3,0,0,'Données projet'!$E$10+1,1))</f>
        <v>424.89201140676084</v>
      </c>
      <c r="AO99" s="59">
        <f t="shared" si="90"/>
        <v>253.0016648946303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25.7804106076116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25.7804106076116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5.2583333333333373</v>
      </c>
      <c r="BD99" s="12">
        <f>IF('Données projet'!$A$88&gt;35,BD98+BC99-BL98,IF(A99&lt;'Données projet'!$A$88,$BA$205^A99,IF(A99='Données projet'!$A$88,'Données projet'!$B$88,BD98+BC99-BL98)))</f>
        <v>197.96089743589718</v>
      </c>
      <c r="BE99" s="13">
        <f>BD99*VLOOKUP('Données projet'!$B$11,Paramètres!$A$1:$I$89,3,0)*VLOOKUP('Données projet'!$B$11,Paramètres!$A$1:$I$89,5,0)</f>
        <v>188.37958999999975</v>
      </c>
      <c r="BF99" s="13">
        <f t="shared" si="91"/>
        <v>47.181524820464901</v>
      </c>
      <c r="BG99" s="20">
        <f t="shared" si="61"/>
        <v>410.26894164564254</v>
      </c>
      <c r="BH99" s="59">
        <f t="shared" si="62"/>
        <v>686.51799384202991</v>
      </c>
      <c r="BI99" s="59">
        <f ca="1">AVERAGE(OFFSET($BH$3,0,0,'Données projet'!$E$11+1,1))-AVERAGE(OFFSET($H$3,0,0,'Données projet'!$E$11+1,1))</f>
        <v>403.89478276355294</v>
      </c>
      <c r="BJ99" s="59">
        <f t="shared" si="92"/>
        <v>241.1593989733278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24.193923800989353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24.193923800989353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319</v>
      </c>
      <c r="BZ99" s="13">
        <f>BY99*VLOOKUP('Données projet'!$B$12,Paramètres!$A$1:$I$89,3,0)*VLOOKUP('Données projet'!$B$12,Paramètres!$A$1:$I$89,5,0)</f>
        <v>253.79640000000001</v>
      </c>
      <c r="CA99" s="13">
        <f t="shared" si="93"/>
        <v>61.39816832228076</v>
      </c>
      <c r="CB99" s="20">
        <f t="shared" si="64"/>
        <v>548.96387316130563</v>
      </c>
      <c r="CC99" s="59">
        <f t="shared" si="65"/>
        <v>825.21292535769305</v>
      </c>
      <c r="CD99" s="59">
        <f ca="1">AVERAGE(OFFSET($CC$3,0,0,'Données projet'!$E$12+1,1))-AVERAGE(OFFSET($H$3,0,0,'Données projet'!$E$12+1,1))</f>
        <v>377.27600411578322</v>
      </c>
      <c r="CE99" s="59">
        <f t="shared" si="94"/>
        <v>364.58250627635425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32.618122263860741</v>
      </c>
      <c r="CL99" s="21">
        <f>EXP(-LN(2)/25)*CL98+(1-EXP(-LN(2)/25))/(LN(2)/25)*Calculateur!CG99*Calculateur!CI99*VLOOKUP('Données projet'!$B$12,Paramètres!$A$1:$I$89,3,0)*0.475*44/12</f>
        <v>4.8419841179056187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37.460106381766359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1.7053025658242404E-13</v>
      </c>
      <c r="CU99" s="17">
        <f>CT99*VLOOKUP('Données projet'!$B$13,Paramètres!$A$1:$I$89,3,0)*VLOOKUP('Données projet'!$B$13,Paramètres!$A$1:$I$89,5,0)</f>
        <v>1.3301360013429075E-13</v>
      </c>
      <c r="CV99" s="13">
        <f t="shared" si="95"/>
        <v>1.9329766731057041E-12</v>
      </c>
      <c r="CW99" s="20">
        <f t="shared" si="67"/>
        <v>3.5982663925596575E-12</v>
      </c>
      <c r="CX99" s="59">
        <f t="shared" si="68"/>
        <v>276.24905219639101</v>
      </c>
      <c r="CY99" s="59">
        <f ca="1">AVERAGE(OFFSET($CX$3,0,0,'Données projet'!$E$13+1,1))-AVERAGE(OFFSET($H$3,0,0,'Données projet'!$E$13+1,1))</f>
        <v>308.82719216177946</v>
      </c>
      <c r="CZ99" s="59">
        <f t="shared" si="96"/>
        <v>302.59481222418219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47.531098037892306</v>
      </c>
      <c r="DG99" s="21">
        <f>EXP(-LN(2)/25)*DG98+(1-EXP(-LN(2)/25))/(LN(2)/25)*Calculateur!DB99*Calculateur!DD99*VLOOKUP('Données projet'!$B$13,Paramètres!$A$1:$I$89,3,0)*0.475*44/12</f>
        <v>32.265078707747506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79.796176745639812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304.99999999999983</v>
      </c>
      <c r="DP99" s="17">
        <f>DO99*VLOOKUP('Données projet'!$B$14,Paramètres!$A$1:$I$89,3,0)*VLOOKUP('Données projet'!$B$14,Paramètres!$A$1:$I$89,5,0)</f>
        <v>275.96399999999983</v>
      </c>
      <c r="DQ99" s="13">
        <f t="shared" si="97"/>
        <v>66.113366665488854</v>
      </c>
      <c r="DR99" s="20">
        <f t="shared" si="70"/>
        <v>595.78474694239264</v>
      </c>
      <c r="DS99" s="59">
        <f t="shared" si="71"/>
        <v>872.03379913878007</v>
      </c>
      <c r="DT99" s="59">
        <f ca="1">AVERAGE(OFFSET($DS$3,0,0,'Données projet'!$E$14+1,1))-AVERAGE(OFFSET($H$3,0,0,'Données projet'!$E$14+1,1))</f>
        <v>376.51107072413777</v>
      </c>
      <c r="DU99" s="59">
        <f t="shared" si="98"/>
        <v>532.90758914457615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0.43737753299535009</v>
      </c>
      <c r="EB99" s="21">
        <f>EXP(-LN(2)/25)*EB98+(1-EXP(-LN(2)/25))/(LN(2)/25)*Calculateur!DW99*Calculateur!DY99*VLOOKUP('Données projet'!$B$14,Paramètres!$A$1:$I$89,3,0)*0.475*44/12</f>
        <v>1.1844423737754146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1.6218199067707646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-1.7053025658242404E-13</v>
      </c>
      <c r="EK99" s="17">
        <f>EJ99*VLOOKUP('Données projet'!$B$15,Paramètres!$A$1:$I$89,3,0)*VLOOKUP('Données projet'!$B$15,Paramètres!$A$1:$I$89,5,0)</f>
        <v>-1.0197709343628959E-13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337.99164391755608</v>
      </c>
      <c r="EP99" s="59">
        <f t="shared" si="100"/>
        <v>421.45428231923393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73.747610954682571</v>
      </c>
      <c r="EW99" s="21">
        <f>EXP(-LN(2)/25)*EW98+(1-EXP(-LN(2)/25))/(LN(2)/25)*Calculateur!ER99*Calculateur!ET99*VLOOKUP('Données projet'!$B$15,Paramètres!$A$1:$I$89,3,0)*0.475*44/12</f>
        <v>14.580752948710186</v>
      </c>
      <c r="EX99" s="21">
        <f>EXP(-LN(2)/2)*EX98+(1-EXP(-LN(2)/2))/(LN(2)/2)*ER99*EU99*VLOOKUP('Données projet'!$B$15,Paramètres!$A$1:$I$89,3,0)*0.475*44/12</f>
        <v>3.8534518187341243E-5</v>
      </c>
      <c r="EY99" s="22">
        <f t="shared" si="75"/>
        <v>88.328402437910938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5.2583333333333373</v>
      </c>
      <c r="N100" s="13">
        <f>IF('Données projet'!$A$36&gt;35,N99+M100-V99,IF(A100&lt;'Données projet'!$A$36,$K$205^A100,IF(A100='Données projet'!$A$36,'Données projet'!$B$36,N99+M100-V99)))</f>
        <v>203.21923076923051</v>
      </c>
      <c r="O100" s="13">
        <f>N100*VLOOKUP('Données projet'!$B$9,Paramètres!$A$1:$I$89,3,0)*VLOOKUP('Données projet'!$B$9,Paramètres!$A$1:$I$89,5,0)</f>
        <v>183.87275999999974</v>
      </c>
      <c r="P100" s="13">
        <f t="shared" si="87"/>
        <v>46.182733545341328</v>
      </c>
      <c r="Q100" s="20">
        <f t="shared" si="107"/>
        <v>400.67998459146901</v>
      </c>
      <c r="R100" s="59">
        <f t="shared" si="55"/>
        <v>677.22541087085187</v>
      </c>
      <c r="S100" s="59">
        <f ca="1">AVERAGE(OFFSET($R$3,0,0,'Données projet'!$E$9+1,1))-AVERAGE(OFFSET($H$3,0,0,'Données projet'!$E$9+1,1))</f>
        <v>388.1278150896951</v>
      </c>
      <c r="T100" s="59">
        <f t="shared" si="88"/>
        <v>232.26614607059227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22.55296313608401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22.55296313608401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5.2583333333333373</v>
      </c>
      <c r="AI100" s="13">
        <f>IF('Données projet'!$A$62&gt;35,AI99+AH100-AQ99,IF(A100&lt;'Données projet'!$A$62,$AF$205^A100,IF(A100='Données projet'!$A$62,'Données projet'!$B$62,AI99+AH100-AQ99)))</f>
        <v>203.21923076923051</v>
      </c>
      <c r="AJ100" s="13">
        <f>AI100*VLOOKUP('Données projet'!$B$10,Paramètres!$A$1:$I$89,3,0)*VLOOKUP('Données projet'!$B$10,Paramètres!$A$1:$I$89,5,0)</f>
        <v>206.06429999999975</v>
      </c>
      <c r="AK100" s="13">
        <f t="shared" si="89"/>
        <v>51.074591519343635</v>
      </c>
      <c r="AL100" s="20">
        <f t="shared" si="58"/>
        <v>447.85023606285631</v>
      </c>
      <c r="AM100" s="59">
        <f t="shared" si="59"/>
        <v>724.39566234223912</v>
      </c>
      <c r="AN100" s="59">
        <f ca="1">AVERAGE(OFFSET($AM$3,0,0,'Données projet'!$E$10+1,1))-AVERAGE(OFFSET($H$3,0,0,'Données projet'!$E$10+1,1))</f>
        <v>424.89201140676084</v>
      </c>
      <c r="AO100" s="59">
        <f t="shared" si="90"/>
        <v>253.0016648946303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25.274872480094142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25.274872480094142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5.2583333333333373</v>
      </c>
      <c r="BD100" s="12">
        <f>IF('Données projet'!$A$88&gt;35,BD99+BC100-BL99,IF(A100&lt;'Données projet'!$A$88,$BA$205^A100,IF(A100='Données projet'!$A$88,'Données projet'!$B$88,BD99+BC100-BL99)))</f>
        <v>203.21923076923051</v>
      </c>
      <c r="BE100" s="13">
        <f>BD100*VLOOKUP('Données projet'!$B$11,Paramètres!$A$1:$I$89,3,0)*VLOOKUP('Données projet'!$B$11,Paramètres!$A$1:$I$89,5,0)</f>
        <v>193.38341999999975</v>
      </c>
      <c r="BF100" s="13">
        <f t="shared" si="91"/>
        <v>48.287208813717676</v>
      </c>
      <c r="BG100" s="20">
        <f t="shared" si="61"/>
        <v>420.90967851722456</v>
      </c>
      <c r="BH100" s="59">
        <f t="shared" si="62"/>
        <v>697.45510479660743</v>
      </c>
      <c r="BI100" s="59">
        <f ca="1">AVERAGE(OFFSET($BH$3,0,0,'Données projet'!$E$11+1,1))-AVERAGE(OFFSET($H$3,0,0,'Données projet'!$E$11+1,1))</f>
        <v>403.89478276355294</v>
      </c>
      <c r="BJ100" s="59">
        <f t="shared" si="92"/>
        <v>241.1593989733278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23.719495712088353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23.719495712088353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319</v>
      </c>
      <c r="BZ100" s="13">
        <f>BY100*VLOOKUP('Données projet'!$B$12,Paramètres!$A$1:$I$89,3,0)*VLOOKUP('Données projet'!$B$12,Paramètres!$A$1:$I$89,5,0)</f>
        <v>253.79640000000001</v>
      </c>
      <c r="CA100" s="13">
        <f t="shared" si="93"/>
        <v>61.39816832228076</v>
      </c>
      <c r="CB100" s="20">
        <f t="shared" si="64"/>
        <v>548.96387316130563</v>
      </c>
      <c r="CC100" s="59">
        <f t="shared" si="65"/>
        <v>825.50929944068844</v>
      </c>
      <c r="CD100" s="59">
        <f ca="1">AVERAGE(OFFSET($CC$3,0,0,'Données projet'!$E$12+1,1))-AVERAGE(OFFSET($H$3,0,0,'Données projet'!$E$12+1,1))</f>
        <v>377.27600411578322</v>
      </c>
      <c r="CE100" s="59">
        <f t="shared" si="94"/>
        <v>364.58250627635425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31.978500781356537</v>
      </c>
      <c r="CL100" s="21">
        <f>EXP(-LN(2)/25)*CL99+(1-EXP(-LN(2)/25))/(LN(2)/25)*Calculateur!CG100*Calculateur!CI100*VLOOKUP('Données projet'!$B$12,Paramètres!$A$1:$I$89,3,0)*0.475*44/12</f>
        <v>4.7095798075726112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36.688080588929147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1.7053025658242404E-13</v>
      </c>
      <c r="CU100" s="17">
        <f>CT100*VLOOKUP('Données projet'!$B$13,Paramètres!$A$1:$I$89,3,0)*VLOOKUP('Données projet'!$B$13,Paramètres!$A$1:$I$89,5,0)</f>
        <v>1.3301360013429075E-13</v>
      </c>
      <c r="CV100" s="13">
        <f t="shared" si="95"/>
        <v>1.9329766731057041E-12</v>
      </c>
      <c r="CW100" s="20">
        <f t="shared" si="67"/>
        <v>3.5982663925596575E-12</v>
      </c>
      <c r="CX100" s="59">
        <f t="shared" si="68"/>
        <v>276.54542627938639</v>
      </c>
      <c r="CY100" s="59">
        <f ca="1">AVERAGE(OFFSET($CX$3,0,0,'Données projet'!$E$13+1,1))-AVERAGE(OFFSET($H$3,0,0,'Données projet'!$E$13+1,1))</f>
        <v>308.82719216177946</v>
      </c>
      <c r="CZ100" s="59">
        <f t="shared" si="96"/>
        <v>302.59481222418219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46.599042196476404</v>
      </c>
      <c r="DG100" s="21">
        <f>EXP(-LN(2)/25)*DG99+(1-EXP(-LN(2)/25))/(LN(2)/25)*Calculateur!DB100*Calculateur!DD100*VLOOKUP('Données projet'!$B$13,Paramètres!$A$1:$I$89,3,0)*0.475*44/12</f>
        <v>31.382788433737403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77.981830630213807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304.99999999999983</v>
      </c>
      <c r="DP100" s="17">
        <f>DO100*VLOOKUP('Données projet'!$B$14,Paramètres!$A$1:$I$89,3,0)*VLOOKUP('Données projet'!$B$14,Paramètres!$A$1:$I$89,5,0)</f>
        <v>275.96399999999983</v>
      </c>
      <c r="DQ100" s="13">
        <f t="shared" si="97"/>
        <v>66.113366665488854</v>
      </c>
      <c r="DR100" s="20">
        <f t="shared" si="70"/>
        <v>595.78474694239264</v>
      </c>
      <c r="DS100" s="59">
        <f t="shared" si="71"/>
        <v>872.33017322177545</v>
      </c>
      <c r="DT100" s="59">
        <f ca="1">AVERAGE(OFFSET($DS$3,0,0,'Données projet'!$E$14+1,1))-AVERAGE(OFFSET($H$3,0,0,'Données projet'!$E$14+1,1))</f>
        <v>376.51107072413777</v>
      </c>
      <c r="DU100" s="59">
        <f t="shared" si="98"/>
        <v>532.90758914457615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0.42880082634726469</v>
      </c>
      <c r="EB100" s="21">
        <f>EXP(-LN(2)/25)*EB99+(1-EXP(-LN(2)/25))/(LN(2)/25)*Calculateur!DW100*Calculateur!DY100*VLOOKUP('Données projet'!$B$14,Paramètres!$A$1:$I$89,3,0)*0.475*44/12</f>
        <v>1.1520537347774085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1.5808545611246732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-1.7053025658242404E-13</v>
      </c>
      <c r="EK100" s="17">
        <f>EJ100*VLOOKUP('Données projet'!$B$15,Paramètres!$A$1:$I$89,3,0)*VLOOKUP('Données projet'!$B$15,Paramètres!$A$1:$I$89,5,0)</f>
        <v>-1.0197709343628959E-13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337.99164391755608</v>
      </c>
      <c r="EP100" s="59">
        <f t="shared" si="100"/>
        <v>421.45428231923393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72.301465285462371</v>
      </c>
      <c r="EW100" s="21">
        <f>EXP(-LN(2)/25)*EW99+(1-EXP(-LN(2)/25))/(LN(2)/25)*Calculateur!ER100*Calculateur!ET100*VLOOKUP('Données projet'!$B$15,Paramètres!$A$1:$I$89,3,0)*0.475*44/12</f>
        <v>14.182041492559234</v>
      </c>
      <c r="EX100" s="21">
        <f>EXP(-LN(2)/2)*EX99+(1-EXP(-LN(2)/2))/(LN(2)/2)*ER100*EU100*VLOOKUP('Données projet'!$B$15,Paramètres!$A$1:$I$89,3,0)*0.475*44/12</f>
        <v>2.724801912002534E-5</v>
      </c>
      <c r="EY100" s="22">
        <f t="shared" si="75"/>
        <v>86.483534026040729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5.2583333333333373</v>
      </c>
      <c r="N101" s="13">
        <f>IF('Données projet'!$A$36&gt;35,N100+M101-V100,IF(A101&lt;'Données projet'!$A$36,$K$205^A101,IF(A101='Données projet'!$A$36,'Données projet'!$B$36,N100+M101-V100)))</f>
        <v>208.47756410256383</v>
      </c>
      <c r="O101" s="13">
        <f>N101*VLOOKUP('Données projet'!$B$9,Paramètres!$A$1:$I$89,3,0)*VLOOKUP('Données projet'!$B$9,Paramètres!$A$1:$I$89,5,0)</f>
        <v>188.63049999999973</v>
      </c>
      <c r="P101" s="13">
        <f t="shared" si="87"/>
        <v>47.237048488890842</v>
      </c>
      <c r="Q101" s="20">
        <f t="shared" si="107"/>
        <v>410.80264695148441</v>
      </c>
      <c r="R101" s="59">
        <f t="shared" si="55"/>
        <v>687.63930588611584</v>
      </c>
      <c r="S101" s="59">
        <f ca="1">AVERAGE(OFFSET($R$3,0,0,'Données projet'!$E$9+1,1))-AVERAGE(OFFSET($H$3,0,0,'Données projet'!$E$9+1,1))</f>
        <v>388.1278150896951</v>
      </c>
      <c r="T101" s="59">
        <f t="shared" si="88"/>
        <v>232.26614607059227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22.110713284934629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22.110713284934629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5.2583333333333373</v>
      </c>
      <c r="AI101" s="13">
        <f>IF('Données projet'!$A$62&gt;35,AI100+AH101-AQ100,IF(A101&lt;'Données projet'!$A$62,$AF$205^A101,IF(A101='Données projet'!$A$62,'Données projet'!$B$62,AI100+AH101-AQ100)))</f>
        <v>208.47756410256383</v>
      </c>
      <c r="AJ101" s="13">
        <f>AI101*VLOOKUP('Données projet'!$B$10,Paramètres!$A$1:$I$89,3,0)*VLOOKUP('Données projet'!$B$10,Paramètres!$A$1:$I$89,5,0)</f>
        <v>211.39624999999972</v>
      </c>
      <c r="AK101" s="13">
        <f t="shared" si="89"/>
        <v>52.240583675733987</v>
      </c>
      <c r="AL101" s="20">
        <f t="shared" si="58"/>
        <v>459.16748531856956</v>
      </c>
      <c r="AM101" s="59">
        <f t="shared" si="59"/>
        <v>736.00414425320093</v>
      </c>
      <c r="AN101" s="59">
        <f ca="1">AVERAGE(OFFSET($AM$3,0,0,'Données projet'!$E$10+1,1))-AVERAGE(OFFSET($H$3,0,0,'Données projet'!$E$10+1,1))</f>
        <v>424.89201140676084</v>
      </c>
      <c r="AO101" s="59">
        <f t="shared" si="90"/>
        <v>253.0016648946303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24.779247646909489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24.779247646909489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5.2583333333333373</v>
      </c>
      <c r="BD101" s="12">
        <f>IF('Données projet'!$A$88&gt;35,BD100+BC101-BL100,IF(A101&lt;'Données projet'!$A$88,$BA$205^A101,IF(A101='Données projet'!$A$88,'Données projet'!$B$88,BD100+BC101-BL100)))</f>
        <v>208.47756410256383</v>
      </c>
      <c r="BE101" s="13">
        <f>BD101*VLOOKUP('Données projet'!$B$11,Paramètres!$A$1:$I$89,3,0)*VLOOKUP('Données projet'!$B$11,Paramètres!$A$1:$I$89,5,0)</f>
        <v>198.38724999999977</v>
      </c>
      <c r="BF101" s="13">
        <f t="shared" si="91"/>
        <v>49.389567247841455</v>
      </c>
      <c r="BG101" s="20">
        <f t="shared" si="61"/>
        <v>431.54462337332347</v>
      </c>
      <c r="BH101" s="59">
        <f t="shared" si="62"/>
        <v>708.38128230795485</v>
      </c>
      <c r="BI101" s="59">
        <f ca="1">AVERAGE(OFFSET($BH$3,0,0,'Données projet'!$E$11+1,1))-AVERAGE(OFFSET($H$3,0,0,'Données projet'!$E$11+1,1))</f>
        <v>403.89478276355294</v>
      </c>
      <c r="BJ101" s="59">
        <f t="shared" si="92"/>
        <v>241.1593989733278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23.254370868638141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23.254370868638141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319</v>
      </c>
      <c r="BZ101" s="13">
        <f>BY101*VLOOKUP('Données projet'!$B$12,Paramètres!$A$1:$I$89,3,0)*VLOOKUP('Données projet'!$B$12,Paramètres!$A$1:$I$89,5,0)</f>
        <v>253.79640000000001</v>
      </c>
      <c r="CA101" s="13">
        <f t="shared" si="93"/>
        <v>61.39816832228076</v>
      </c>
      <c r="CB101" s="20">
        <f t="shared" si="64"/>
        <v>548.96387316130563</v>
      </c>
      <c r="CC101" s="59">
        <f t="shared" si="65"/>
        <v>825.800532095937</v>
      </c>
      <c r="CD101" s="59">
        <f ca="1">AVERAGE(OFFSET($CC$3,0,0,'Données projet'!$E$12+1,1))-AVERAGE(OFFSET($H$3,0,0,'Données projet'!$E$12+1,1))</f>
        <v>377.27600411578322</v>
      </c>
      <c r="CE101" s="59">
        <f t="shared" si="94"/>
        <v>364.58250627635425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31.351421885993659</v>
      </c>
      <c r="CL101" s="21">
        <f>EXP(-LN(2)/25)*CL100+(1-EXP(-LN(2)/25))/(LN(2)/25)*Calculateur!CG101*Calculateur!CI101*VLOOKUP('Données projet'!$B$12,Paramètres!$A$1:$I$89,3,0)*0.475*44/12</f>
        <v>4.5807961000684996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35.932217986062156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1.7053025658242404E-13</v>
      </c>
      <c r="CU101" s="17">
        <f>CT101*VLOOKUP('Données projet'!$B$13,Paramètres!$A$1:$I$89,3,0)*VLOOKUP('Données projet'!$B$13,Paramètres!$A$1:$I$89,5,0)</f>
        <v>1.3301360013429075E-13</v>
      </c>
      <c r="CV101" s="13">
        <f t="shared" si="95"/>
        <v>1.9329766731057041E-12</v>
      </c>
      <c r="CW101" s="20">
        <f t="shared" si="67"/>
        <v>3.5982663925596575E-12</v>
      </c>
      <c r="CX101" s="59">
        <f t="shared" si="68"/>
        <v>276.83665893463495</v>
      </c>
      <c r="CY101" s="59">
        <f ca="1">AVERAGE(OFFSET($CX$3,0,0,'Données projet'!$E$13+1,1))-AVERAGE(OFFSET($H$3,0,0,'Données projet'!$E$13+1,1))</f>
        <v>308.82719216177946</v>
      </c>
      <c r="CZ101" s="59">
        <f t="shared" si="96"/>
        <v>302.59481222418219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45.685263401612744</v>
      </c>
      <c r="DG101" s="21">
        <f>EXP(-LN(2)/25)*DG100+(1-EXP(-LN(2)/25))/(LN(2)/25)*Calculateur!DB101*Calculateur!DD101*VLOOKUP('Données projet'!$B$13,Paramètres!$A$1:$I$89,3,0)*0.475*44/12</f>
        <v>30.524624433667736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76.209887835280483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304.99999999999983</v>
      </c>
      <c r="DP101" s="17">
        <f>DO101*VLOOKUP('Données projet'!$B$14,Paramètres!$A$1:$I$89,3,0)*VLOOKUP('Données projet'!$B$14,Paramètres!$A$1:$I$89,5,0)</f>
        <v>275.96399999999983</v>
      </c>
      <c r="DQ101" s="13">
        <f t="shared" si="97"/>
        <v>66.113366665488854</v>
      </c>
      <c r="DR101" s="20">
        <f t="shared" si="70"/>
        <v>595.78474694239264</v>
      </c>
      <c r="DS101" s="59">
        <f t="shared" si="71"/>
        <v>872.62140587702402</v>
      </c>
      <c r="DT101" s="59">
        <f ca="1">AVERAGE(OFFSET($DS$3,0,0,'Données projet'!$E$14+1,1))-AVERAGE(OFFSET($H$3,0,0,'Données projet'!$E$14+1,1))</f>
        <v>376.51107072413777</v>
      </c>
      <c r="DU101" s="59">
        <f t="shared" si="98"/>
        <v>532.90758914457615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0.42039230368527369</v>
      </c>
      <c r="EB101" s="21">
        <f>EXP(-LN(2)/25)*EB100+(1-EXP(-LN(2)/25))/(LN(2)/25)*Calculateur!DW101*Calculateur!DY101*VLOOKUP('Données projet'!$B$14,Paramètres!$A$1:$I$89,3,0)*0.475*44/12</f>
        <v>1.1205507648160473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1.540943068501321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-1.7053025658242404E-13</v>
      </c>
      <c r="EK101" s="17">
        <f>EJ101*VLOOKUP('Données projet'!$B$15,Paramètres!$A$1:$I$89,3,0)*VLOOKUP('Données projet'!$B$15,Paramètres!$A$1:$I$89,5,0)</f>
        <v>-1.0197709343628959E-13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337.99164391755608</v>
      </c>
      <c r="EP101" s="59">
        <f t="shared" si="100"/>
        <v>421.45428231923393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70.88367765075381</v>
      </c>
      <c r="EW101" s="21">
        <f>EXP(-LN(2)/25)*EW100+(1-EXP(-LN(2)/25))/(LN(2)/25)*Calculateur!ER101*Calculateur!ET101*VLOOKUP('Données projet'!$B$15,Paramètres!$A$1:$I$89,3,0)*0.475*44/12</f>
        <v>13.794232822144053</v>
      </c>
      <c r="EX101" s="21">
        <f>EXP(-LN(2)/2)*EX100+(1-EXP(-LN(2)/2))/(LN(2)/2)*ER101*EU101*VLOOKUP('Données projet'!$B$15,Paramètres!$A$1:$I$89,3,0)*0.475*44/12</f>
        <v>1.9267259093670621E-5</v>
      </c>
      <c r="EY101" s="22">
        <f t="shared" si="75"/>
        <v>84.677929740156955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5.2583333333333373</v>
      </c>
      <c r="N102" s="13">
        <f>IF('Données projet'!$A$36&gt;35,N101+M102-V101,IF(A102&lt;'Données projet'!$A$36,$K$205^A102,IF(A102='Données projet'!$A$36,'Données projet'!$B$36,N101+M102-V101)))</f>
        <v>213.73589743589716</v>
      </c>
      <c r="O102" s="13">
        <f>N102*VLOOKUP('Données projet'!$B$9,Paramètres!$A$1:$I$89,3,0)*VLOOKUP('Données projet'!$B$9,Paramètres!$A$1:$I$89,5,0)</f>
        <v>193.38823999999974</v>
      </c>
      <c r="P102" s="13">
        <f t="shared" si="87"/>
        <v>48.288272258589146</v>
      </c>
      <c r="Q102" s="20">
        <f t="shared" si="107"/>
        <v>420.91992551704237</v>
      </c>
      <c r="R102" s="59">
        <f t="shared" si="55"/>
        <v>698.0427648714525</v>
      </c>
      <c r="S102" s="59">
        <f ca="1">AVERAGE(OFFSET($R$3,0,0,'Données projet'!$E$9+1,1))-AVERAGE(OFFSET($H$3,0,0,'Données projet'!$E$9+1,1))</f>
        <v>388.1278150896951</v>
      </c>
      <c r="T102" s="59">
        <f t="shared" si="88"/>
        <v>232.26614607059227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21.677135683620513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21.677135683620513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5.2583333333333373</v>
      </c>
      <c r="AI102" s="13">
        <f>IF('Données projet'!$A$62&gt;35,AI101+AH102-AQ101,IF(A102&lt;'Données projet'!$A$62,$AF$205^A102,IF(A102='Données projet'!$A$62,'Données projet'!$B$62,AI101+AH102-AQ101)))</f>
        <v>213.73589743589716</v>
      </c>
      <c r="AJ102" s="13">
        <f>AI102*VLOOKUP('Données projet'!$B$10,Paramètres!$A$1:$I$89,3,0)*VLOOKUP('Données projet'!$B$10,Paramètres!$A$1:$I$89,5,0)</f>
        <v>216.72819999999976</v>
      </c>
      <c r="AK102" s="13">
        <f t="shared" si="89"/>
        <v>53.403157228900795</v>
      </c>
      <c r="AL102" s="20">
        <f t="shared" si="58"/>
        <v>470.47878050700183</v>
      </c>
      <c r="AM102" s="59">
        <f t="shared" si="59"/>
        <v>747.60161986141202</v>
      </c>
      <c r="AN102" s="59">
        <f ca="1">AVERAGE(OFFSET($AM$3,0,0,'Données projet'!$E$10+1,1))-AVERAGE(OFFSET($H$3,0,0,'Données projet'!$E$10+1,1))</f>
        <v>424.89201140676084</v>
      </c>
      <c r="AO102" s="59">
        <f t="shared" si="90"/>
        <v>253.0016648946303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24.293341714402292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24.293341714402292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5.2583333333333373</v>
      </c>
      <c r="BD102" s="12">
        <f>IF('Données projet'!$A$88&gt;35,BD101+BC102-BL101,IF(A102&lt;'Données projet'!$A$88,$BA$205^A102,IF(A102='Données projet'!$A$88,'Données projet'!$B$88,BD101+BC102-BL101)))</f>
        <v>213.73589743589716</v>
      </c>
      <c r="BE102" s="13">
        <f>BD102*VLOOKUP('Données projet'!$B$11,Paramètres!$A$1:$I$89,3,0)*VLOOKUP('Données projet'!$B$11,Paramètres!$A$1:$I$89,5,0)</f>
        <v>203.39107999999976</v>
      </c>
      <c r="BF102" s="13">
        <f t="shared" si="91"/>
        <v>50.48869364813406</v>
      </c>
      <c r="BG102" s="20">
        <f t="shared" si="61"/>
        <v>442.17393910383311</v>
      </c>
      <c r="BH102" s="59">
        <f t="shared" si="62"/>
        <v>719.29677845824324</v>
      </c>
      <c r="BI102" s="59">
        <f ca="1">AVERAGE(OFFSET($BH$3,0,0,'Données projet'!$E$11+1,1))-AVERAGE(OFFSET($H$3,0,0,'Données projet'!$E$11+1,1))</f>
        <v>403.89478276355294</v>
      </c>
      <c r="BJ102" s="59">
        <f t="shared" si="92"/>
        <v>241.1593989733278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22.798366839669846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22.798366839669846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319</v>
      </c>
      <c r="BZ102" s="13">
        <f>BY102*VLOOKUP('Données projet'!$B$12,Paramètres!$A$1:$I$89,3,0)*VLOOKUP('Données projet'!$B$12,Paramètres!$A$1:$I$89,5,0)</f>
        <v>253.79640000000001</v>
      </c>
      <c r="CA102" s="13">
        <f t="shared" si="93"/>
        <v>61.39816832228076</v>
      </c>
      <c r="CB102" s="20">
        <f t="shared" si="64"/>
        <v>548.96387316130563</v>
      </c>
      <c r="CC102" s="59">
        <f t="shared" si="65"/>
        <v>826.08671251571582</v>
      </c>
      <c r="CD102" s="59">
        <f ca="1">AVERAGE(OFFSET($CC$3,0,0,'Données projet'!$E$12+1,1))-AVERAGE(OFFSET($H$3,0,0,'Données projet'!$E$12+1,1))</f>
        <v>377.27600411578322</v>
      </c>
      <c r="CE102" s="59">
        <f t="shared" si="94"/>
        <v>364.58250627635425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30.736639625288486</v>
      </c>
      <c r="CL102" s="21">
        <f>EXP(-LN(2)/25)*CL101+(1-EXP(-LN(2)/25))/(LN(2)/25)*Calculateur!CG102*Calculateur!CI102*VLOOKUP('Données projet'!$B$12,Paramètres!$A$1:$I$89,3,0)*0.475*44/12</f>
        <v>4.4555339898185293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35.192173615107016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1.7053025658242404E-13</v>
      </c>
      <c r="CU102" s="17">
        <f>CT102*VLOOKUP('Données projet'!$B$13,Paramètres!$A$1:$I$89,3,0)*VLOOKUP('Données projet'!$B$13,Paramètres!$A$1:$I$89,5,0)</f>
        <v>1.3301360013429075E-13</v>
      </c>
      <c r="CV102" s="13">
        <f t="shared" si="95"/>
        <v>1.9329766731057041E-12</v>
      </c>
      <c r="CW102" s="20">
        <f t="shared" si="67"/>
        <v>3.5982663925596575E-12</v>
      </c>
      <c r="CX102" s="59">
        <f t="shared" si="68"/>
        <v>277.12283935441371</v>
      </c>
      <c r="CY102" s="59">
        <f ca="1">AVERAGE(OFFSET($CX$3,0,0,'Données projet'!$E$13+1,1))-AVERAGE(OFFSET($H$3,0,0,'Données projet'!$E$13+1,1))</f>
        <v>308.82719216177946</v>
      </c>
      <c r="CZ102" s="59">
        <f t="shared" si="96"/>
        <v>302.59481222418219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44.789403251566327</v>
      </c>
      <c r="DG102" s="21">
        <f>EXP(-LN(2)/25)*DG101+(1-EXP(-LN(2)/25))/(LN(2)/25)*Calculateur!DB102*Calculateur!DD102*VLOOKUP('Données projet'!$B$13,Paramètres!$A$1:$I$89,3,0)*0.475*44/12</f>
        <v>29.689926973308857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74.479330224875184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304.99999999999983</v>
      </c>
      <c r="DP102" s="17">
        <f>DO102*VLOOKUP('Données projet'!$B$14,Paramètres!$A$1:$I$89,3,0)*VLOOKUP('Données projet'!$B$14,Paramètres!$A$1:$I$89,5,0)</f>
        <v>275.96399999999983</v>
      </c>
      <c r="DQ102" s="13">
        <f t="shared" si="97"/>
        <v>66.113366665488854</v>
      </c>
      <c r="DR102" s="20">
        <f t="shared" si="70"/>
        <v>595.78474694239264</v>
      </c>
      <c r="DS102" s="59">
        <f t="shared" si="71"/>
        <v>872.90758629680272</v>
      </c>
      <c r="DT102" s="59">
        <f ca="1">AVERAGE(OFFSET($DS$3,0,0,'Données projet'!$E$14+1,1))-AVERAGE(OFFSET($H$3,0,0,'Données projet'!$E$14+1,1))</f>
        <v>376.51107072413777</v>
      </c>
      <c r="DU102" s="59">
        <f t="shared" si="98"/>
        <v>532.90758914457615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0.41214866702399194</v>
      </c>
      <c r="EB102" s="21">
        <f>EXP(-LN(2)/25)*EB101+(1-EXP(-LN(2)/25))/(LN(2)/25)*Calculateur!DW102*Calculateur!DY102*VLOOKUP('Données projet'!$B$14,Paramètres!$A$1:$I$89,3,0)*0.475*44/12</f>
        <v>1.0899092452249488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1.5020579122489408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-1.7053025658242404E-13</v>
      </c>
      <c r="EK102" s="17">
        <f>EJ102*VLOOKUP('Données projet'!$B$15,Paramètres!$A$1:$I$89,3,0)*VLOOKUP('Données projet'!$B$15,Paramètres!$A$1:$I$89,5,0)</f>
        <v>-1.0197709343628959E-13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337.99164391755608</v>
      </c>
      <c r="EP102" s="59">
        <f t="shared" si="100"/>
        <v>421.45428231923393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69.493691966796817</v>
      </c>
      <c r="EW102" s="21">
        <f>EXP(-LN(2)/25)*EW101+(1-EXP(-LN(2)/25))/(LN(2)/25)*Calculateur!ER102*Calculateur!ET102*VLOOKUP('Données projet'!$B$15,Paramètres!$A$1:$I$89,3,0)*0.475*44/12</f>
        <v>13.417028800215347</v>
      </c>
      <c r="EX102" s="21">
        <f>EXP(-LN(2)/2)*EX101+(1-EXP(-LN(2)/2))/(LN(2)/2)*ER102*EU102*VLOOKUP('Données projet'!$B$15,Paramètres!$A$1:$I$89,3,0)*0.475*44/12</f>
        <v>1.362400956001267E-5</v>
      </c>
      <c r="EY102" s="22">
        <f t="shared" si="75"/>
        <v>82.91073439102172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5.2583333333333373</v>
      </c>
      <c r="N103" s="13">
        <f>IF('Données projet'!$A$36&gt;35,N102+M103-V102,IF(A103&lt;'Données projet'!$A$36,$K$205^A103,IF(A103='Données projet'!$A$36,'Données projet'!$B$36,N102+M103-V102)))</f>
        <v>218.99423076923048</v>
      </c>
      <c r="O103" s="13">
        <f>N103*VLOOKUP('Données projet'!$B$9,Paramètres!$A$1:$I$89,3,0)*VLOOKUP('Données projet'!$B$9,Paramètres!$A$1:$I$89,5,0)</f>
        <v>198.14597999999972</v>
      </c>
      <c r="P103" s="13">
        <f t="shared" si="87"/>
        <v>49.336489651503598</v>
      </c>
      <c r="Q103" s="20">
        <f t="shared" si="107"/>
        <v>431.03196797636821</v>
      </c>
      <c r="R103" s="59">
        <f t="shared" si="55"/>
        <v>708.43602316007741</v>
      </c>
      <c r="S103" s="59">
        <f ca="1">AVERAGE(OFFSET($R$3,0,0,'Données projet'!$E$9+1,1))-AVERAGE(OFFSET($H$3,0,0,'Données projet'!$E$9+1,1))</f>
        <v>388.1278150896951</v>
      </c>
      <c r="T103" s="59">
        <f t="shared" si="88"/>
        <v>232.26614607059227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21.252060274611942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21.252060274611942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5.2583333333333373</v>
      </c>
      <c r="AI103" s="13">
        <f>IF('Données projet'!$A$62&gt;35,AI102+AH103-AQ102,IF(A103&lt;'Données projet'!$A$62,$AF$205^A103,IF(A103='Données projet'!$A$62,'Données projet'!$B$62,AI102+AH103-AQ102)))</f>
        <v>218.99423076923048</v>
      </c>
      <c r="AJ103" s="13">
        <f>AI103*VLOOKUP('Données projet'!$B$10,Paramètres!$A$1:$I$89,3,0)*VLOOKUP('Données projet'!$B$10,Paramètres!$A$1:$I$89,5,0)</f>
        <v>222.06014999999974</v>
      </c>
      <c r="AK103" s="13">
        <f t="shared" si="89"/>
        <v>54.562405957952684</v>
      </c>
      <c r="AL103" s="20">
        <f t="shared" si="58"/>
        <v>481.78428496010048</v>
      </c>
      <c r="AM103" s="59">
        <f t="shared" si="59"/>
        <v>759.18834014380968</v>
      </c>
      <c r="AN103" s="59">
        <f ca="1">AVERAGE(OFFSET($AM$3,0,0,'Données projet'!$E$10+1,1))-AVERAGE(OFFSET($H$3,0,0,'Données projet'!$E$10+1,1))</f>
        <v>424.89201140676084</v>
      </c>
      <c r="AO103" s="59">
        <f t="shared" si="90"/>
        <v>253.0016648946303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23.816964100858204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23.816964100858204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5.2583333333333373</v>
      </c>
      <c r="BD103" s="12">
        <f>IF('Données projet'!$A$88&gt;35,BD102+BC103-BL102,IF(A103&lt;'Données projet'!$A$88,$BA$205^A103,IF(A103='Données projet'!$A$88,'Données projet'!$B$88,BD102+BC103-BL102)))</f>
        <v>218.99423076923048</v>
      </c>
      <c r="BE103" s="13">
        <f>BD103*VLOOKUP('Données projet'!$B$11,Paramètres!$A$1:$I$89,3,0)*VLOOKUP('Données projet'!$B$11,Paramètres!$A$1:$I$89,5,0)</f>
        <v>208.39490999999975</v>
      </c>
      <c r="BF103" s="13">
        <f t="shared" si="91"/>
        <v>51.58467667573327</v>
      </c>
      <c r="BG103" s="20">
        <f t="shared" si="61"/>
        <v>452.79778012690167</v>
      </c>
      <c r="BH103" s="59">
        <f t="shared" si="62"/>
        <v>730.20183531061093</v>
      </c>
      <c r="BI103" s="59">
        <f ca="1">AVERAGE(OFFSET($BH$3,0,0,'Données projet'!$E$11+1,1))-AVERAGE(OFFSET($H$3,0,0,'Données projet'!$E$11+1,1))</f>
        <v>403.89478276355294</v>
      </c>
      <c r="BJ103" s="59">
        <f t="shared" si="92"/>
        <v>241.1593989733278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22.351304771574625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22.351304771574625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319</v>
      </c>
      <c r="BZ103" s="13">
        <f>BY103*VLOOKUP('Données projet'!$B$12,Paramètres!$A$1:$I$89,3,0)*VLOOKUP('Données projet'!$B$12,Paramètres!$A$1:$I$89,5,0)</f>
        <v>253.79640000000001</v>
      </c>
      <c r="CA103" s="13">
        <f t="shared" si="93"/>
        <v>61.39816832228076</v>
      </c>
      <c r="CB103" s="20">
        <f t="shared" si="64"/>
        <v>548.96387316130563</v>
      </c>
      <c r="CC103" s="59">
        <f t="shared" si="65"/>
        <v>826.36792834501489</v>
      </c>
      <c r="CD103" s="59">
        <f ca="1">AVERAGE(OFFSET($CC$3,0,0,'Données projet'!$E$12+1,1))-AVERAGE(OFFSET($H$3,0,0,'Données projet'!$E$12+1,1))</f>
        <v>377.27600411578322</v>
      </c>
      <c r="CE103" s="59">
        <f t="shared" si="94"/>
        <v>364.58250627635425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30.133912869735589</v>
      </c>
      <c r="CL103" s="21">
        <f>EXP(-LN(2)/25)*CL102+(1-EXP(-LN(2)/25))/(LN(2)/25)*Calculateur!CG103*Calculateur!CI103*VLOOKUP('Données projet'!$B$12,Paramètres!$A$1:$I$89,3,0)*0.475*44/12</f>
        <v>4.333697178560592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34.46761004829618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1.7053025658242404E-13</v>
      </c>
      <c r="CU103" s="17">
        <f>CT103*VLOOKUP('Données projet'!$B$13,Paramètres!$A$1:$I$89,3,0)*VLOOKUP('Données projet'!$B$13,Paramètres!$A$1:$I$89,5,0)</f>
        <v>1.3301360013429075E-13</v>
      </c>
      <c r="CV103" s="13">
        <f t="shared" si="95"/>
        <v>1.9329766731057041E-12</v>
      </c>
      <c r="CW103" s="20">
        <f t="shared" si="67"/>
        <v>3.5982663925596575E-12</v>
      </c>
      <c r="CX103" s="59">
        <f t="shared" si="68"/>
        <v>277.40405518371279</v>
      </c>
      <c r="CY103" s="59">
        <f ca="1">AVERAGE(OFFSET($CX$3,0,0,'Données projet'!$E$13+1,1))-AVERAGE(OFFSET($H$3,0,0,'Données projet'!$E$13+1,1))</f>
        <v>308.82719216177946</v>
      </c>
      <c r="CZ103" s="59">
        <f t="shared" si="96"/>
        <v>302.59481222418219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43.911110372641581</v>
      </c>
      <c r="DG103" s="21">
        <f>EXP(-LN(2)/25)*DG102+(1-EXP(-LN(2)/25))/(LN(2)/25)*Calculateur!DB103*Calculateur!DD103*VLOOKUP('Données projet'!$B$13,Paramètres!$A$1:$I$89,3,0)*0.475*44/12</f>
        <v>28.878054358898325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72.789164731539898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304.99999999999983</v>
      </c>
      <c r="DP103" s="17">
        <f>DO103*VLOOKUP('Données projet'!$B$14,Paramètres!$A$1:$I$89,3,0)*VLOOKUP('Données projet'!$B$14,Paramètres!$A$1:$I$89,5,0)</f>
        <v>275.96399999999983</v>
      </c>
      <c r="DQ103" s="13">
        <f t="shared" si="97"/>
        <v>66.113366665488854</v>
      </c>
      <c r="DR103" s="20">
        <f t="shared" si="70"/>
        <v>595.78474694239264</v>
      </c>
      <c r="DS103" s="59">
        <f t="shared" si="71"/>
        <v>873.18880212610179</v>
      </c>
      <c r="DT103" s="59">
        <f ca="1">AVERAGE(OFFSET($DS$3,0,0,'Données projet'!$E$14+1,1))-AVERAGE(OFFSET($H$3,0,0,'Données projet'!$E$14+1,1))</f>
        <v>376.51107072413777</v>
      </c>
      <c r="DU103" s="59">
        <f t="shared" si="98"/>
        <v>532.90758914457615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0.40406668304951604</v>
      </c>
      <c r="EB103" s="21">
        <f>EXP(-LN(2)/25)*EB102+(1-EXP(-LN(2)/25))/(LN(2)/25)*Calculateur!DW103*Calculateur!DY103*VLOOKUP('Données projet'!$B$14,Paramètres!$A$1:$I$89,3,0)*0.475*44/12</f>
        <v>1.0601056195984364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1.4641723026479525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-1.7053025658242404E-13</v>
      </c>
      <c r="EK103" s="17">
        <f>EJ103*VLOOKUP('Données projet'!$B$15,Paramètres!$A$1:$I$89,3,0)*VLOOKUP('Données projet'!$B$15,Paramètres!$A$1:$I$89,5,0)</f>
        <v>-1.0197709343628959E-13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337.99164391755608</v>
      </c>
      <c r="EP103" s="59">
        <f t="shared" si="100"/>
        <v>421.45428231923393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68.130963054294668</v>
      </c>
      <c r="EW103" s="21">
        <f>EXP(-LN(2)/25)*EW102+(1-EXP(-LN(2)/25))/(LN(2)/25)*Calculateur!ER103*Calculateur!ET103*VLOOKUP('Données projet'!$B$15,Paramètres!$A$1:$I$89,3,0)*0.475*44/12</f>
        <v>13.050139442102578</v>
      </c>
      <c r="EX103" s="21">
        <f>EXP(-LN(2)/2)*EX102+(1-EXP(-LN(2)/2))/(LN(2)/2)*ER103*EU103*VLOOKUP('Données projet'!$B$15,Paramètres!$A$1:$I$89,3,0)*0.475*44/12</f>
        <v>9.6336295468353106E-6</v>
      </c>
      <c r="EY103" s="22">
        <f t="shared" si="75"/>
        <v>81.18111213002679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5.2583333333333373</v>
      </c>
      <c r="N104" s="13">
        <f>IF('Données projet'!$A$36&gt;35,N103+M104-V103,IF(A104&lt;'Données projet'!$A$36,$K$205^A104,IF(A104='Données projet'!$A$36,'Données projet'!$B$36,N103+M104-V103)))</f>
        <v>224.25256410256381</v>
      </c>
      <c r="O104" s="13">
        <f>N104*VLOOKUP('Données projet'!$B$9,Paramètres!$A$1:$I$89,3,0)*VLOOKUP('Données projet'!$B$9,Paramètres!$A$1:$I$89,5,0)</f>
        <v>202.90371999999974</v>
      </c>
      <c r="P104" s="13">
        <f t="shared" si="87"/>
        <v>50.381781160298395</v>
      </c>
      <c r="Q104" s="20">
        <f t="shared" si="107"/>
        <v>441.13891452085255</v>
      </c>
      <c r="R104" s="59">
        <f t="shared" si="55"/>
        <v>718.81930706792696</v>
      </c>
      <c r="S104" s="59">
        <f ca="1">AVERAGE(OFFSET($R$3,0,0,'Données projet'!$E$9+1,1))-AVERAGE(OFFSET($H$3,0,0,'Données projet'!$E$9+1,1))</f>
        <v>388.1278150896951</v>
      </c>
      <c r="T104" s="59">
        <f t="shared" si="88"/>
        <v>232.26614607059227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20.835320335103631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20.835320335103631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5.2583333333333373</v>
      </c>
      <c r="AI104" s="13">
        <f>IF('Données projet'!$A$62&gt;35,AI103+AH104-AQ103,IF(A104&lt;'Données projet'!$A$62,$AF$205^A104,IF(A104='Données projet'!$A$62,'Données projet'!$B$62,AI103+AH104-AQ103)))</f>
        <v>224.25256410256381</v>
      </c>
      <c r="AJ104" s="13">
        <f>AI104*VLOOKUP('Données projet'!$B$10,Paramètres!$A$1:$I$89,3,0)*VLOOKUP('Données projet'!$B$10,Paramètres!$A$1:$I$89,5,0)</f>
        <v>227.39209999999972</v>
      </c>
      <c r="AK104" s="13">
        <f t="shared" si="89"/>
        <v>55.718418881655332</v>
      </c>
      <c r="AL104" s="20">
        <f t="shared" si="58"/>
        <v>493.08415371888253</v>
      </c>
      <c r="AM104" s="59">
        <f t="shared" si="59"/>
        <v>770.76454626595694</v>
      </c>
      <c r="AN104" s="59">
        <f ca="1">AVERAGE(OFFSET($AM$3,0,0,'Données projet'!$E$10+1,1))-AVERAGE(OFFSET($H$3,0,0,'Données projet'!$E$10+1,1))</f>
        <v>424.89201140676084</v>
      </c>
      <c r="AO104" s="59">
        <f t="shared" si="90"/>
        <v>253.0016648946303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23.349927961754062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23.349927961754062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5.2583333333333373</v>
      </c>
      <c r="BD104" s="12">
        <f>IF('Données projet'!$A$88&gt;35,BD103+BC104-BL103,IF(A104&lt;'Données projet'!$A$88,$BA$205^A104,IF(A104='Données projet'!$A$88,'Données projet'!$B$88,BD103+BC104-BL103)))</f>
        <v>224.25256410256381</v>
      </c>
      <c r="BE104" s="13">
        <f>BD104*VLOOKUP('Données projet'!$B$11,Paramètres!$A$1:$I$89,3,0)*VLOOKUP('Données projet'!$B$11,Paramètres!$A$1:$I$89,5,0)</f>
        <v>213.39873999999969</v>
      </c>
      <c r="BF104" s="13">
        <f t="shared" si="91"/>
        <v>52.677600491228638</v>
      </c>
      <c r="BG104" s="20">
        <f t="shared" si="61"/>
        <v>463.41629302222265</v>
      </c>
      <c r="BH104" s="59">
        <f t="shared" si="62"/>
        <v>741.09668556929705</v>
      </c>
      <c r="BI104" s="59">
        <f ca="1">AVERAGE(OFFSET($BH$3,0,0,'Données projet'!$E$11+1,1))-AVERAGE(OFFSET($H$3,0,0,'Données projet'!$E$11+1,1))</f>
        <v>403.89478276355294</v>
      </c>
      <c r="BJ104" s="59">
        <f t="shared" si="92"/>
        <v>241.1593989733278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21.913009317953815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21.913009317953815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319</v>
      </c>
      <c r="BZ104" s="13">
        <f>BY104*VLOOKUP('Données projet'!$B$12,Paramètres!$A$1:$I$89,3,0)*VLOOKUP('Données projet'!$B$12,Paramètres!$A$1:$I$89,5,0)</f>
        <v>253.79640000000001</v>
      </c>
      <c r="CA104" s="13">
        <f t="shared" si="93"/>
        <v>61.39816832228076</v>
      </c>
      <c r="CB104" s="20">
        <f t="shared" si="64"/>
        <v>548.96387316130563</v>
      </c>
      <c r="CC104" s="59">
        <f t="shared" si="65"/>
        <v>826.64426570838009</v>
      </c>
      <c r="CD104" s="59">
        <f ca="1">AVERAGE(OFFSET($CC$3,0,0,'Données projet'!$E$12+1,1))-AVERAGE(OFFSET($H$3,0,0,'Données projet'!$E$12+1,1))</f>
        <v>377.27600411578322</v>
      </c>
      <c r="CE104" s="59">
        <f t="shared" si="94"/>
        <v>364.58250627635425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29.543005218232064</v>
      </c>
      <c r="CL104" s="21">
        <f>EXP(-LN(2)/25)*CL103+(1-EXP(-LN(2)/25))/(LN(2)/25)*Calculateur!CG104*Calculateur!CI104*VLOOKUP('Données projet'!$B$12,Paramètres!$A$1:$I$89,3,0)*0.475*44/12</f>
        <v>4.215192001313623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33.758197219545686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1.7053025658242404E-13</v>
      </c>
      <c r="CU104" s="17">
        <f>CT104*VLOOKUP('Données projet'!$B$13,Paramètres!$A$1:$I$89,3,0)*VLOOKUP('Données projet'!$B$13,Paramètres!$A$1:$I$89,5,0)</f>
        <v>1.3301360013429075E-13</v>
      </c>
      <c r="CV104" s="13">
        <f t="shared" si="95"/>
        <v>1.9329766731057041E-12</v>
      </c>
      <c r="CW104" s="20">
        <f t="shared" si="67"/>
        <v>3.5982663925596575E-12</v>
      </c>
      <c r="CX104" s="59">
        <f t="shared" si="68"/>
        <v>277.68039254707799</v>
      </c>
      <c r="CY104" s="59">
        <f ca="1">AVERAGE(OFFSET($CX$3,0,0,'Données projet'!$E$13+1,1))-AVERAGE(OFFSET($H$3,0,0,'Données projet'!$E$13+1,1))</f>
        <v>308.82719216177946</v>
      </c>
      <c r="CZ104" s="59">
        <f t="shared" si="96"/>
        <v>302.59481222418219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43.05004028136679</v>
      </c>
      <c r="DG104" s="21">
        <f>EXP(-LN(2)/25)*DG103+(1-EXP(-LN(2)/25))/(LN(2)/25)*Calculateur!DB104*Calculateur!DD104*VLOOKUP('Données projet'!$B$13,Paramètres!$A$1:$I$89,3,0)*0.475*44/12</f>
        <v>28.088382443823374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71.138422725190168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304.99999999999983</v>
      </c>
      <c r="DP104" s="17">
        <f>DO104*VLOOKUP('Données projet'!$B$14,Paramètres!$A$1:$I$89,3,0)*VLOOKUP('Données projet'!$B$14,Paramètres!$A$1:$I$89,5,0)</f>
        <v>275.96399999999983</v>
      </c>
      <c r="DQ104" s="13">
        <f t="shared" si="97"/>
        <v>66.113366665488854</v>
      </c>
      <c r="DR104" s="20">
        <f t="shared" si="70"/>
        <v>595.78474694239264</v>
      </c>
      <c r="DS104" s="59">
        <f t="shared" si="71"/>
        <v>873.46513948946699</v>
      </c>
      <c r="DT104" s="59">
        <f ca="1">AVERAGE(OFFSET($DS$3,0,0,'Données projet'!$E$14+1,1))-AVERAGE(OFFSET($H$3,0,0,'Données projet'!$E$14+1,1))</f>
        <v>376.51107072413777</v>
      </c>
      <c r="DU104" s="59">
        <f t="shared" si="98"/>
        <v>532.90758914457615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0.39614318185125613</v>
      </c>
      <c r="EB104" s="21">
        <f>EXP(-LN(2)/25)*EB103+(1-EXP(-LN(2)/25))/(LN(2)/25)*Calculateur!DW104*Calculateur!DY104*VLOOKUP('Données projet'!$B$14,Paramètres!$A$1:$I$89,3,0)*0.475*44/12</f>
        <v>1.0311169756819856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1.4272601575332418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-1.7053025658242404E-13</v>
      </c>
      <c r="EK104" s="17">
        <f>EJ104*VLOOKUP('Données projet'!$B$15,Paramètres!$A$1:$I$89,3,0)*VLOOKUP('Données projet'!$B$15,Paramètres!$A$1:$I$89,5,0)</f>
        <v>-1.0197709343628959E-13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337.99164391755608</v>
      </c>
      <c r="EP104" s="59">
        <f t="shared" si="100"/>
        <v>421.45428231923393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66.794956424584115</v>
      </c>
      <c r="EW104" s="21">
        <f>EXP(-LN(2)/25)*EW103+(1-EXP(-LN(2)/25))/(LN(2)/25)*Calculateur!ER104*Calculateur!ET104*VLOOKUP('Données projet'!$B$15,Paramètres!$A$1:$I$89,3,0)*0.475*44/12</f>
        <v>12.693282692781276</v>
      </c>
      <c r="EX104" s="21">
        <f>EXP(-LN(2)/2)*EX103+(1-EXP(-LN(2)/2))/(LN(2)/2)*ER104*EU104*VLOOKUP('Données projet'!$B$15,Paramètres!$A$1:$I$89,3,0)*0.475*44/12</f>
        <v>6.8120047800063351E-6</v>
      </c>
      <c r="EY104" s="22">
        <f t="shared" si="75"/>
        <v>79.48824592937018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5.2583333333333373</v>
      </c>
      <c r="N105" s="13">
        <f>IF('Données projet'!$A$36&gt;35,N104+M105-V104,IF(A105&lt;'Données projet'!$A$36,$K$205^A105,IF(A105='Données projet'!$A$36,'Données projet'!$B$36,N104+M105-V104)))</f>
        <v>229.51089743589714</v>
      </c>
      <c r="O105" s="13">
        <f>N105*VLOOKUP('Données projet'!$B$9,Paramètres!$A$1:$I$89,3,0)*VLOOKUP('Données projet'!$B$9,Paramètres!$A$1:$I$89,5,0)</f>
        <v>207.66145999999972</v>
      </c>
      <c r="P105" s="13">
        <f t="shared" si="87"/>
        <v>51.424223287461992</v>
      </c>
      <c r="Q105" s="20">
        <f t="shared" si="107"/>
        <v>451.2408983923292</v>
      </c>
      <c r="R105" s="59">
        <f t="shared" si="55"/>
        <v>729.1928344673122</v>
      </c>
      <c r="S105" s="59">
        <f ca="1">AVERAGE(OFFSET($R$3,0,0,'Données projet'!$E$9+1,1))-AVERAGE(OFFSET($H$3,0,0,'Données projet'!$E$9+1,1))</f>
        <v>388.1278150896951</v>
      </c>
      <c r="T105" s="59">
        <f t="shared" si="88"/>
        <v>232.26614607059227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20.426752411622815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20.426752411622815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5.2583333333333373</v>
      </c>
      <c r="AI105" s="13">
        <f>IF('Données projet'!$A$62&gt;35,AI104+AH105-AQ104,IF(A105&lt;'Données projet'!$A$62,$AF$205^A105,IF(A105='Données projet'!$A$62,'Données projet'!$B$62,AI104+AH105-AQ104)))</f>
        <v>229.51089743589714</v>
      </c>
      <c r="AJ105" s="13">
        <f>AI105*VLOOKUP('Données projet'!$B$10,Paramètres!$A$1:$I$89,3,0)*VLOOKUP('Données projet'!$B$10,Paramètres!$A$1:$I$89,5,0)</f>
        <v>232.72404999999969</v>
      </c>
      <c r="AK105" s="13">
        <f t="shared" si="89"/>
        <v>56.871280605943788</v>
      </c>
      <c r="AL105" s="20">
        <f t="shared" si="58"/>
        <v>504.37853413868493</v>
      </c>
      <c r="AM105" s="59">
        <f t="shared" si="59"/>
        <v>782.33047021366792</v>
      </c>
      <c r="AN105" s="59">
        <f ca="1">AVERAGE(OFFSET($AM$3,0,0,'Données projet'!$E$10+1,1))-AVERAGE(OFFSET($H$3,0,0,'Données projet'!$E$10+1,1))</f>
        <v>424.89201140676084</v>
      </c>
      <c r="AO105" s="59">
        <f t="shared" si="90"/>
        <v>253.0016648946303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22.892050116473836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22.892050116473836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5.2583333333333373</v>
      </c>
      <c r="BD105" s="12">
        <f>IF('Données projet'!$A$88&gt;35,BD104+BC105-BL104,IF(A105&lt;'Données projet'!$A$88,$BA$205^A105,IF(A105='Données projet'!$A$88,'Données projet'!$B$88,BD104+BC105-BL104)))</f>
        <v>229.51089743589714</v>
      </c>
      <c r="BE105" s="13">
        <f>BD105*VLOOKUP('Données projet'!$B$11,Paramètres!$A$1:$I$89,3,0)*VLOOKUP('Données projet'!$B$11,Paramètres!$A$1:$I$89,5,0)</f>
        <v>218.40256999999971</v>
      </c>
      <c r="BF105" s="13">
        <f t="shared" si="91"/>
        <v>53.767545083207914</v>
      </c>
      <c r="BG105" s="20">
        <f t="shared" si="61"/>
        <v>474.02961710325332</v>
      </c>
      <c r="BH105" s="59">
        <f t="shared" si="62"/>
        <v>751.98155317823625</v>
      </c>
      <c r="BI105" s="59">
        <f ca="1">AVERAGE(OFFSET($BH$3,0,0,'Données projet'!$E$11+1,1))-AVERAGE(OFFSET($H$3,0,0,'Données projet'!$E$11+1,1))</f>
        <v>403.89478276355294</v>
      </c>
      <c r="BJ105" s="59">
        <f t="shared" si="92"/>
        <v>241.1593989733278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21.483308570844681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21.483308570844681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319</v>
      </c>
      <c r="BZ105" s="13">
        <f>BY105*VLOOKUP('Données projet'!$B$12,Paramètres!$A$1:$I$89,3,0)*VLOOKUP('Données projet'!$B$12,Paramètres!$A$1:$I$89,5,0)</f>
        <v>253.79640000000001</v>
      </c>
      <c r="CA105" s="13">
        <f t="shared" si="93"/>
        <v>61.39816832228076</v>
      </c>
      <c r="CB105" s="20">
        <f t="shared" si="64"/>
        <v>548.96387316130563</v>
      </c>
      <c r="CC105" s="59">
        <f t="shared" si="65"/>
        <v>826.91580923628862</v>
      </c>
      <c r="CD105" s="59">
        <f ca="1">AVERAGE(OFFSET($CC$3,0,0,'Données projet'!$E$12+1,1))-AVERAGE(OFFSET($H$3,0,0,'Données projet'!$E$12+1,1))</f>
        <v>377.27600411578322</v>
      </c>
      <c r="CE105" s="59">
        <f t="shared" si="94"/>
        <v>364.58250627635425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28.963684905356445</v>
      </c>
      <c r="CL105" s="21">
        <f>EXP(-LN(2)/25)*CL104+(1-EXP(-LN(2)/25))/(LN(2)/25)*Calculateur!CG105*Calculateur!CI105*VLOOKUP('Données projet'!$B$12,Paramètres!$A$1:$I$89,3,0)*0.475*44/12</f>
        <v>4.0999273543703882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33.063612259726831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1.7053025658242404E-13</v>
      </c>
      <c r="CU105" s="17">
        <f>CT105*VLOOKUP('Données projet'!$B$13,Paramètres!$A$1:$I$89,3,0)*VLOOKUP('Données projet'!$B$13,Paramètres!$A$1:$I$89,5,0)</f>
        <v>1.3301360013429075E-13</v>
      </c>
      <c r="CV105" s="13">
        <f t="shared" si="95"/>
        <v>1.9329766731057041E-12</v>
      </c>
      <c r="CW105" s="20">
        <f t="shared" si="67"/>
        <v>3.5982663925596575E-12</v>
      </c>
      <c r="CX105" s="59">
        <f t="shared" si="68"/>
        <v>277.95193607498652</v>
      </c>
      <c r="CY105" s="59">
        <f ca="1">AVERAGE(OFFSET($CX$3,0,0,'Données projet'!$E$13+1,1))-AVERAGE(OFFSET($H$3,0,0,'Données projet'!$E$13+1,1))</f>
        <v>308.82719216177946</v>
      </c>
      <c r="CZ105" s="59">
        <f t="shared" si="96"/>
        <v>302.59481222418219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42.205855249381003</v>
      </c>
      <c r="DG105" s="21">
        <f>EXP(-LN(2)/25)*DG104+(1-EXP(-LN(2)/25))/(LN(2)/25)*Calculateur!DB105*Calculateur!DD105*VLOOKUP('Données projet'!$B$13,Paramètres!$A$1:$I$89,3,0)*0.475*44/12</f>
        <v>27.320304148793188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69.526159398174187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304.99999999999983</v>
      </c>
      <c r="DP105" s="17">
        <f>DO105*VLOOKUP('Données projet'!$B$14,Paramètres!$A$1:$I$89,3,0)*VLOOKUP('Données projet'!$B$14,Paramètres!$A$1:$I$89,5,0)</f>
        <v>275.96399999999983</v>
      </c>
      <c r="DQ105" s="13">
        <f t="shared" si="97"/>
        <v>66.113366665488854</v>
      </c>
      <c r="DR105" s="20">
        <f t="shared" si="70"/>
        <v>595.78474694239264</v>
      </c>
      <c r="DS105" s="59">
        <f t="shared" si="71"/>
        <v>873.73668301737553</v>
      </c>
      <c r="DT105" s="59">
        <f ca="1">AVERAGE(OFFSET($DS$3,0,0,'Données projet'!$E$14+1,1))-AVERAGE(OFFSET($H$3,0,0,'Données projet'!$E$14+1,1))</f>
        <v>376.51107072413777</v>
      </c>
      <c r="DU105" s="59">
        <f t="shared" si="98"/>
        <v>532.90758914457615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0.38837505567863562</v>
      </c>
      <c r="EB105" s="21">
        <f>EXP(-LN(2)/25)*EB104+(1-EXP(-LN(2)/25))/(LN(2)/25)*Calculateur!DW105*Calculateur!DY105*VLOOKUP('Données projet'!$B$14,Paramètres!$A$1:$I$89,3,0)*0.475*44/12</f>
        <v>1.0029210277578766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1.3912960834365122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-1.7053025658242404E-13</v>
      </c>
      <c r="EK105" s="17">
        <f>EJ105*VLOOKUP('Données projet'!$B$15,Paramètres!$A$1:$I$89,3,0)*VLOOKUP('Données projet'!$B$15,Paramètres!$A$1:$I$89,5,0)</f>
        <v>-1.0197709343628959E-13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337.99164391755608</v>
      </c>
      <c r="EP105" s="59">
        <f t="shared" si="100"/>
        <v>421.45428231923393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65.485148069998615</v>
      </c>
      <c r="EW105" s="21">
        <f>EXP(-LN(2)/25)*EW104+(1-EXP(-LN(2)/25))/(LN(2)/25)*Calculateur!ER105*Calculateur!ET105*VLOOKUP('Données projet'!$B$15,Paramètres!$A$1:$I$89,3,0)*0.475*44/12</f>
        <v>12.346184210036446</v>
      </c>
      <c r="EX105" s="21">
        <f>EXP(-LN(2)/2)*EX104+(1-EXP(-LN(2)/2))/(LN(2)/2)*ER105*EU105*VLOOKUP('Données projet'!$B$15,Paramètres!$A$1:$I$89,3,0)*0.475*44/12</f>
        <v>4.8168147734176553E-6</v>
      </c>
      <c r="EY105" s="22">
        <f t="shared" si="75"/>
        <v>77.831337096849836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>
        <f>VLOOKUP(A106,'Données projet'!$A$35:$I$55,2,0)</f>
        <v>234.76923076923077</v>
      </c>
      <c r="L106" s="12">
        <f>VLOOKUP(A106,'Données projet'!$A$35:$I$55,9,0)</f>
        <v>5.2583333333333373</v>
      </c>
      <c r="M106" s="12">
        <f t="array" ref="M106">INDEX(L:L,MIN(IF(ISNUMBER(L106:L302),ROW(L106:L302),"")))</f>
        <v>5.2583333333333373</v>
      </c>
      <c r="N106" s="13">
        <f>IF('Données projet'!$A$36&gt;35,N105+M106-V105,IF(A106&lt;'Données projet'!$A$36,$K$205^A106,IF(A106='Données projet'!$A$36,'Données projet'!$B$36,N105+M106-V105)))</f>
        <v>234.76923076923046</v>
      </c>
      <c r="O106" s="13">
        <f>N106*VLOOKUP('Données projet'!$B$9,Paramètres!$A$1:$I$89,3,0)*VLOOKUP('Données projet'!$B$9,Paramètres!$A$1:$I$89,5,0)</f>
        <v>212.41919999999973</v>
      </c>
      <c r="P106" s="13">
        <f t="shared" si="87"/>
        <v>52.463888829926184</v>
      </c>
      <c r="Q106" s="20">
        <f t="shared" si="107"/>
        <v>461.33804637878757</v>
      </c>
      <c r="R106" s="59">
        <f t="shared" si="55"/>
        <v>739.55681530855031</v>
      </c>
      <c r="S106" s="59">
        <f ca="1">AVERAGE(OFFSET($R$3,0,0,'Données projet'!$E$9+1,1))-AVERAGE(OFFSET($H$3,0,0,'Données projet'!$E$9+1,1))</f>
        <v>388.1278150896951</v>
      </c>
      <c r="T106" s="59">
        <f t="shared" si="88"/>
        <v>232.26614607059227</v>
      </c>
      <c r="U106" s="15">
        <f>IF(ISNA(VLOOKUP(A106,'Données projet'!$A$35:$I$55,3,0)),0,VLOOKUP(A106,'Données projet'!$A$35:$I$55,3,0))</f>
        <v>8</v>
      </c>
      <c r="V106" s="15">
        <f>IF(ISNA(VLOOKUP(A106,'Données projet'!$A$35:$I$55,4,0)),0,VLOOKUP(A106,'Données projet'!$A$35:$I$55,4,0))</f>
        <v>39.512820512820511</v>
      </c>
      <c r="W106" s="16">
        <f>IF(ISNA(VLOOKUP(A106,'Données projet'!$A$35:$I$55,5,0)),0%,VLOOKUP(A106,'Données projet'!$A$35:$I$55,5,0)*VLOOKUP('Données projet'!$B$9,Paramètres!$A$1:$I$89,7,0))</f>
        <v>0.30099999999999999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31.922285938379908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31.922285938379908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>
        <f>VLOOKUP(A106,'Données projet'!$A$61:$I$81,2,0)</f>
        <v>234.76923076923077</v>
      </c>
      <c r="AG106" s="12">
        <f>VLOOKUP(A106,'Données projet'!$A$61:$I$81,9,0)</f>
        <v>5.2583333333333373</v>
      </c>
      <c r="AH106" s="12">
        <f t="array" ref="AH106">INDEX(AG:AG,MIN(IF(ISNUMBER(AG106:AG302),ROW(AG106:AG302),"")))</f>
        <v>5.2583333333333373</v>
      </c>
      <c r="AI106" s="13">
        <f>IF('Données projet'!$A$62&gt;35,AI105+AH106-AQ105,IF(A106&lt;'Données projet'!$A$62,$AF$205^A106,IF(A106='Données projet'!$A$62,'Données projet'!$B$62,AI105+AH106-AQ105)))</f>
        <v>234.76923076923046</v>
      </c>
      <c r="AJ106" s="13">
        <f>AI106*VLOOKUP('Données projet'!$B$10,Paramètres!$A$1:$I$89,3,0)*VLOOKUP('Données projet'!$B$10,Paramètres!$A$1:$I$89,5,0)</f>
        <v>238.0559999999997</v>
      </c>
      <c r="AK106" s="13">
        <f t="shared" si="89"/>
        <v>58.021071638689058</v>
      </c>
      <c r="AL106" s="20">
        <f t="shared" si="58"/>
        <v>515.6675664373829</v>
      </c>
      <c r="AM106" s="59">
        <f t="shared" si="59"/>
        <v>793.88633536714565</v>
      </c>
      <c r="AN106" s="59">
        <f ca="1">AVERAGE(OFFSET($AM$3,0,0,'Données projet'!$E$10+1,1))-AVERAGE(OFFSET($H$3,0,0,'Données projet'!$E$10+1,1))</f>
        <v>424.89201140676084</v>
      </c>
      <c r="AO106" s="59">
        <f t="shared" si="90"/>
        <v>253.0016648946303</v>
      </c>
      <c r="AP106" s="15">
        <f>IF(ISNA(VLOOKUP(A106,'Données projet'!$A$61:$I$81,3,0)),0,VLOOKUP(A106,'Données projet'!$A$61:$I$81,3,0))</f>
        <v>8</v>
      </c>
      <c r="AQ106" s="15">
        <f>IF(ISNA(VLOOKUP(A106,'Données projet'!$A$61:$I$81,4,0)),0,VLOOKUP(A106,'Données projet'!$A$61:$I$81,4,0))</f>
        <v>39.512820512820511</v>
      </c>
      <c r="AR106" s="16">
        <f>IF(ISNA(VLOOKUP(A106,'Données projet'!$A$61:$I$81,5,0)),0%,VLOOKUP(A106,'Données projet'!$A$61:$I$81,5,0)*VLOOKUP('Données projet'!$B$10,Paramètres!$A$1:$I$89,7,0))</f>
        <v>0.30099999999999999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35.774975620598163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35.774975620598163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>
        <f>VLOOKUP(A106,'Données projet'!$A$87:$I$107,2,0)</f>
        <v>234.76923076923077</v>
      </c>
      <c r="BB106" s="12">
        <f>VLOOKUP(A106,'Données projet'!$A$87:$I$107,9,0)</f>
        <v>5.2583333333333373</v>
      </c>
      <c r="BC106" s="12">
        <f t="array" ref="BC106">INDEX(BB:BB,MIN(IF(ISNUMBER(BB106:BB302),ROW(BB106:BB302),"")))</f>
        <v>5.2583333333333373</v>
      </c>
      <c r="BD106" s="12">
        <f>IF('Données projet'!$A$88&gt;35,BD105+BC106-BL105,IF(A106&lt;'Données projet'!$A$88,$BA$205^A106,IF(A106='Données projet'!$A$88,'Données projet'!$B$88,BD105+BC106-BL105)))</f>
        <v>234.76923076923046</v>
      </c>
      <c r="BE106" s="13">
        <f>BD106*VLOOKUP('Données projet'!$B$11,Paramètres!$A$1:$I$89,3,0)*VLOOKUP('Données projet'!$B$11,Paramètres!$A$1:$I$89,5,0)</f>
        <v>223.40639999999971</v>
      </c>
      <c r="BF106" s="13">
        <f t="shared" si="91"/>
        <v>54.854586565845779</v>
      </c>
      <c r="BG106" s="20">
        <f t="shared" si="61"/>
        <v>484.63788493551419</v>
      </c>
      <c r="BH106" s="59">
        <f t="shared" si="62"/>
        <v>762.85665386527694</v>
      </c>
      <c r="BI106" s="59">
        <f ca="1">AVERAGE(OFFSET($BH$3,0,0,'Données projet'!$E$11+1,1))-AVERAGE(OFFSET($H$3,0,0,'Données projet'!$E$11+1,1))</f>
        <v>403.89478276355294</v>
      </c>
      <c r="BJ106" s="59">
        <f t="shared" si="92"/>
        <v>241.1593989733278</v>
      </c>
      <c r="BK106" s="15">
        <f>IF(ISNA(VLOOKUP(A106,'Données projet'!$A$87:$I$107,3,0)),0,VLOOKUP(A106,'Données projet'!$A$87:$I$107,3,0))</f>
        <v>8</v>
      </c>
      <c r="BL106" s="15">
        <f>IF(ISNA(VLOOKUP(A106,'Données projet'!$A$87:$I$107,4,0)),0,VLOOKUP(A106,'Données projet'!$A$87:$I$107,4,0))</f>
        <v>39.512820512820511</v>
      </c>
      <c r="BM106" s="16">
        <f>IF(ISNA(VLOOKUP(A106,'Données projet'!$A$87:$I$107,5,0)),0%,VLOOKUP(A106,'Données projet'!$A$87:$I$107,5,0)*VLOOKUP('Données projet'!$B$11,Paramètres!$A$1:$I$89,7,0))</f>
        <v>0.30099999999999999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33.573438659330591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33.573438659330591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319</v>
      </c>
      <c r="BZ106" s="13">
        <f>BY106*VLOOKUP('Données projet'!$B$12,Paramètres!$A$1:$I$89,3,0)*VLOOKUP('Données projet'!$B$12,Paramètres!$A$1:$I$89,5,0)</f>
        <v>253.79640000000001</v>
      </c>
      <c r="CA106" s="13">
        <f t="shared" si="93"/>
        <v>61.39816832228076</v>
      </c>
      <c r="CB106" s="20">
        <f t="shared" si="64"/>
        <v>548.96387316130563</v>
      </c>
      <c r="CC106" s="59">
        <f t="shared" si="65"/>
        <v>827.18264209106837</v>
      </c>
      <c r="CD106" s="59">
        <f ca="1">AVERAGE(OFFSET($CC$3,0,0,'Données projet'!$E$12+1,1))-AVERAGE(OFFSET($H$3,0,0,'Données projet'!$E$12+1,1))</f>
        <v>377.27600411578322</v>
      </c>
      <c r="CE106" s="59">
        <f t="shared" si="94"/>
        <v>364.58250627635425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28.395724710465814</v>
      </c>
      <c r="CL106" s="21">
        <f>EXP(-LN(2)/25)*CL105+(1-EXP(-LN(2)/25))/(LN(2)/25)*Calculateur!CG106*Calculateur!CI106*VLOOKUP('Données projet'!$B$12,Paramètres!$A$1:$I$89,3,0)*0.475*44/12</f>
        <v>3.987814625259321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32.383539335725132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1.7053025658242404E-13</v>
      </c>
      <c r="CU106" s="17">
        <f>CT106*VLOOKUP('Données projet'!$B$13,Paramètres!$A$1:$I$89,3,0)*VLOOKUP('Données projet'!$B$13,Paramètres!$A$1:$I$89,5,0)</f>
        <v>1.3301360013429075E-13</v>
      </c>
      <c r="CV106" s="13">
        <f t="shared" si="95"/>
        <v>1.9329766731057041E-12</v>
      </c>
      <c r="CW106" s="20">
        <f t="shared" si="67"/>
        <v>3.5982663925596575E-12</v>
      </c>
      <c r="CX106" s="59">
        <f t="shared" si="68"/>
        <v>278.21876892976627</v>
      </c>
      <c r="CY106" s="59">
        <f ca="1">AVERAGE(OFFSET($CX$3,0,0,'Données projet'!$E$13+1,1))-AVERAGE(OFFSET($H$3,0,0,'Données projet'!$E$13+1,1))</f>
        <v>308.82719216177946</v>
      </c>
      <c r="CZ106" s="59">
        <f t="shared" si="96"/>
        <v>302.59481222418219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41.378224170970434</v>
      </c>
      <c r="DG106" s="21">
        <f>EXP(-LN(2)/25)*DG105+(1-EXP(-LN(2)/25))/(LN(2)/25)*Calculateur!DB106*Calculateur!DD106*VLOOKUP('Données projet'!$B$13,Paramètres!$A$1:$I$89,3,0)*0.475*44/12</f>
        <v>26.573228995132084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67.95145316610251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304.99999999999983</v>
      </c>
      <c r="DP106" s="17">
        <f>DO106*VLOOKUP('Données projet'!$B$14,Paramètres!$A$1:$I$89,3,0)*VLOOKUP('Données projet'!$B$14,Paramètres!$A$1:$I$89,5,0)</f>
        <v>275.96399999999983</v>
      </c>
      <c r="DQ106" s="13">
        <f t="shared" si="97"/>
        <v>66.113366665488854</v>
      </c>
      <c r="DR106" s="20">
        <f t="shared" si="70"/>
        <v>595.78474694239264</v>
      </c>
      <c r="DS106" s="59">
        <f t="shared" si="71"/>
        <v>874.00351587215528</v>
      </c>
      <c r="DT106" s="59">
        <f ca="1">AVERAGE(OFFSET($DS$3,0,0,'Données projet'!$E$14+1,1))-AVERAGE(OFFSET($H$3,0,0,'Données projet'!$E$14+1,1))</f>
        <v>376.51107072413777</v>
      </c>
      <c r="DU106" s="59">
        <f t="shared" si="98"/>
        <v>532.90758914457615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0.38075925772217106</v>
      </c>
      <c r="EB106" s="21">
        <f>EXP(-LN(2)/25)*EB105+(1-EXP(-LN(2)/25))/(LN(2)/25)*Calculateur!DW106*Calculateur!DY106*VLOOKUP('Données projet'!$B$14,Paramètres!$A$1:$I$89,3,0)*0.475*44/12</f>
        <v>0.97549609951251282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1.3562553572346838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-1.7053025658242404E-13</v>
      </c>
      <c r="EK106" s="17">
        <f>EJ106*VLOOKUP('Données projet'!$B$15,Paramètres!$A$1:$I$89,3,0)*VLOOKUP('Données projet'!$B$15,Paramètres!$A$1:$I$89,5,0)</f>
        <v>-1.0197709343628959E-13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337.99164391755608</v>
      </c>
      <c r="EP106" s="59">
        <f t="shared" si="100"/>
        <v>421.45428231923393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64.201024258342315</v>
      </c>
      <c r="EW106" s="21">
        <f>EXP(-LN(2)/25)*EW105+(1-EXP(-LN(2)/25))/(LN(2)/25)*Calculateur!ER106*Calculateur!ET106*VLOOKUP('Données projet'!$B$15,Paramètres!$A$1:$I$89,3,0)*0.475*44/12</f>
        <v>12.00857715355539</v>
      </c>
      <c r="EX106" s="21">
        <f>EXP(-LN(2)/2)*EX105+(1-EXP(-LN(2)/2))/(LN(2)/2)*ER106*EU106*VLOOKUP('Données projet'!$B$15,Paramètres!$A$1:$I$89,3,0)*0.475*44/12</f>
        <v>3.4060023900031676E-6</v>
      </c>
      <c r="EY106" s="22">
        <f t="shared" si="75"/>
        <v>76.2096048179001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5.0961538461538449</v>
      </c>
      <c r="N107" s="13">
        <f>IF('Données projet'!$A$36&gt;35,N106+M107-V106,IF(A107&lt;'Données projet'!$A$36,$K$205^A107,IF(A107='Données projet'!$A$36,'Données projet'!$B$36,N106+M107-V106)))</f>
        <v>200.3525641025638</v>
      </c>
      <c r="O107" s="13">
        <f>N107*VLOOKUP('Données projet'!$B$9,Paramètres!$A$1:$I$89,3,0)*VLOOKUP('Données projet'!$B$9,Paramètres!$A$1:$I$89,5,0)</f>
        <v>181.27899999999974</v>
      </c>
      <c r="P107" s="13">
        <f t="shared" si="87"/>
        <v>45.606622736998297</v>
      </c>
      <c r="Q107" s="20">
        <f t="shared" si="107"/>
        <v>395.15912626693824</v>
      </c>
      <c r="R107" s="59">
        <f t="shared" si="55"/>
        <v>673.64009909799915</v>
      </c>
      <c r="S107" s="59">
        <f ca="1">AVERAGE(OFFSET($R$3,0,0,'Données projet'!$E$9+1,1))-AVERAGE(OFFSET($H$3,0,0,'Données projet'!$E$9+1,1))</f>
        <v>388.1278150896951</v>
      </c>
      <c r="T107" s="59">
        <f t="shared" si="88"/>
        <v>232.26614607059227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31.296309381800132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31.296309381800132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5.0961538461538449</v>
      </c>
      <c r="AI107" s="13">
        <f>IF('Données projet'!$A$62&gt;35,AI106+AH107-AQ106,IF(A107&lt;'Données projet'!$A$62,$AF$205^A107,IF(A107='Données projet'!$A$62,'Données projet'!$B$62,AI106+AH107-AQ106)))</f>
        <v>200.3525641025638</v>
      </c>
      <c r="AJ107" s="13">
        <f>AI107*VLOOKUP('Données projet'!$B$10,Paramètres!$A$1:$I$89,3,0)*VLOOKUP('Données projet'!$B$10,Paramètres!$A$1:$I$89,5,0)</f>
        <v>203.15749999999971</v>
      </c>
      <c r="AK107" s="13">
        <f t="shared" si="89"/>
        <v>50.437456773365234</v>
      </c>
      <c r="AL107" s="20">
        <f t="shared" si="58"/>
        <v>441.67788304694392</v>
      </c>
      <c r="AM107" s="59">
        <f t="shared" si="59"/>
        <v>720.15885587800483</v>
      </c>
      <c r="AN107" s="59">
        <f ca="1">AVERAGE(OFFSET($AM$3,0,0,'Données projet'!$E$10+1,1))-AVERAGE(OFFSET($H$3,0,0,'Données projet'!$E$10+1,1))</f>
        <v>424.89201140676084</v>
      </c>
      <c r="AO107" s="59">
        <f t="shared" si="90"/>
        <v>253.0016648946303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35.073450169258756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35.073450169258756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5.0961538461538449</v>
      </c>
      <c r="BD107" s="12">
        <f>IF('Données projet'!$A$88&gt;35,BD106+BC107-BL106,IF(A107&lt;'Données projet'!$A$88,$BA$205^A107,IF(A107='Données projet'!$A$88,'Données projet'!$B$88,BD106+BC107-BL106)))</f>
        <v>200.3525641025638</v>
      </c>
      <c r="BE107" s="13">
        <f>BD107*VLOOKUP('Données projet'!$B$11,Paramètres!$A$1:$I$89,3,0)*VLOOKUP('Données projet'!$B$11,Paramètres!$A$1:$I$89,5,0)</f>
        <v>190.65549999999971</v>
      </c>
      <c r="BF107" s="13">
        <f t="shared" si="91"/>
        <v>47.684845532752689</v>
      </c>
      <c r="BG107" s="20">
        <f t="shared" si="61"/>
        <v>415.10943513621038</v>
      </c>
      <c r="BH107" s="59">
        <f t="shared" si="62"/>
        <v>693.59040796727129</v>
      </c>
      <c r="BI107" s="59">
        <f ca="1">AVERAGE(OFFSET($BH$3,0,0,'Données projet'!$E$11+1,1))-AVERAGE(OFFSET($H$3,0,0,'Données projet'!$E$11+1,1))</f>
        <v>403.89478276355294</v>
      </c>
      <c r="BJ107" s="59">
        <f t="shared" si="92"/>
        <v>241.1593989733278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32.915084004996686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32.915084004996686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319</v>
      </c>
      <c r="BZ107" s="13">
        <f>BY107*VLOOKUP('Données projet'!$B$12,Paramètres!$A$1:$I$89,3,0)*VLOOKUP('Données projet'!$B$12,Paramètres!$A$1:$I$89,5,0)</f>
        <v>253.79640000000001</v>
      </c>
      <c r="CA107" s="13">
        <f t="shared" si="93"/>
        <v>61.39816832228076</v>
      </c>
      <c r="CB107" s="20">
        <f t="shared" si="64"/>
        <v>548.96387316130563</v>
      </c>
      <c r="CC107" s="59">
        <f t="shared" si="65"/>
        <v>827.44484599236648</v>
      </c>
      <c r="CD107" s="59">
        <f ca="1">AVERAGE(OFFSET($CC$3,0,0,'Données projet'!$E$12+1,1))-AVERAGE(OFFSET($H$3,0,0,'Données projet'!$E$12+1,1))</f>
        <v>377.27600411578322</v>
      </c>
      <c r="CE107" s="59">
        <f t="shared" si="94"/>
        <v>364.58250627635425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27.838901868575476</v>
      </c>
      <c r="CL107" s="21">
        <f>EXP(-LN(2)/25)*CL106+(1-EXP(-LN(2)/25))/(LN(2)/25)*Calculateur!CG107*Calculateur!CI107*VLOOKUP('Données projet'!$B$12,Paramètres!$A$1:$I$89,3,0)*0.475*44/12</f>
        <v>3.8787676246215481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31.717669493197025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1.7053025658242404E-13</v>
      </c>
      <c r="CU107" s="17">
        <f>CT107*VLOOKUP('Données projet'!$B$13,Paramètres!$A$1:$I$89,3,0)*VLOOKUP('Données projet'!$B$13,Paramètres!$A$1:$I$89,5,0)</f>
        <v>1.3301360013429075E-13</v>
      </c>
      <c r="CV107" s="13">
        <f t="shared" si="95"/>
        <v>1.9329766731057041E-12</v>
      </c>
      <c r="CW107" s="20">
        <f t="shared" si="67"/>
        <v>3.5982663925596575E-12</v>
      </c>
      <c r="CX107" s="59">
        <f t="shared" si="68"/>
        <v>278.48097283106449</v>
      </c>
      <c r="CY107" s="59">
        <f ca="1">AVERAGE(OFFSET($CX$3,0,0,'Données projet'!$E$13+1,1))-AVERAGE(OFFSET($H$3,0,0,'Données projet'!$E$13+1,1))</f>
        <v>308.82719216177946</v>
      </c>
      <c r="CZ107" s="59">
        <f t="shared" si="96"/>
        <v>302.59481222418219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40.566822433202383</v>
      </c>
      <c r="DG107" s="21">
        <f>EXP(-LN(2)/25)*DG106+(1-EXP(-LN(2)/25))/(LN(2)/25)*Calculateur!DB107*Calculateur!DD107*VLOOKUP('Données projet'!$B$13,Paramètres!$A$1:$I$89,3,0)*0.475*44/12</f>
        <v>25.846582650834819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66.413405084037208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304.99999999999983</v>
      </c>
      <c r="DP107" s="17">
        <f>DO107*VLOOKUP('Données projet'!$B$14,Paramètres!$A$1:$I$89,3,0)*VLOOKUP('Données projet'!$B$14,Paramètres!$A$1:$I$89,5,0)</f>
        <v>275.96399999999983</v>
      </c>
      <c r="DQ107" s="13">
        <f t="shared" si="97"/>
        <v>66.113366665488854</v>
      </c>
      <c r="DR107" s="20">
        <f t="shared" si="70"/>
        <v>595.78474694239264</v>
      </c>
      <c r="DS107" s="59">
        <f t="shared" si="71"/>
        <v>874.26571977345361</v>
      </c>
      <c r="DT107" s="59">
        <f ca="1">AVERAGE(OFFSET($DS$3,0,0,'Données projet'!$E$14+1,1))-AVERAGE(OFFSET($H$3,0,0,'Données projet'!$E$14+1,1))</f>
        <v>376.51107072413777</v>
      </c>
      <c r="DU107" s="59">
        <f t="shared" si="98"/>
        <v>532.90758914457615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0.37329280091845468</v>
      </c>
      <c r="EB107" s="21">
        <f>EXP(-LN(2)/25)*EB106+(1-EXP(-LN(2)/25))/(LN(2)/25)*Calculateur!DW107*Calculateur!DY107*VLOOKUP('Données projet'!$B$14,Paramètres!$A$1:$I$89,3,0)*0.475*44/12</f>
        <v>0.9488211073722328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1.3221139082906874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-1.7053025658242404E-13</v>
      </c>
      <c r="EK107" s="17">
        <f>EJ107*VLOOKUP('Données projet'!$B$15,Paramètres!$A$1:$I$89,3,0)*VLOOKUP('Données projet'!$B$15,Paramètres!$A$1:$I$89,5,0)</f>
        <v>-1.0197709343628959E-13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337.99164391755608</v>
      </c>
      <c r="EP107" s="59">
        <f t="shared" si="100"/>
        <v>421.45428231923393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62.942081331394412</v>
      </c>
      <c r="EW107" s="21">
        <f>EXP(-LN(2)/25)*EW106+(1-EXP(-LN(2)/25))/(LN(2)/25)*Calculateur!ER107*Calculateur!ET107*VLOOKUP('Données projet'!$B$15,Paramètres!$A$1:$I$89,3,0)*0.475*44/12</f>
        <v>11.680201979787791</v>
      </c>
      <c r="EX107" s="21">
        <f>EXP(-LN(2)/2)*EX106+(1-EXP(-LN(2)/2))/(LN(2)/2)*ER107*EU107*VLOOKUP('Données projet'!$B$15,Paramètres!$A$1:$I$89,3,0)*0.475*44/12</f>
        <v>2.4084073867088277E-6</v>
      </c>
      <c r="EY107" s="22">
        <f t="shared" si="75"/>
        <v>74.622285719589584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5.0961538461538449</v>
      </c>
      <c r="N108" s="13">
        <f>IF('Données projet'!$A$36&gt;35,N107+M108-V107,IF(A108&lt;'Données projet'!$A$36,$K$205^A108,IF(A108='Données projet'!$A$36,'Données projet'!$B$36,N107+M108-V107)))</f>
        <v>205.44871794871764</v>
      </c>
      <c r="O108" s="13">
        <f>N108*VLOOKUP('Données projet'!$B$9,Paramètres!$A$1:$I$89,3,0)*VLOOKUP('Données projet'!$B$9,Paramètres!$A$1:$I$89,5,0)</f>
        <v>185.8899999999997</v>
      </c>
      <c r="P108" s="13">
        <f t="shared" si="87"/>
        <v>46.630136922287527</v>
      </c>
      <c r="Q108" s="20">
        <f t="shared" si="107"/>
        <v>404.97257180631692</v>
      </c>
      <c r="R108" s="59">
        <f t="shared" si="55"/>
        <v>683.71119988718874</v>
      </c>
      <c r="S108" s="59">
        <f ca="1">AVERAGE(OFFSET($R$3,0,0,'Données projet'!$E$9+1,1))-AVERAGE(OFFSET($H$3,0,0,'Données projet'!$E$9+1,1))</f>
        <v>388.1278150896951</v>
      </c>
      <c r="T108" s="59">
        <f t="shared" si="88"/>
        <v>232.26614607059227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30.682607843686885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30.682607843686885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5.0961538461538449</v>
      </c>
      <c r="AI108" s="13">
        <f>IF('Données projet'!$A$62&gt;35,AI107+AH108-AQ107,IF(A108&lt;'Données projet'!$A$62,$AF$205^A108,IF(A108='Données projet'!$A$62,'Données projet'!$B$62,AI107+AH108-AQ107)))</f>
        <v>205.44871794871764</v>
      </c>
      <c r="AJ108" s="13">
        <f>AI108*VLOOKUP('Données projet'!$B$10,Paramètres!$A$1:$I$89,3,0)*VLOOKUP('Données projet'!$B$10,Paramètres!$A$1:$I$89,5,0)</f>
        <v>208.32499999999973</v>
      </c>
      <c r="AK108" s="13">
        <f t="shared" si="89"/>
        <v>51.569385633240543</v>
      </c>
      <c r="AL108" s="20">
        <f t="shared" si="58"/>
        <v>452.64938831122686</v>
      </c>
      <c r="AM108" s="59">
        <f t="shared" si="59"/>
        <v>731.38801639209862</v>
      </c>
      <c r="AN108" s="59">
        <f ca="1">AVERAGE(OFFSET($AM$3,0,0,'Données projet'!$E$10+1,1))-AVERAGE(OFFSET($H$3,0,0,'Données projet'!$E$10+1,1))</f>
        <v>424.89201140676084</v>
      </c>
      <c r="AO108" s="59">
        <f t="shared" si="90"/>
        <v>253.0016648946303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34.385681204131842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34.385681204131842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5.0961538461538449</v>
      </c>
      <c r="BD108" s="12">
        <f>IF('Données projet'!$A$88&gt;35,BD107+BC108-BL107,IF(A108&lt;'Données projet'!$A$88,$BA$205^A108,IF(A108='Données projet'!$A$88,'Données projet'!$B$88,BD107+BC108-BL107)))</f>
        <v>205.44871794871764</v>
      </c>
      <c r="BE108" s="13">
        <f>BD108*VLOOKUP('Données projet'!$B$11,Paramètres!$A$1:$I$89,3,0)*VLOOKUP('Données projet'!$B$11,Paramètres!$A$1:$I$89,5,0)</f>
        <v>195.50499999999971</v>
      </c>
      <c r="BF108" s="13">
        <f t="shared" si="91"/>
        <v>48.754999666014264</v>
      </c>
      <c r="BG108" s="20">
        <f t="shared" si="61"/>
        <v>425.41949941830768</v>
      </c>
      <c r="BH108" s="59">
        <f t="shared" si="62"/>
        <v>704.1581274991795</v>
      </c>
      <c r="BI108" s="59">
        <f ca="1">AVERAGE(OFFSET($BH$3,0,0,'Données projet'!$E$11+1,1))-AVERAGE(OFFSET($H$3,0,0,'Données projet'!$E$11+1,1))</f>
        <v>403.89478276355294</v>
      </c>
      <c r="BJ108" s="59">
        <f t="shared" si="92"/>
        <v>241.1593989733278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32.269639283877581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32.269639283877581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319</v>
      </c>
      <c r="BZ108" s="13">
        <f>BY108*VLOOKUP('Données projet'!$B$12,Paramètres!$A$1:$I$89,3,0)*VLOOKUP('Données projet'!$B$12,Paramètres!$A$1:$I$89,5,0)</f>
        <v>253.79640000000001</v>
      </c>
      <c r="CA108" s="13">
        <f t="shared" si="93"/>
        <v>61.39816832228076</v>
      </c>
      <c r="CB108" s="20">
        <f t="shared" si="64"/>
        <v>548.96387316130563</v>
      </c>
      <c r="CC108" s="59">
        <f t="shared" si="65"/>
        <v>827.70250124217739</v>
      </c>
      <c r="CD108" s="59">
        <f ca="1">AVERAGE(OFFSET($CC$3,0,0,'Données projet'!$E$12+1,1))-AVERAGE(OFFSET($H$3,0,0,'Données projet'!$E$12+1,1))</f>
        <v>377.27600411578322</v>
      </c>
      <c r="CE108" s="59">
        <f t="shared" si="94"/>
        <v>364.58250627635425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27.292997982986211</v>
      </c>
      <c r="CL108" s="21">
        <f>EXP(-LN(2)/25)*CL107+(1-EXP(-LN(2)/25))/(LN(2)/25)*Calculateur!CG108*Calculateur!CI108*VLOOKUP('Données projet'!$B$12,Paramètres!$A$1:$I$89,3,0)*0.475*44/12</f>
        <v>3.7727025199507476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31.065700502936959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1.7053025658242404E-13</v>
      </c>
      <c r="CU108" s="17">
        <f>CT108*VLOOKUP('Données projet'!$B$13,Paramètres!$A$1:$I$89,3,0)*VLOOKUP('Données projet'!$B$13,Paramètres!$A$1:$I$89,5,0)</f>
        <v>1.3301360013429075E-13</v>
      </c>
      <c r="CV108" s="13">
        <f t="shared" si="95"/>
        <v>1.9329766731057041E-12</v>
      </c>
      <c r="CW108" s="20">
        <f t="shared" si="67"/>
        <v>3.5982663925596575E-12</v>
      </c>
      <c r="CX108" s="59">
        <f t="shared" si="68"/>
        <v>278.73862808087534</v>
      </c>
      <c r="CY108" s="59">
        <f ca="1">AVERAGE(OFFSET($CX$3,0,0,'Données projet'!$E$13+1,1))-AVERAGE(OFFSET($H$3,0,0,'Données projet'!$E$13+1,1))</f>
        <v>308.82719216177946</v>
      </c>
      <c r="CZ108" s="59">
        <f t="shared" si="96"/>
        <v>302.59481222418219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39.771331788605771</v>
      </c>
      <c r="DG108" s="21">
        <f>EXP(-LN(2)/25)*DG107+(1-EXP(-LN(2)/25))/(LN(2)/25)*Calculateur!DB108*Calculateur!DD108*VLOOKUP('Données projet'!$B$13,Paramètres!$A$1:$I$89,3,0)*0.475*44/12</f>
        <v>25.139806489035031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64.911138277640802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304.99999999999983</v>
      </c>
      <c r="DP108" s="17">
        <f>DO108*VLOOKUP('Données projet'!$B$14,Paramètres!$A$1:$I$89,3,0)*VLOOKUP('Données projet'!$B$14,Paramètres!$A$1:$I$89,5,0)</f>
        <v>275.96399999999983</v>
      </c>
      <c r="DQ108" s="13">
        <f t="shared" si="97"/>
        <v>66.113366665488854</v>
      </c>
      <c r="DR108" s="20">
        <f t="shared" si="70"/>
        <v>595.78474694239264</v>
      </c>
      <c r="DS108" s="59">
        <f t="shared" si="71"/>
        <v>874.52337502326441</v>
      </c>
      <c r="DT108" s="59">
        <f ca="1">AVERAGE(OFFSET($DS$3,0,0,'Données projet'!$E$14+1,1))-AVERAGE(OFFSET($H$3,0,0,'Données projet'!$E$14+1,1))</f>
        <v>376.51107072413777</v>
      </c>
      <c r="DU108" s="59">
        <f t="shared" si="98"/>
        <v>532.90758914457615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0.36597275677857022</v>
      </c>
      <c r="EB108" s="21">
        <f>EXP(-LN(2)/25)*EB107+(1-EXP(-LN(2)/25))/(LN(2)/25)*Calculateur!DW108*Calculateur!DY108*VLOOKUP('Données projet'!$B$14,Paramètres!$A$1:$I$89,3,0)*0.475*44/12</f>
        <v>0.92287554429480556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1.2888483010733758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-1.7053025658242404E-13</v>
      </c>
      <c r="EK108" s="17">
        <f>EJ108*VLOOKUP('Données projet'!$B$15,Paramètres!$A$1:$I$89,3,0)*VLOOKUP('Données projet'!$B$15,Paramètres!$A$1:$I$89,5,0)</f>
        <v>-1.0197709343628959E-13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337.99164391755608</v>
      </c>
      <c r="EP108" s="59">
        <f t="shared" si="100"/>
        <v>421.45428231923393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61.707825507364596</v>
      </c>
      <c r="EW108" s="21">
        <f>EXP(-LN(2)/25)*EW107+(1-EXP(-LN(2)/25))/(LN(2)/25)*Calculateur!ER108*Calculateur!ET108*VLOOKUP('Données projet'!$B$15,Paramètres!$A$1:$I$89,3,0)*0.475*44/12</f>
        <v>11.360806242415366</v>
      </c>
      <c r="EX108" s="21">
        <f>EXP(-LN(2)/2)*EX107+(1-EXP(-LN(2)/2))/(LN(2)/2)*ER108*EU108*VLOOKUP('Données projet'!$B$15,Paramètres!$A$1:$I$89,3,0)*0.475*44/12</f>
        <v>1.7030011950015838E-6</v>
      </c>
      <c r="EY108" s="22">
        <f t="shared" si="75"/>
        <v>73.068633452781157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5.0961538461538449</v>
      </c>
      <c r="N109" s="13">
        <f>IF('Données projet'!$A$36&gt;35,N108+M109-V108,IF(A109&lt;'Données projet'!$A$36,$K$205^A109,IF(A109='Données projet'!$A$36,'Données projet'!$B$36,N108+M109-V108)))</f>
        <v>210.54487179487148</v>
      </c>
      <c r="O109" s="13">
        <f>N109*VLOOKUP('Données projet'!$B$9,Paramètres!$A$1:$I$89,3,0)*VLOOKUP('Données projet'!$B$9,Paramètres!$A$1:$I$89,5,0)</f>
        <v>190.50099999999969</v>
      </c>
      <c r="P109" s="13">
        <f t="shared" si="87"/>
        <v>47.65069985627148</v>
      </c>
      <c r="Q109" s="20">
        <f t="shared" si="107"/>
        <v>414.78087724967219</v>
      </c>
      <c r="R109" s="59">
        <f t="shared" si="55"/>
        <v>693.77269083780129</v>
      </c>
      <c r="S109" s="59">
        <f ca="1">AVERAGE(OFFSET($R$3,0,0,'Données projet'!$E$9+1,1))-AVERAGE(OFFSET($H$3,0,0,'Données projet'!$E$9+1,1))</f>
        <v>388.1278150896951</v>
      </c>
      <c r="T109" s="59">
        <f t="shared" si="88"/>
        <v>232.26614607059227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30.080940618415063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30.080940618415063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5.0961538461538449</v>
      </c>
      <c r="AI109" s="13">
        <f>IF('Données projet'!$A$62&gt;35,AI108+AH109-AQ108,IF(A109&lt;'Données projet'!$A$62,$AF$205^A109,IF(A109='Données projet'!$A$62,'Données projet'!$B$62,AI108+AH109-AQ108)))</f>
        <v>210.54487179487148</v>
      </c>
      <c r="AJ109" s="13">
        <f>AI109*VLOOKUP('Données projet'!$B$10,Paramètres!$A$1:$I$89,3,0)*VLOOKUP('Données projet'!$B$10,Paramètres!$A$1:$I$89,5,0)</f>
        <v>213.49249999999969</v>
      </c>
      <c r="AK109" s="13">
        <f t="shared" si="89"/>
        <v>52.698050633588259</v>
      </c>
      <c r="AL109" s="20">
        <f t="shared" si="58"/>
        <v>463.61520902016565</v>
      </c>
      <c r="AM109" s="59">
        <f t="shared" si="59"/>
        <v>742.60702260829476</v>
      </c>
      <c r="AN109" s="59">
        <f ca="1">AVERAGE(OFFSET($AM$3,0,0,'Données projet'!$E$10+1,1))-AVERAGE(OFFSET($H$3,0,0,'Données projet'!$E$10+1,1))</f>
        <v>424.89201140676084</v>
      </c>
      <c r="AO109" s="59">
        <f t="shared" si="90"/>
        <v>253.0016648946303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33.711398968913421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33.711398968913421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5.0961538461538449</v>
      </c>
      <c r="BD109" s="12">
        <f>IF('Données projet'!$A$88&gt;35,BD108+BC109-BL108,IF(A109&lt;'Données projet'!$A$88,$BA$205^A109,IF(A109='Données projet'!$A$88,'Données projet'!$B$88,BD108+BC109-BL108)))</f>
        <v>210.54487179487148</v>
      </c>
      <c r="BE109" s="13">
        <f>BD109*VLOOKUP('Données projet'!$B$11,Paramètres!$A$1:$I$89,3,0)*VLOOKUP('Données projet'!$B$11,Paramètres!$A$1:$I$89,5,0)</f>
        <v>200.35449999999972</v>
      </c>
      <c r="BF109" s="13">
        <f t="shared" si="91"/>
        <v>49.822068064043179</v>
      </c>
      <c r="BG109" s="20">
        <f t="shared" si="61"/>
        <v>435.724189378208</v>
      </c>
      <c r="BH109" s="59">
        <f t="shared" si="62"/>
        <v>714.7160029663371</v>
      </c>
      <c r="BI109" s="59">
        <f ca="1">AVERAGE(OFFSET($BH$3,0,0,'Données projet'!$E$11+1,1))-AVERAGE(OFFSET($H$3,0,0,'Données projet'!$E$11+1,1))</f>
        <v>403.89478276355294</v>
      </c>
      <c r="BJ109" s="59">
        <f t="shared" si="92"/>
        <v>241.1593989733278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31.636851340057216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31.636851340057216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319</v>
      </c>
      <c r="BZ109" s="13">
        <f>BY109*VLOOKUP('Données projet'!$B$12,Paramètres!$A$1:$I$89,3,0)*VLOOKUP('Données projet'!$B$12,Paramètres!$A$1:$I$89,5,0)</f>
        <v>253.79640000000001</v>
      </c>
      <c r="CA109" s="13">
        <f t="shared" si="93"/>
        <v>61.39816832228076</v>
      </c>
      <c r="CB109" s="20">
        <f t="shared" si="64"/>
        <v>548.96387316130563</v>
      </c>
      <c r="CC109" s="59">
        <f t="shared" si="65"/>
        <v>827.95568674943479</v>
      </c>
      <c r="CD109" s="59">
        <f ca="1">AVERAGE(OFFSET($CC$3,0,0,'Données projet'!$E$12+1,1))-AVERAGE(OFFSET($H$3,0,0,'Données projet'!$E$12+1,1))</f>
        <v>377.27600411578322</v>
      </c>
      <c r="CE109" s="59">
        <f t="shared" si="94"/>
        <v>364.58250627635425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26.757798939624859</v>
      </c>
      <c r="CL109" s="21">
        <f>EXP(-LN(2)/25)*CL108+(1-EXP(-LN(2)/25))/(LN(2)/25)*Calculateur!CG109*Calculateur!CI109*VLOOKUP('Données projet'!$B$12,Paramètres!$A$1:$I$89,3,0)*0.475*44/12</f>
        <v>3.6695377711448915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30.427336710769751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1.7053025658242404E-13</v>
      </c>
      <c r="CU109" s="17">
        <f>CT109*VLOOKUP('Données projet'!$B$13,Paramètres!$A$1:$I$89,3,0)*VLOOKUP('Données projet'!$B$13,Paramètres!$A$1:$I$89,5,0)</f>
        <v>1.3301360013429075E-13</v>
      </c>
      <c r="CV109" s="13">
        <f t="shared" si="95"/>
        <v>1.9329766731057041E-12</v>
      </c>
      <c r="CW109" s="20">
        <f t="shared" si="67"/>
        <v>3.5982663925596575E-12</v>
      </c>
      <c r="CX109" s="59">
        <f t="shared" si="68"/>
        <v>278.99181358813269</v>
      </c>
      <c r="CY109" s="59">
        <f ca="1">AVERAGE(OFFSET($CX$3,0,0,'Données projet'!$E$13+1,1))-AVERAGE(OFFSET($H$3,0,0,'Données projet'!$E$13+1,1))</f>
        <v>308.82719216177946</v>
      </c>
      <c r="CZ109" s="59">
        <f t="shared" si="96"/>
        <v>302.59481222418219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38.99144023034831</v>
      </c>
      <c r="DG109" s="21">
        <f>EXP(-LN(2)/25)*DG108+(1-EXP(-LN(2)/25))/(LN(2)/25)*Calculateur!DB109*Calculateur!DD109*VLOOKUP('Données projet'!$B$13,Paramètres!$A$1:$I$89,3,0)*0.475*44/12</f>
        <v>24.452357158547404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63.443797388895717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304.99999999999983</v>
      </c>
      <c r="DP109" s="17">
        <f>DO109*VLOOKUP('Données projet'!$B$14,Paramètres!$A$1:$I$89,3,0)*VLOOKUP('Données projet'!$B$14,Paramètres!$A$1:$I$89,5,0)</f>
        <v>275.96399999999983</v>
      </c>
      <c r="DQ109" s="13">
        <f t="shared" si="97"/>
        <v>66.113366665488854</v>
      </c>
      <c r="DR109" s="20">
        <f t="shared" si="70"/>
        <v>595.78474694239264</v>
      </c>
      <c r="DS109" s="59">
        <f t="shared" si="71"/>
        <v>874.77656053052169</v>
      </c>
      <c r="DT109" s="59">
        <f ca="1">AVERAGE(OFFSET($DS$3,0,0,'Données projet'!$E$14+1,1))-AVERAGE(OFFSET($H$3,0,0,'Données projet'!$E$14+1,1))</f>
        <v>376.51107072413777</v>
      </c>
      <c r="DU109" s="59">
        <f t="shared" si="98"/>
        <v>532.90758914457615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0.3587962542394828</v>
      </c>
      <c r="EB109" s="21">
        <f>EXP(-LN(2)/25)*EB108+(1-EXP(-LN(2)/25))/(LN(2)/25)*Calculateur!DW109*Calculateur!DY109*VLOOKUP('Données projet'!$B$14,Paramètres!$A$1:$I$89,3,0)*0.475*44/12</f>
        <v>0.89763946400414851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1.2564357182436314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-1.7053025658242404E-13</v>
      </c>
      <c r="EK109" s="17">
        <f>EJ109*VLOOKUP('Données projet'!$B$15,Paramètres!$A$1:$I$89,3,0)*VLOOKUP('Données projet'!$B$15,Paramètres!$A$1:$I$89,5,0)</f>
        <v>-1.0197709343628959E-13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337.99164391755608</v>
      </c>
      <c r="EP109" s="59">
        <f t="shared" si="100"/>
        <v>421.45428231923393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60.497772687222287</v>
      </c>
      <c r="EW109" s="21">
        <f>EXP(-LN(2)/25)*EW108+(1-EXP(-LN(2)/25))/(LN(2)/25)*Calculateur!ER109*Calculateur!ET109*VLOOKUP('Données projet'!$B$15,Paramètres!$A$1:$I$89,3,0)*0.475*44/12</f>
        <v>11.050144398277682</v>
      </c>
      <c r="EX109" s="21">
        <f>EXP(-LN(2)/2)*EX108+(1-EXP(-LN(2)/2))/(LN(2)/2)*ER109*EU109*VLOOKUP('Données projet'!$B$15,Paramètres!$A$1:$I$89,3,0)*0.475*44/12</f>
        <v>1.2042036933544138E-6</v>
      </c>
      <c r="EY109" s="22">
        <f t="shared" si="75"/>
        <v>71.547918289703674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5.0961538461538449</v>
      </c>
      <c r="N110" s="13">
        <f>IF('Données projet'!$A$36&gt;35,N109+M110-V109,IF(A110&lt;'Données projet'!$A$36,$K$205^A110,IF(A110='Données projet'!$A$36,'Données projet'!$B$36,N109+M110-V109)))</f>
        <v>215.64102564102532</v>
      </c>
      <c r="O110" s="13">
        <f>N110*VLOOKUP('Données projet'!$B$9,Paramètres!$A$1:$I$89,3,0)*VLOOKUP('Données projet'!$B$9,Paramètres!$A$1:$I$89,5,0)</f>
        <v>195.11199999999971</v>
      </c>
      <c r="P110" s="13">
        <f t="shared" si="87"/>
        <v>48.668391191190658</v>
      </c>
      <c r="Q110" s="20">
        <f t="shared" si="107"/>
        <v>424.58418132465653</v>
      </c>
      <c r="R110" s="59">
        <f t="shared" si="55"/>
        <v>703.82478821753011</v>
      </c>
      <c r="S110" s="59">
        <f ca="1">AVERAGE(OFFSET($R$3,0,0,'Données projet'!$E$9+1,1))-AVERAGE(OFFSET($H$3,0,0,'Données projet'!$E$9+1,1))</f>
        <v>388.1278150896951</v>
      </c>
      <c r="T110" s="59">
        <f t="shared" si="88"/>
        <v>232.26614607059227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29.491071720450051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29.491071720450051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5.0961538461538449</v>
      </c>
      <c r="AI110" s="13">
        <f>IF('Données projet'!$A$62&gt;35,AI109+AH110-AQ109,IF(A110&lt;'Données projet'!$A$62,$AF$205^A110,IF(A110='Données projet'!$A$62,'Données projet'!$B$62,AI109+AH110-AQ109)))</f>
        <v>215.64102564102532</v>
      </c>
      <c r="AJ110" s="13">
        <f>AI110*VLOOKUP('Données projet'!$B$10,Paramètres!$A$1:$I$89,3,0)*VLOOKUP('Données projet'!$B$10,Paramètres!$A$1:$I$89,5,0)</f>
        <v>218.65999999999968</v>
      </c>
      <c r="AK110" s="13">
        <f t="shared" si="89"/>
        <v>53.823539863729678</v>
      </c>
      <c r="AL110" s="20">
        <f t="shared" si="58"/>
        <v>474.57549859599521</v>
      </c>
      <c r="AM110" s="59">
        <f t="shared" si="59"/>
        <v>753.81610548886886</v>
      </c>
      <c r="AN110" s="59">
        <f ca="1">AVERAGE(OFFSET($AM$3,0,0,'Données projet'!$E$10+1,1))-AVERAGE(OFFSET($H$3,0,0,'Données projet'!$E$10+1,1))</f>
        <v>424.89201140676084</v>
      </c>
      <c r="AO110" s="59">
        <f t="shared" si="90"/>
        <v>253.0016648946303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33.05033899705608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33.05033899705608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5.0961538461538449</v>
      </c>
      <c r="BD110" s="12">
        <f>IF('Données projet'!$A$88&gt;35,BD109+BC110-BL109,IF(A110&lt;'Données projet'!$A$88,$BA$205^A110,IF(A110='Données projet'!$A$88,'Données projet'!$B$88,BD109+BC110-BL109)))</f>
        <v>215.64102564102532</v>
      </c>
      <c r="BE110" s="13">
        <f>BD110*VLOOKUP('Données projet'!$B$11,Paramètres!$A$1:$I$89,3,0)*VLOOKUP('Données projet'!$B$11,Paramètres!$A$1:$I$89,5,0)</f>
        <v>205.2039999999997</v>
      </c>
      <c r="BF110" s="13">
        <f t="shared" si="91"/>
        <v>50.886134008708559</v>
      </c>
      <c r="BG110" s="20">
        <f t="shared" si="61"/>
        <v>446.02365006516692</v>
      </c>
      <c r="BH110" s="59">
        <f t="shared" si="62"/>
        <v>725.26425695804051</v>
      </c>
      <c r="BI110" s="59">
        <f ca="1">AVERAGE(OFFSET($BH$3,0,0,'Données projet'!$E$11+1,1))-AVERAGE(OFFSET($H$3,0,0,'Données projet'!$E$11+1,1))</f>
        <v>403.89478276355294</v>
      </c>
      <c r="BJ110" s="59">
        <f t="shared" si="92"/>
        <v>241.1593989733278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31.016471981852632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31.016471981852632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319</v>
      </c>
      <c r="BZ110" s="13">
        <f>BY110*VLOOKUP('Données projet'!$B$12,Paramètres!$A$1:$I$89,3,0)*VLOOKUP('Données projet'!$B$12,Paramètres!$A$1:$I$89,5,0)</f>
        <v>253.79640000000001</v>
      </c>
      <c r="CA110" s="13">
        <f t="shared" si="93"/>
        <v>61.39816832228076</v>
      </c>
      <c r="CB110" s="20">
        <f t="shared" si="64"/>
        <v>548.96387316130563</v>
      </c>
      <c r="CC110" s="59">
        <f t="shared" si="65"/>
        <v>828.20448005417927</v>
      </c>
      <c r="CD110" s="59">
        <f ca="1">AVERAGE(OFFSET($CC$3,0,0,'Données projet'!$E$12+1,1))-AVERAGE(OFFSET($H$3,0,0,'Données projet'!$E$12+1,1))</f>
        <v>377.27600411578322</v>
      </c>
      <c r="CE110" s="59">
        <f t="shared" si="94"/>
        <v>364.58250627635425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26.23309482306464</v>
      </c>
      <c r="CL110" s="21">
        <f>EXP(-LN(2)/25)*CL109+(1-EXP(-LN(2)/25))/(LN(2)/25)*Calculateur!CG110*Calculateur!CI110*VLOOKUP('Données projet'!$B$12,Paramètres!$A$1:$I$89,3,0)*0.475*44/12</f>
        <v>3.5691940678203298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29.80228889088497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1.7053025658242404E-13</v>
      </c>
      <c r="CU110" s="17">
        <f>CT110*VLOOKUP('Données projet'!$B$13,Paramètres!$A$1:$I$89,3,0)*VLOOKUP('Données projet'!$B$13,Paramètres!$A$1:$I$89,5,0)</f>
        <v>1.3301360013429075E-13</v>
      </c>
      <c r="CV110" s="13">
        <f t="shared" si="95"/>
        <v>1.9329766731057041E-12</v>
      </c>
      <c r="CW110" s="20">
        <f t="shared" si="67"/>
        <v>3.5982663925596575E-12</v>
      </c>
      <c r="CX110" s="59">
        <f t="shared" si="68"/>
        <v>279.24060689287722</v>
      </c>
      <c r="CY110" s="59">
        <f ca="1">AVERAGE(OFFSET($CX$3,0,0,'Données projet'!$E$13+1,1))-AVERAGE(OFFSET($H$3,0,0,'Données projet'!$E$13+1,1))</f>
        <v>308.82719216177946</v>
      </c>
      <c r="CZ110" s="59">
        <f t="shared" si="96"/>
        <v>302.59481222418219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38.226841869861403</v>
      </c>
      <c r="DG110" s="21">
        <f>EXP(-LN(2)/25)*DG109+(1-EXP(-LN(2)/25))/(LN(2)/25)*Calculateur!DB110*Calculateur!DD110*VLOOKUP('Données projet'!$B$13,Paramètres!$A$1:$I$89,3,0)*0.475*44/12</f>
        <v>23.783706166153348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62.010548036014754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304.99999999999983</v>
      </c>
      <c r="DP110" s="17">
        <f>DO110*VLOOKUP('Données projet'!$B$14,Paramètres!$A$1:$I$89,3,0)*VLOOKUP('Données projet'!$B$14,Paramètres!$A$1:$I$89,5,0)</f>
        <v>275.96399999999983</v>
      </c>
      <c r="DQ110" s="13">
        <f t="shared" si="97"/>
        <v>66.113366665488854</v>
      </c>
      <c r="DR110" s="20">
        <f t="shared" si="70"/>
        <v>595.78474694239264</v>
      </c>
      <c r="DS110" s="59">
        <f t="shared" si="71"/>
        <v>875.02535383526629</v>
      </c>
      <c r="DT110" s="59">
        <f ca="1">AVERAGE(OFFSET($DS$3,0,0,'Données projet'!$E$14+1,1))-AVERAGE(OFFSET($H$3,0,0,'Données projet'!$E$14+1,1))</f>
        <v>376.51107072413777</v>
      </c>
      <c r="DU110" s="59">
        <f t="shared" si="98"/>
        <v>532.90758914457615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0.35176047853795256</v>
      </c>
      <c r="EB110" s="21">
        <f>EXP(-LN(2)/25)*EB109+(1-EXP(-LN(2)/25))/(LN(2)/25)*Calculateur!DW110*Calculateur!DY110*VLOOKUP('Données projet'!$B$14,Paramètres!$A$1:$I$89,3,0)*0.475*44/12</f>
        <v>0.87309346565614721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1.2248539441940998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-1.7053025658242404E-13</v>
      </c>
      <c r="EK110" s="17">
        <f>EJ110*VLOOKUP('Données projet'!$B$15,Paramètres!$A$1:$I$89,3,0)*VLOOKUP('Données projet'!$B$15,Paramètres!$A$1:$I$89,5,0)</f>
        <v>-1.0197709343628959E-13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337.99164391755608</v>
      </c>
      <c r="EP110" s="59">
        <f t="shared" si="100"/>
        <v>421.45428231923393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59.311448264823625</v>
      </c>
      <c r="EW110" s="21">
        <f>EXP(-LN(2)/25)*EW109+(1-EXP(-LN(2)/25))/(LN(2)/25)*Calculateur!ER110*Calculateur!ET110*VLOOKUP('Données projet'!$B$15,Paramètres!$A$1:$I$89,3,0)*0.475*44/12</f>
        <v>10.74797761860494</v>
      </c>
      <c r="EX110" s="21">
        <f>EXP(-LN(2)/2)*EX109+(1-EXP(-LN(2)/2))/(LN(2)/2)*ER110*EU110*VLOOKUP('Données projet'!$B$15,Paramètres!$A$1:$I$89,3,0)*0.475*44/12</f>
        <v>8.5150059750079189E-7</v>
      </c>
      <c r="EY110" s="22">
        <f t="shared" si="75"/>
        <v>70.059426734929161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5.0961538461538449</v>
      </c>
      <c r="N111" s="13">
        <f>IF('Données projet'!$A$36&gt;35,N110+M111-V110,IF(A111&lt;'Données projet'!$A$36,$K$205^A111,IF(A111='Données projet'!$A$36,'Données projet'!$B$36,N110+M111-V110)))</f>
        <v>220.73717948717916</v>
      </c>
      <c r="O111" s="13">
        <f>N111*VLOOKUP('Données projet'!$B$9,Paramètres!$A$1:$I$89,3,0)*VLOOKUP('Données projet'!$B$9,Paramètres!$A$1:$I$89,5,0)</f>
        <v>199.7229999999997</v>
      </c>
      <c r="P111" s="13">
        <f t="shared" si="87"/>
        <v>49.683286599758986</v>
      </c>
      <c r="Q111" s="20">
        <f t="shared" si="107"/>
        <v>434.38261582791301</v>
      </c>
      <c r="R111" s="59">
        <f t="shared" si="55"/>
        <v>713.86770001791228</v>
      </c>
      <c r="S111" s="59">
        <f ca="1">AVERAGE(OFFSET($R$3,0,0,'Données projet'!$E$9+1,1))-AVERAGE(OFFSET($H$3,0,0,'Données projet'!$E$9+1,1))</f>
        <v>388.1278150896951</v>
      </c>
      <c r="T111" s="59">
        <f t="shared" si="88"/>
        <v>232.26614607059227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28.912769791789628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28.912769791789628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5.0961538461538449</v>
      </c>
      <c r="AI111" s="13">
        <f>IF('Données projet'!$A$62&gt;35,AI110+AH111-AQ110,IF(A111&lt;'Données projet'!$A$62,$AF$205^A111,IF(A111='Données projet'!$A$62,'Données projet'!$B$62,AI110+AH111-AQ110)))</f>
        <v>220.73717948717916</v>
      </c>
      <c r="AJ111" s="13">
        <f>AI111*VLOOKUP('Données projet'!$B$10,Paramètres!$A$1:$I$89,3,0)*VLOOKUP('Données projet'!$B$10,Paramètres!$A$1:$I$89,5,0)</f>
        <v>223.82749999999967</v>
      </c>
      <c r="AK111" s="13">
        <f t="shared" si="89"/>
        <v>54.94593701193218</v>
      </c>
      <c r="AL111" s="20">
        <f t="shared" si="58"/>
        <v>485.53040279578119</v>
      </c>
      <c r="AM111" s="59">
        <f t="shared" si="59"/>
        <v>765.01548698578051</v>
      </c>
      <c r="AN111" s="59">
        <f ca="1">AVERAGE(OFFSET($AM$3,0,0,'Données projet'!$E$10+1,1))-AVERAGE(OFFSET($H$3,0,0,'Données projet'!$E$10+1,1))</f>
        <v>424.89201140676084</v>
      </c>
      <c r="AO111" s="59">
        <f t="shared" si="90"/>
        <v>253.0016648946303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32.402242008040091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32.402242008040091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5.0961538461538449</v>
      </c>
      <c r="BD111" s="12">
        <f>IF('Données projet'!$A$88&gt;35,BD110+BC111-BL110,IF(A111&lt;'Données projet'!$A$88,$BA$205^A111,IF(A111='Données projet'!$A$88,'Données projet'!$B$88,BD110+BC111-BL110)))</f>
        <v>220.73717948717916</v>
      </c>
      <c r="BE111" s="13">
        <f>BD111*VLOOKUP('Données projet'!$B$11,Paramètres!$A$1:$I$89,3,0)*VLOOKUP('Données projet'!$B$11,Paramètres!$A$1:$I$89,5,0)</f>
        <v>210.0534999999997</v>
      </c>
      <c r="BF111" s="13">
        <f t="shared" si="91"/>
        <v>51.947276621012158</v>
      </c>
      <c r="BG111" s="20">
        <f t="shared" si="61"/>
        <v>456.3180192815957</v>
      </c>
      <c r="BH111" s="59">
        <f t="shared" si="62"/>
        <v>735.80310347159502</v>
      </c>
      <c r="BI111" s="59">
        <f ca="1">AVERAGE(OFFSET($BH$3,0,0,'Données projet'!$E$11+1,1))-AVERAGE(OFFSET($H$3,0,0,'Données projet'!$E$11+1,1))</f>
        <v>403.89478276355294</v>
      </c>
      <c r="BJ111" s="59">
        <f t="shared" si="92"/>
        <v>241.1593989733278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30.408257884468394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30.408257884468394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319</v>
      </c>
      <c r="BZ111" s="13">
        <f>BY111*VLOOKUP('Données projet'!$B$12,Paramètres!$A$1:$I$89,3,0)*VLOOKUP('Données projet'!$B$12,Paramètres!$A$1:$I$89,5,0)</f>
        <v>253.79640000000001</v>
      </c>
      <c r="CA111" s="13">
        <f t="shared" si="93"/>
        <v>61.39816832228076</v>
      </c>
      <c r="CB111" s="20">
        <f t="shared" si="64"/>
        <v>548.96387316130563</v>
      </c>
      <c r="CC111" s="59">
        <f t="shared" si="65"/>
        <v>828.4489573513049</v>
      </c>
      <c r="CD111" s="59">
        <f ca="1">AVERAGE(OFFSET($CC$3,0,0,'Données projet'!$E$12+1,1))-AVERAGE(OFFSET($H$3,0,0,'Données projet'!$E$12+1,1))</f>
        <v>377.27600411578322</v>
      </c>
      <c r="CE111" s="59">
        <f t="shared" si="94"/>
        <v>364.58250627635425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25.718679834192255</v>
      </c>
      <c r="CL111" s="21">
        <f>EXP(-LN(2)/25)*CL110+(1-EXP(-LN(2)/25))/(LN(2)/25)*Calculateur!CG111*Calculateur!CI111*VLOOKUP('Données projet'!$B$12,Paramètres!$A$1:$I$89,3,0)*0.475*44/12</f>
        <v>3.4715942683400245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29.190274102532278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1.7053025658242404E-13</v>
      </c>
      <c r="CU111" s="17">
        <f>CT111*VLOOKUP('Données projet'!$B$13,Paramètres!$A$1:$I$89,3,0)*VLOOKUP('Données projet'!$B$13,Paramètres!$A$1:$I$89,5,0)</f>
        <v>1.3301360013429075E-13</v>
      </c>
      <c r="CV111" s="13">
        <f t="shared" si="95"/>
        <v>1.9329766731057041E-12</v>
      </c>
      <c r="CW111" s="20">
        <f t="shared" si="67"/>
        <v>3.5982663925596575E-12</v>
      </c>
      <c r="CX111" s="59">
        <f t="shared" si="68"/>
        <v>279.48508419000291</v>
      </c>
      <c r="CY111" s="59">
        <f ca="1">AVERAGE(OFFSET($CX$3,0,0,'Données projet'!$E$13+1,1))-AVERAGE(OFFSET($H$3,0,0,'Données projet'!$E$13+1,1))</f>
        <v>308.82719216177946</v>
      </c>
      <c r="CZ111" s="59">
        <f t="shared" si="96"/>
        <v>302.59481222418219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37.477236816864689</v>
      </c>
      <c r="DG111" s="21">
        <f>EXP(-LN(2)/25)*DG110+(1-EXP(-LN(2)/25))/(LN(2)/25)*Calculateur!DB111*Calculateur!DD111*VLOOKUP('Données projet'!$B$13,Paramètres!$A$1:$I$89,3,0)*0.475*44/12</f>
        <v>23.133339470309135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60.610576287173828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304.99999999999983</v>
      </c>
      <c r="DP111" s="17">
        <f>DO111*VLOOKUP('Données projet'!$B$14,Paramètres!$A$1:$I$89,3,0)*VLOOKUP('Données projet'!$B$14,Paramètres!$A$1:$I$89,5,0)</f>
        <v>275.96399999999983</v>
      </c>
      <c r="DQ111" s="13">
        <f t="shared" si="97"/>
        <v>66.113366665488854</v>
      </c>
      <c r="DR111" s="20">
        <f t="shared" si="70"/>
        <v>595.78474694239264</v>
      </c>
      <c r="DS111" s="59">
        <f t="shared" si="71"/>
        <v>875.26983113239203</v>
      </c>
      <c r="DT111" s="59">
        <f ca="1">AVERAGE(OFFSET($DS$3,0,0,'Données projet'!$E$14+1,1))-AVERAGE(OFFSET($H$3,0,0,'Données projet'!$E$14+1,1))</f>
        <v>376.51107072413777</v>
      </c>
      <c r="DU111" s="59">
        <f t="shared" si="98"/>
        <v>532.90758914457615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0.34486267010652988</v>
      </c>
      <c r="EB111" s="21">
        <f>EXP(-LN(2)/25)*EB110+(1-EXP(-LN(2)/25))/(LN(2)/25)*Calculateur!DW111*Calculateur!DY111*VLOOKUP('Données projet'!$B$14,Paramètres!$A$1:$I$89,3,0)*0.475*44/12</f>
        <v>0.84921867892378999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1.1940813490303199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-1.7053025658242404E-13</v>
      </c>
      <c r="EK111" s="17">
        <f>EJ111*VLOOKUP('Données projet'!$B$15,Paramètres!$A$1:$I$89,3,0)*VLOOKUP('Données projet'!$B$15,Paramètres!$A$1:$I$89,5,0)</f>
        <v>-1.0197709343628959E-13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337.99164391755608</v>
      </c>
      <c r="EP111" s="59">
        <f t="shared" si="100"/>
        <v>421.45428231923393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58.148386940761753</v>
      </c>
      <c r="EW111" s="21">
        <f>EXP(-LN(2)/25)*EW110+(1-EXP(-LN(2)/25))/(LN(2)/25)*Calculateur!ER111*Calculateur!ET111*VLOOKUP('Données projet'!$B$15,Paramètres!$A$1:$I$89,3,0)*0.475*44/12</f>
        <v>10.45407360541261</v>
      </c>
      <c r="EX111" s="21">
        <f>EXP(-LN(2)/2)*EX110+(1-EXP(-LN(2)/2))/(LN(2)/2)*ER111*EU111*VLOOKUP('Données projet'!$B$15,Paramètres!$A$1:$I$89,3,0)*0.475*44/12</f>
        <v>6.0210184667720692E-7</v>
      </c>
      <c r="EY111" s="22">
        <f t="shared" si="75"/>
        <v>68.60246114827622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5.0961538461538449</v>
      </c>
      <c r="N112" s="13">
        <f>IF('Données projet'!$A$36&gt;35,N111+M112-V111,IF(A112&lt;'Données projet'!$A$36,$K$205^A112,IF(A112='Données projet'!$A$36,'Données projet'!$B$36,N111+M112-V111)))</f>
        <v>225.833333333333</v>
      </c>
      <c r="O112" s="13">
        <f>N112*VLOOKUP('Données projet'!$B$9,Paramètres!$A$1:$I$89,3,0)*VLOOKUP('Données projet'!$B$9,Paramètres!$A$1:$I$89,5,0)</f>
        <v>204.33399999999966</v>
      </c>
      <c r="P112" s="13">
        <f t="shared" si="87"/>
        <v>50.695458061201691</v>
      </c>
      <c r="Q112" s="20">
        <f t="shared" si="107"/>
        <v>444.17630612325894</v>
      </c>
      <c r="R112" s="59">
        <f t="shared" si="55"/>
        <v>723.90162647584816</v>
      </c>
      <c r="S112" s="59">
        <f ca="1">AVERAGE(OFFSET($R$3,0,0,'Données projet'!$E$9+1,1))-AVERAGE(OFFSET($H$3,0,0,'Données projet'!$E$9+1,1))</f>
        <v>388.1278150896951</v>
      </c>
      <c r="T112" s="59">
        <f t="shared" si="88"/>
        <v>232.26614607059227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28.345808011220889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28.345808011220889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5.0961538461538449</v>
      </c>
      <c r="AI112" s="13">
        <f>IF('Données projet'!$A$62&gt;35,AI111+AH112-AQ111,IF(A112&lt;'Données projet'!$A$62,$AF$205^A112,IF(A112='Données projet'!$A$62,'Données projet'!$B$62,AI111+AH112-AQ111)))</f>
        <v>225.833333333333</v>
      </c>
      <c r="AJ112" s="13">
        <f>AI112*VLOOKUP('Données projet'!$B$10,Paramètres!$A$1:$I$89,3,0)*VLOOKUP('Données projet'!$B$10,Paramètres!$A$1:$I$89,5,0)</f>
        <v>228.99499999999969</v>
      </c>
      <c r="AK112" s="13">
        <f t="shared" si="89"/>
        <v>56.065321681745388</v>
      </c>
      <c r="AL112" s="20">
        <f t="shared" si="58"/>
        <v>496.48006026237272</v>
      </c>
      <c r="AM112" s="59">
        <f t="shared" si="59"/>
        <v>776.205380614962</v>
      </c>
      <c r="AN112" s="59">
        <f ca="1">AVERAGE(OFFSET($AM$3,0,0,'Données projet'!$E$10+1,1))-AVERAGE(OFFSET($H$3,0,0,'Données projet'!$E$10+1,1))</f>
        <v>424.89201140676084</v>
      </c>
      <c r="AO112" s="59">
        <f t="shared" si="90"/>
        <v>253.0016648946303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31.766853805678576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31.766853805678576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5.0961538461538449</v>
      </c>
      <c r="BD112" s="12">
        <f>IF('Données projet'!$A$88&gt;35,BD111+BC112-BL111,IF(A112&lt;'Données projet'!$A$88,$BA$205^A112,IF(A112='Données projet'!$A$88,'Données projet'!$B$88,BD111+BC112-BL111)))</f>
        <v>225.833333333333</v>
      </c>
      <c r="BE112" s="13">
        <f>BD112*VLOOKUP('Données projet'!$B$11,Paramètres!$A$1:$I$89,3,0)*VLOOKUP('Données projet'!$B$11,Paramètres!$A$1:$I$89,5,0)</f>
        <v>214.90299999999968</v>
      </c>
      <c r="BF112" s="13">
        <f t="shared" si="91"/>
        <v>53.005571160160272</v>
      </c>
      <c r="BG112" s="20">
        <f t="shared" si="61"/>
        <v>466.60742810394527</v>
      </c>
      <c r="BH112" s="59">
        <f t="shared" si="62"/>
        <v>746.33274845653455</v>
      </c>
      <c r="BI112" s="59">
        <f ca="1">AVERAGE(OFFSET($BH$3,0,0,'Données projet'!$E$11+1,1))-AVERAGE(OFFSET($H$3,0,0,'Données projet'!$E$11+1,1))</f>
        <v>403.89478276355294</v>
      </c>
      <c r="BJ112" s="59">
        <f t="shared" si="92"/>
        <v>241.1593989733278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29.811970494559894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29.811970494559894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319</v>
      </c>
      <c r="BZ112" s="13">
        <f>BY112*VLOOKUP('Données projet'!$B$12,Paramètres!$A$1:$I$89,3,0)*VLOOKUP('Données projet'!$B$12,Paramètres!$A$1:$I$89,5,0)</f>
        <v>253.79640000000001</v>
      </c>
      <c r="CA112" s="13">
        <f t="shared" si="93"/>
        <v>61.39816832228076</v>
      </c>
      <c r="CB112" s="20">
        <f t="shared" si="64"/>
        <v>548.96387316130563</v>
      </c>
      <c r="CC112" s="59">
        <f t="shared" si="65"/>
        <v>828.68919351389491</v>
      </c>
      <c r="CD112" s="59">
        <f ca="1">AVERAGE(OFFSET($CC$3,0,0,'Données projet'!$E$12+1,1))-AVERAGE(OFFSET($H$3,0,0,'Données projet'!$E$12+1,1))</f>
        <v>377.27600411578322</v>
      </c>
      <c r="CE112" s="59">
        <f t="shared" si="94"/>
        <v>364.58250627635425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25.214352209489498</v>
      </c>
      <c r="CL112" s="21">
        <f>EXP(-LN(2)/25)*CL111+(1-EXP(-LN(2)/25))/(LN(2)/25)*Calculateur!CG112*Calculateur!CI112*VLOOKUP('Données projet'!$B$12,Paramètres!$A$1:$I$89,3,0)*0.475*44/12</f>
        <v>3.3766633405090585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28.591015549998556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1.7053025658242404E-13</v>
      </c>
      <c r="CU112" s="17">
        <f>CT112*VLOOKUP('Données projet'!$B$13,Paramètres!$A$1:$I$89,3,0)*VLOOKUP('Données projet'!$B$13,Paramètres!$A$1:$I$89,5,0)</f>
        <v>1.3301360013429075E-13</v>
      </c>
      <c r="CV112" s="13">
        <f t="shared" si="95"/>
        <v>1.9329766731057041E-12</v>
      </c>
      <c r="CW112" s="20">
        <f t="shared" si="67"/>
        <v>3.5982663925596575E-12</v>
      </c>
      <c r="CX112" s="59">
        <f t="shared" si="68"/>
        <v>279.72532035259286</v>
      </c>
      <c r="CY112" s="59">
        <f ca="1">AVERAGE(OFFSET($CX$3,0,0,'Données projet'!$E$13+1,1))-AVERAGE(OFFSET($H$3,0,0,'Données projet'!$E$13+1,1))</f>
        <v>308.82719216177946</v>
      </c>
      <c r="CZ112" s="59">
        <f t="shared" si="96"/>
        <v>302.59481222418219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36.742331061743307</v>
      </c>
      <c r="DG112" s="21">
        <f>EXP(-LN(2)/25)*DG111+(1-EXP(-LN(2)/25))/(LN(2)/25)*Calculateur!DB112*Calculateur!DD112*VLOOKUP('Données projet'!$B$13,Paramètres!$A$1:$I$89,3,0)*0.475*44/12</f>
        <v>22.500757085964082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59.24308814770739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304.99999999999983</v>
      </c>
      <c r="DP112" s="17">
        <f>DO112*VLOOKUP('Données projet'!$B$14,Paramètres!$A$1:$I$89,3,0)*VLOOKUP('Données projet'!$B$14,Paramètres!$A$1:$I$89,5,0)</f>
        <v>275.96399999999983</v>
      </c>
      <c r="DQ112" s="13">
        <f t="shared" si="97"/>
        <v>66.113366665488854</v>
      </c>
      <c r="DR112" s="20">
        <f t="shared" si="70"/>
        <v>595.78474694239264</v>
      </c>
      <c r="DS112" s="59">
        <f t="shared" si="71"/>
        <v>875.51006729498192</v>
      </c>
      <c r="DT112" s="59">
        <f ca="1">AVERAGE(OFFSET($DS$3,0,0,'Données projet'!$E$14+1,1))-AVERAGE(OFFSET($H$3,0,0,'Données projet'!$E$14+1,1))</f>
        <v>376.51107072413777</v>
      </c>
      <c r="DU112" s="59">
        <f t="shared" si="98"/>
        <v>532.90758914457615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0.33810012349119972</v>
      </c>
      <c r="EB112" s="21">
        <f>EXP(-LN(2)/25)*EB111+(1-EXP(-LN(2)/25))/(LN(2)/25)*Calculateur!DW112*Calculateur!DY112*VLOOKUP('Données projet'!$B$14,Paramètres!$A$1:$I$89,3,0)*0.475*44/12</f>
        <v>0.82599674949014956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1.1640968729813492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-1.7053025658242404E-13</v>
      </c>
      <c r="EK112" s="17">
        <f>EJ112*VLOOKUP('Données projet'!$B$15,Paramètres!$A$1:$I$89,3,0)*VLOOKUP('Données projet'!$B$15,Paramètres!$A$1:$I$89,5,0)</f>
        <v>-1.0197709343628959E-13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337.99164391755608</v>
      </c>
      <c r="EP112" s="59">
        <f t="shared" si="100"/>
        <v>421.45428231923393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57.008132539867375</v>
      </c>
      <c r="EW112" s="21">
        <f>EXP(-LN(2)/25)*EW111+(1-EXP(-LN(2)/25))/(LN(2)/25)*Calculateur!ER112*Calculateur!ET112*VLOOKUP('Données projet'!$B$15,Paramètres!$A$1:$I$89,3,0)*0.475*44/12</f>
        <v>10.168206412916764</v>
      </c>
      <c r="EX112" s="21">
        <f>EXP(-LN(2)/2)*EX111+(1-EXP(-LN(2)/2))/(LN(2)/2)*ER112*EU112*VLOOKUP('Données projet'!$B$15,Paramètres!$A$1:$I$89,3,0)*0.475*44/12</f>
        <v>4.2575029875039594E-7</v>
      </c>
      <c r="EY112" s="22">
        <f t="shared" si="75"/>
        <v>67.176339378534436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5.0961538461538449</v>
      </c>
      <c r="N113" s="13">
        <f>IF('Données projet'!$A$36&gt;35,N112+M113-V112,IF(A113&lt;'Données projet'!$A$36,$K$205^A113,IF(A113='Données projet'!$A$36,'Données projet'!$B$36,N112+M113-V112)))</f>
        <v>230.92948717948684</v>
      </c>
      <c r="O113" s="13">
        <f>N113*VLOOKUP('Données projet'!$B$9,Paramètres!$A$1:$I$89,3,0)*VLOOKUP('Données projet'!$B$9,Paramètres!$A$1:$I$89,5,0)</f>
        <v>208.94499999999971</v>
      </c>
      <c r="P113" s="13">
        <f t="shared" si="87"/>
        <v>51.704974120746144</v>
      </c>
      <c r="Q113" s="20">
        <f t="shared" si="107"/>
        <v>453.96537159363237</v>
      </c>
      <c r="R113" s="59">
        <f t="shared" si="55"/>
        <v>733.92676054847823</v>
      </c>
      <c r="S113" s="59">
        <f ca="1">AVERAGE(OFFSET($R$3,0,0,'Données projet'!$E$9+1,1))-AVERAGE(OFFSET($H$3,0,0,'Données projet'!$E$9+1,1))</f>
        <v>388.1278150896951</v>
      </c>
      <c r="T113" s="59">
        <f t="shared" si="88"/>
        <v>232.26614607059227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27.789964005356563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27.789964005356563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5.0961538461538449</v>
      </c>
      <c r="AI113" s="13">
        <f>IF('Données projet'!$A$62&gt;35,AI112+AH113-AQ112,IF(A113&lt;'Données projet'!$A$62,$AF$205^A113,IF(A113='Données projet'!$A$62,'Données projet'!$B$62,AI112+AH113-AQ112)))</f>
        <v>230.92948717948684</v>
      </c>
      <c r="AJ113" s="13">
        <f>AI113*VLOOKUP('Données projet'!$B$10,Paramètres!$A$1:$I$89,3,0)*VLOOKUP('Données projet'!$B$10,Paramètres!$A$1:$I$89,5,0)</f>
        <v>234.16249999999968</v>
      </c>
      <c r="AK113" s="13">
        <f t="shared" si="89"/>
        <v>57.181769678978526</v>
      </c>
      <c r="AL113" s="20">
        <f t="shared" si="58"/>
        <v>507.42460302422029</v>
      </c>
      <c r="AM113" s="59">
        <f t="shared" si="59"/>
        <v>787.38599197906615</v>
      </c>
      <c r="AN113" s="59">
        <f ca="1">AVERAGE(OFFSET($AM$3,0,0,'Données projet'!$E$10+1,1))-AVERAGE(OFFSET($H$3,0,0,'Données projet'!$E$10+1,1))</f>
        <v>424.89201140676084</v>
      </c>
      <c r="AO113" s="59">
        <f t="shared" si="90"/>
        <v>253.0016648946303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31.143925178416833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31.143925178416833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5.0961538461538449</v>
      </c>
      <c r="BD113" s="12">
        <f>IF('Données projet'!$A$88&gt;35,BD112+BC113-BL112,IF(A113&lt;'Données projet'!$A$88,$BA$205^A113,IF(A113='Données projet'!$A$88,'Données projet'!$B$88,BD112+BC113-BL112)))</f>
        <v>230.92948717948684</v>
      </c>
      <c r="BE113" s="13">
        <f>BD113*VLOOKUP('Données projet'!$B$11,Paramètres!$A$1:$I$89,3,0)*VLOOKUP('Données projet'!$B$11,Paramètres!$A$1:$I$89,5,0)</f>
        <v>219.75249999999971</v>
      </c>
      <c r="BF113" s="13">
        <f t="shared" si="91"/>
        <v>54.061089294879686</v>
      </c>
      <c r="BG113" s="20">
        <f t="shared" si="61"/>
        <v>476.89200135524828</v>
      </c>
      <c r="BH113" s="59">
        <f t="shared" si="62"/>
        <v>756.85339031009414</v>
      </c>
      <c r="BI113" s="59">
        <f ca="1">AVERAGE(OFFSET($BH$3,0,0,'Données projet'!$E$11+1,1))-AVERAGE(OFFSET($H$3,0,0,'Données projet'!$E$11+1,1))</f>
        <v>403.89478276355294</v>
      </c>
      <c r="BJ113" s="59">
        <f t="shared" si="92"/>
        <v>241.1593989733278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29.227375936668103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29.227375936668103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319</v>
      </c>
      <c r="BZ113" s="13">
        <f>BY113*VLOOKUP('Données projet'!$B$12,Paramètres!$A$1:$I$89,3,0)*VLOOKUP('Données projet'!$B$12,Paramètres!$A$1:$I$89,5,0)</f>
        <v>253.79640000000001</v>
      </c>
      <c r="CA113" s="13">
        <f t="shared" si="93"/>
        <v>61.39816832228076</v>
      </c>
      <c r="CB113" s="20">
        <f t="shared" si="64"/>
        <v>548.96387316130563</v>
      </c>
      <c r="CC113" s="59">
        <f t="shared" si="65"/>
        <v>828.92526211615154</v>
      </c>
      <c r="CD113" s="59">
        <f ca="1">AVERAGE(OFFSET($CC$3,0,0,'Données projet'!$E$12+1,1))-AVERAGE(OFFSET($H$3,0,0,'Données projet'!$E$12+1,1))</f>
        <v>377.27600411578322</v>
      </c>
      <c r="CE113" s="59">
        <f t="shared" si="94"/>
        <v>364.58250627635425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24.719914141897682</v>
      </c>
      <c r="CL113" s="21">
        <f>EXP(-LN(2)/25)*CL112+(1-EXP(-LN(2)/25))/(LN(2)/25)*Calculateur!CG113*Calculateur!CI113*VLOOKUP('Données projet'!$B$12,Paramètres!$A$1:$I$89,3,0)*0.475*44/12</f>
        <v>3.2843283038918307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28.004242445789512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1.7053025658242404E-13</v>
      </c>
      <c r="CU113" s="17">
        <f>CT113*VLOOKUP('Données projet'!$B$13,Paramètres!$A$1:$I$89,3,0)*VLOOKUP('Données projet'!$B$13,Paramètres!$A$1:$I$89,5,0)</f>
        <v>1.3301360013429075E-13</v>
      </c>
      <c r="CV113" s="13">
        <f t="shared" si="95"/>
        <v>1.9329766731057041E-12</v>
      </c>
      <c r="CW113" s="20">
        <f t="shared" si="67"/>
        <v>3.5982663925596575E-12</v>
      </c>
      <c r="CX113" s="59">
        <f t="shared" si="68"/>
        <v>279.96138895484944</v>
      </c>
      <c r="CY113" s="59">
        <f ca="1">AVERAGE(OFFSET($CX$3,0,0,'Données projet'!$E$13+1,1))-AVERAGE(OFFSET($H$3,0,0,'Données projet'!$E$13+1,1))</f>
        <v>308.82719216177946</v>
      </c>
      <c r="CZ113" s="59">
        <f t="shared" si="96"/>
        <v>302.59481222418219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36.021836360231603</v>
      </c>
      <c r="DG113" s="21">
        <f>EXP(-LN(2)/25)*DG112+(1-EXP(-LN(2)/25))/(LN(2)/25)*Calculateur!DB113*Calculateur!DD113*VLOOKUP('Données projet'!$B$13,Paramètres!$A$1:$I$89,3,0)*0.475*44/12</f>
        <v>21.885472700185005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57.907309060416608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304.99999999999983</v>
      </c>
      <c r="DP113" s="17">
        <f>DO113*VLOOKUP('Données projet'!$B$14,Paramètres!$A$1:$I$89,3,0)*VLOOKUP('Données projet'!$B$14,Paramètres!$A$1:$I$89,5,0)</f>
        <v>275.96399999999983</v>
      </c>
      <c r="DQ113" s="13">
        <f t="shared" si="97"/>
        <v>66.113366665488854</v>
      </c>
      <c r="DR113" s="20">
        <f t="shared" si="70"/>
        <v>595.78474694239264</v>
      </c>
      <c r="DS113" s="59">
        <f t="shared" si="71"/>
        <v>875.74613589723845</v>
      </c>
      <c r="DT113" s="59">
        <f ca="1">AVERAGE(OFFSET($DS$3,0,0,'Données projet'!$E$14+1,1))-AVERAGE(OFFSET($H$3,0,0,'Données projet'!$E$14+1,1))</f>
        <v>376.51107072413777</v>
      </c>
      <c r="DU113" s="59">
        <f t="shared" si="98"/>
        <v>532.90758914457615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0.33147018629025005</v>
      </c>
      <c r="EB113" s="21">
        <f>EXP(-LN(2)/25)*EB112+(1-EXP(-LN(2)/25))/(LN(2)/25)*Calculateur!DW113*Calculateur!DY113*VLOOKUP('Données projet'!$B$14,Paramètres!$A$1:$I$89,3,0)*0.475*44/12</f>
        <v>0.80340982493806024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1.1348800112283102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-1.7053025658242404E-13</v>
      </c>
      <c r="EK113" s="17">
        <f>EJ113*VLOOKUP('Données projet'!$B$15,Paramètres!$A$1:$I$89,3,0)*VLOOKUP('Données projet'!$B$15,Paramètres!$A$1:$I$89,5,0)</f>
        <v>-1.0197709343628959E-13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337.99164391755608</v>
      </c>
      <c r="EP113" s="59">
        <f t="shared" si="100"/>
        <v>421.45428231923393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55.890237832288022</v>
      </c>
      <c r="EW113" s="21">
        <f>EXP(-LN(2)/25)*EW112+(1-EXP(-LN(2)/25))/(LN(2)/25)*Calculateur!ER113*Calculateur!ET113*VLOOKUP('Données projet'!$B$15,Paramètres!$A$1:$I$89,3,0)*0.475*44/12</f>
        <v>9.8901562738328188</v>
      </c>
      <c r="EX113" s="21">
        <f>EXP(-LN(2)/2)*EX112+(1-EXP(-LN(2)/2))/(LN(2)/2)*ER113*EU113*VLOOKUP('Données projet'!$B$15,Paramètres!$A$1:$I$89,3,0)*0.475*44/12</f>
        <v>3.0105092333860346E-7</v>
      </c>
      <c r="EY113" s="22">
        <f t="shared" si="75"/>
        <v>65.780394407171755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5.0961538461538449</v>
      </c>
      <c r="N114" s="13">
        <f>IF('Données projet'!$A$36&gt;35,N113+M114-V113,IF(A114&lt;'Données projet'!$A$36,$K$205^A114,IF(A114='Données projet'!$A$36,'Données projet'!$B$36,N113+M114-V113)))</f>
        <v>236.02564102564068</v>
      </c>
      <c r="O114" s="13">
        <f>N114*VLOOKUP('Données projet'!$B$9,Paramètres!$A$1:$I$89,3,0)*VLOOKUP('Données projet'!$B$9,Paramètres!$A$1:$I$89,5,0)</f>
        <v>213.5559999999997</v>
      </c>
      <c r="P114" s="13">
        <f t="shared" si="87"/>
        <v>52.71190012556103</v>
      </c>
      <c r="Q114" s="20">
        <f t="shared" si="107"/>
        <v>463.74992605201828</v>
      </c>
      <c r="R114" s="59">
        <f t="shared" si="55"/>
        <v>743.94328834664179</v>
      </c>
      <c r="S114" s="59">
        <f ca="1">AVERAGE(OFFSET($R$3,0,0,'Données projet'!$E$9+1,1))-AVERAGE(OFFSET($H$3,0,0,'Données projet'!$E$9+1,1))</f>
        <v>388.1278150896951</v>
      </c>
      <c r="T114" s="59">
        <f t="shared" si="88"/>
        <v>232.26614607059227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27.245019761415872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27.245019761415872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5.0961538461538449</v>
      </c>
      <c r="AI114" s="13">
        <f>IF('Données projet'!$A$62&gt;35,AI113+AH114-AQ113,IF(A114&lt;'Données projet'!$A$62,$AF$205^A114,IF(A114='Données projet'!$A$62,'Données projet'!$B$62,AI113+AH114-AQ113)))</f>
        <v>236.02564102564068</v>
      </c>
      <c r="AJ114" s="13">
        <f>AI114*VLOOKUP('Données projet'!$B$10,Paramètres!$A$1:$I$89,3,0)*VLOOKUP('Données projet'!$B$10,Paramètres!$A$1:$I$89,5,0)</f>
        <v>239.32999999999967</v>
      </c>
      <c r="AK114" s="13">
        <f t="shared" si="89"/>
        <v>58.295353272631196</v>
      </c>
      <c r="AL114" s="20">
        <f t="shared" si="58"/>
        <v>518.36415694983214</v>
      </c>
      <c r="AM114" s="59">
        <f t="shared" si="59"/>
        <v>798.55751924445576</v>
      </c>
      <c r="AN114" s="59">
        <f ca="1">AVERAGE(OFFSET($AM$3,0,0,'Données projet'!$E$10+1,1))-AVERAGE(OFFSET($H$3,0,0,'Données projet'!$E$10+1,1))</f>
        <v>424.89201140676084</v>
      </c>
      <c r="AO114" s="59">
        <f t="shared" si="90"/>
        <v>253.0016648946303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30.533211801586745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30.533211801586745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5.0961538461538449</v>
      </c>
      <c r="BD114" s="12">
        <f>IF('Données projet'!$A$88&gt;35,BD113+BC114-BL113,IF(A114&lt;'Données projet'!$A$88,$BA$205^A114,IF(A114='Données projet'!$A$88,'Données projet'!$B$88,BD113+BC114-BL113)))</f>
        <v>236.02564102564068</v>
      </c>
      <c r="BE114" s="13">
        <f>BD114*VLOOKUP('Données projet'!$B$11,Paramètres!$A$1:$I$89,3,0)*VLOOKUP('Données projet'!$B$11,Paramètres!$A$1:$I$89,5,0)</f>
        <v>224.60199999999966</v>
      </c>
      <c r="BF114" s="13">
        <f t="shared" si="91"/>
        <v>55.113899350107857</v>
      </c>
      <c r="BG114" s="20">
        <f t="shared" si="61"/>
        <v>487.17185803477059</v>
      </c>
      <c r="BH114" s="59">
        <f t="shared" si="62"/>
        <v>767.36522032939411</v>
      </c>
      <c r="BI114" s="59">
        <f ca="1">AVERAGE(OFFSET($BH$3,0,0,'Données projet'!$E$11+1,1))-AVERAGE(OFFSET($H$3,0,0,'Données projet'!$E$11+1,1))</f>
        <v>403.89478276355294</v>
      </c>
      <c r="BJ114" s="59">
        <f t="shared" si="92"/>
        <v>241.1593989733278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28.654244921489099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28.654244921489099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319</v>
      </c>
      <c r="BZ114" s="13">
        <f>BY114*VLOOKUP('Données projet'!$B$12,Paramètres!$A$1:$I$89,3,0)*VLOOKUP('Données projet'!$B$12,Paramètres!$A$1:$I$89,5,0)</f>
        <v>253.79640000000001</v>
      </c>
      <c r="CA114" s="13">
        <f t="shared" si="93"/>
        <v>61.39816832228076</v>
      </c>
      <c r="CB114" s="20">
        <f t="shared" si="64"/>
        <v>548.96387316130563</v>
      </c>
      <c r="CC114" s="59">
        <f t="shared" si="65"/>
        <v>829.15723545592914</v>
      </c>
      <c r="CD114" s="59">
        <f ca="1">AVERAGE(OFFSET($CC$3,0,0,'Données projet'!$E$12+1,1))-AVERAGE(OFFSET($H$3,0,0,'Données projet'!$E$12+1,1))</f>
        <v>377.27600411578322</v>
      </c>
      <c r="CE114" s="59">
        <f t="shared" si="94"/>
        <v>364.58250627635425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24.235171703233899</v>
      </c>
      <c r="CL114" s="21">
        <f>EXP(-LN(2)/25)*CL113+(1-EXP(-LN(2)/25))/(LN(2)/25)*Calculateur!CG114*Calculateur!CI114*VLOOKUP('Données projet'!$B$12,Paramètres!$A$1:$I$89,3,0)*0.475*44/12</f>
        <v>3.1945181737065895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27.42968987694049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1.7053025658242404E-13</v>
      </c>
      <c r="CU114" s="17">
        <f>CT114*VLOOKUP('Données projet'!$B$13,Paramètres!$A$1:$I$89,3,0)*VLOOKUP('Données projet'!$B$13,Paramètres!$A$1:$I$89,5,0)</f>
        <v>1.3301360013429075E-13</v>
      </c>
      <c r="CV114" s="13">
        <f t="shared" si="95"/>
        <v>1.9329766731057041E-12</v>
      </c>
      <c r="CW114" s="20">
        <f t="shared" si="67"/>
        <v>3.5982663925596575E-12</v>
      </c>
      <c r="CX114" s="59">
        <f t="shared" si="68"/>
        <v>280.19336229462715</v>
      </c>
      <c r="CY114" s="59">
        <f ca="1">AVERAGE(OFFSET($CX$3,0,0,'Données projet'!$E$13+1,1))-AVERAGE(OFFSET($H$3,0,0,'Données projet'!$E$13+1,1))</f>
        <v>308.82719216177946</v>
      </c>
      <c r="CZ114" s="59">
        <f t="shared" si="96"/>
        <v>302.59481222418219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35.315470120358171</v>
      </c>
      <c r="DG114" s="21">
        <f>EXP(-LN(2)/25)*DG113+(1-EXP(-LN(2)/25))/(LN(2)/25)*Calculateur!DB114*Calculateur!DD114*VLOOKUP('Données projet'!$B$13,Paramètres!$A$1:$I$89,3,0)*0.475*44/12</f>
        <v>21.287013298291455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56.602483418649626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304.99999999999983</v>
      </c>
      <c r="DP114" s="17">
        <f>DO114*VLOOKUP('Données projet'!$B$14,Paramètres!$A$1:$I$89,3,0)*VLOOKUP('Données projet'!$B$14,Paramètres!$A$1:$I$89,5,0)</f>
        <v>275.96399999999983</v>
      </c>
      <c r="DQ114" s="13">
        <f t="shared" si="97"/>
        <v>66.113366665488854</v>
      </c>
      <c r="DR114" s="20">
        <f t="shared" si="70"/>
        <v>595.78474694239264</v>
      </c>
      <c r="DS114" s="59">
        <f t="shared" si="71"/>
        <v>875.97810923701627</v>
      </c>
      <c r="DT114" s="59">
        <f ca="1">AVERAGE(OFFSET($DS$3,0,0,'Données projet'!$E$14+1,1))-AVERAGE(OFFSET($H$3,0,0,'Données projet'!$E$14+1,1))</f>
        <v>376.51107072413777</v>
      </c>
      <c r="DU114" s="59">
        <f t="shared" si="98"/>
        <v>532.90758914457615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0.32497025811394858</v>
      </c>
      <c r="EB114" s="21">
        <f>EXP(-LN(2)/25)*EB113+(1-EXP(-LN(2)/25))/(LN(2)/25)*Calculateur!DW114*Calculateur!DY114*VLOOKUP('Données projet'!$B$14,Paramètres!$A$1:$I$89,3,0)*0.475*44/12</f>
        <v>0.78144054102564253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1.1064107991395911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-1.7053025658242404E-13</v>
      </c>
      <c r="EK114" s="17">
        <f>EJ114*VLOOKUP('Données projet'!$B$15,Paramètres!$A$1:$I$89,3,0)*VLOOKUP('Données projet'!$B$15,Paramètres!$A$1:$I$89,5,0)</f>
        <v>-1.0197709343628959E-13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337.99164391755608</v>
      </c>
      <c r="EP114" s="59">
        <f t="shared" si="100"/>
        <v>421.45428231923393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54.794264358075857</v>
      </c>
      <c r="EW114" s="21">
        <f>EXP(-LN(2)/25)*EW113+(1-EXP(-LN(2)/25))/(LN(2)/25)*Calculateur!ER114*Calculateur!ET114*VLOOKUP('Données projet'!$B$15,Paramètres!$A$1:$I$89,3,0)*0.475*44/12</f>
        <v>9.6197094304241464</v>
      </c>
      <c r="EX114" s="21">
        <f>EXP(-LN(2)/2)*EX113+(1-EXP(-LN(2)/2))/(LN(2)/2)*ER114*EU114*VLOOKUP('Données projet'!$B$15,Paramètres!$A$1:$I$89,3,0)*0.475*44/12</f>
        <v>2.1287514937519797E-7</v>
      </c>
      <c r="EY114" s="22">
        <f t="shared" si="75"/>
        <v>64.413974001375152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5.0961538461538449</v>
      </c>
      <c r="N115" s="13">
        <f>IF('Données projet'!$A$36&gt;35,N114+M115-V114,IF(A115&lt;'Données projet'!$A$36,$K$205^A115,IF(A115='Données projet'!$A$36,'Données projet'!$B$36,N114+M115-V114)))</f>
        <v>241.12179487179452</v>
      </c>
      <c r="O115" s="13">
        <f>N115*VLOOKUP('Données projet'!$B$9,Paramètres!$A$1:$I$89,3,0)*VLOOKUP('Données projet'!$B$9,Paramètres!$A$1:$I$89,5,0)</f>
        <v>218.16699999999966</v>
      </c>
      <c r="P115" s="13">
        <f t="shared" si="87"/>
        <v>53.716298439743952</v>
      </c>
      <c r="Q115" s="20">
        <f t="shared" si="107"/>
        <v>473.53007811588674</v>
      </c>
      <c r="R115" s="59">
        <f t="shared" si="55"/>
        <v>753.95138953145761</v>
      </c>
      <c r="S115" s="59">
        <f ca="1">AVERAGE(OFFSET($R$3,0,0,'Données projet'!$E$9+1,1))-AVERAGE(OFFSET($H$3,0,0,'Données projet'!$E$9+1,1))</f>
        <v>388.1278150896951</v>
      </c>
      <c r="T115" s="59">
        <f t="shared" si="88"/>
        <v>232.26614607059227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26.710761541715687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26.710761541715687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5.0961538461538449</v>
      </c>
      <c r="AI115" s="13">
        <f>IF('Données projet'!$A$62&gt;35,AI114+AH115-AQ114,IF(A115&lt;'Données projet'!$A$62,$AF$205^A115,IF(A115='Données projet'!$A$62,'Données projet'!$B$62,AI114+AH115-AQ114)))</f>
        <v>241.12179487179452</v>
      </c>
      <c r="AJ115" s="13">
        <f>AI115*VLOOKUP('Données projet'!$B$10,Paramètres!$A$1:$I$89,3,0)*VLOOKUP('Données projet'!$B$10,Paramètres!$A$1:$I$89,5,0)</f>
        <v>244.49749999999963</v>
      </c>
      <c r="AK115" s="13">
        <f t="shared" si="89"/>
        <v>59.406141432653072</v>
      </c>
      <c r="AL115" s="20">
        <f t="shared" si="58"/>
        <v>529.29884216187008</v>
      </c>
      <c r="AM115" s="59">
        <f t="shared" si="59"/>
        <v>809.7201535774409</v>
      </c>
      <c r="AN115" s="59">
        <f ca="1">AVERAGE(OFFSET($AM$3,0,0,'Données projet'!$E$10+1,1))-AVERAGE(OFFSET($H$3,0,0,'Données projet'!$E$10+1,1))</f>
        <v>424.89201140676084</v>
      </c>
      <c r="AO115" s="59">
        <f t="shared" si="90"/>
        <v>253.0016648946303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29.934474141577919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29.934474141577919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5.0961538461538449</v>
      </c>
      <c r="BD115" s="12">
        <f>IF('Données projet'!$A$88&gt;35,BD114+BC115-BL114,IF(A115&lt;'Données projet'!$A$88,$BA$205^A115,IF(A115='Données projet'!$A$88,'Données projet'!$B$88,BD114+BC115-BL114)))</f>
        <v>241.12179487179452</v>
      </c>
      <c r="BE115" s="13">
        <f>BD115*VLOOKUP('Données projet'!$B$11,Paramètres!$A$1:$I$89,3,0)*VLOOKUP('Données projet'!$B$11,Paramètres!$A$1:$I$89,5,0)</f>
        <v>229.4514999999997</v>
      </c>
      <c r="BF115" s="13">
        <f t="shared" si="91"/>
        <v>56.164066531777237</v>
      </c>
      <c r="BG115" s="20">
        <f t="shared" si="61"/>
        <v>497.44711170951149</v>
      </c>
      <c r="BH115" s="59">
        <f t="shared" si="62"/>
        <v>777.86842312508236</v>
      </c>
      <c r="BI115" s="59">
        <f ca="1">AVERAGE(OFFSET($BH$3,0,0,'Données projet'!$E$11+1,1))-AVERAGE(OFFSET($H$3,0,0,'Données projet'!$E$11+1,1))</f>
        <v>403.89478276355294</v>
      </c>
      <c r="BJ115" s="59">
        <f t="shared" si="92"/>
        <v>241.1593989733278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28.092352655942353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28.092352655942353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319</v>
      </c>
      <c r="BZ115" s="13">
        <f>BY115*VLOOKUP('Données projet'!$B$12,Paramètres!$A$1:$I$89,3,0)*VLOOKUP('Données projet'!$B$12,Paramètres!$A$1:$I$89,5,0)</f>
        <v>253.79640000000001</v>
      </c>
      <c r="CA115" s="13">
        <f t="shared" si="93"/>
        <v>61.39816832228076</v>
      </c>
      <c r="CB115" s="20">
        <f t="shared" si="64"/>
        <v>548.96387316130563</v>
      </c>
      <c r="CC115" s="59">
        <f t="shared" si="65"/>
        <v>829.38518457687655</v>
      </c>
      <c r="CD115" s="59">
        <f ca="1">AVERAGE(OFFSET($CC$3,0,0,'Données projet'!$E$12+1,1))-AVERAGE(OFFSET($H$3,0,0,'Données projet'!$E$12+1,1))</f>
        <v>377.27600411578322</v>
      </c>
      <c r="CE115" s="59">
        <f t="shared" si="94"/>
        <v>364.58250627635425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23.75993476812862</v>
      </c>
      <c r="CL115" s="21">
        <f>EXP(-LN(2)/25)*CL114+(1-EXP(-LN(2)/25))/(LN(2)/25)*Calculateur!CG115*Calculateur!CI115*VLOOKUP('Données projet'!$B$12,Paramètres!$A$1:$I$89,3,0)*0.475*44/12</f>
        <v>3.1071639062541734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26.867098674382792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1.7053025658242404E-13</v>
      </c>
      <c r="CU115" s="17">
        <f>CT115*VLOOKUP('Données projet'!$B$13,Paramètres!$A$1:$I$89,3,0)*VLOOKUP('Données projet'!$B$13,Paramètres!$A$1:$I$89,5,0)</f>
        <v>1.3301360013429075E-13</v>
      </c>
      <c r="CV115" s="13">
        <f t="shared" si="95"/>
        <v>1.9329766731057041E-12</v>
      </c>
      <c r="CW115" s="20">
        <f t="shared" si="67"/>
        <v>3.5982663925596575E-12</v>
      </c>
      <c r="CX115" s="59">
        <f t="shared" si="68"/>
        <v>280.42131141557445</v>
      </c>
      <c r="CY115" s="59">
        <f ca="1">AVERAGE(OFFSET($CX$3,0,0,'Données projet'!$E$13+1,1))-AVERAGE(OFFSET($H$3,0,0,'Données projet'!$E$13+1,1))</f>
        <v>308.82719216177946</v>
      </c>
      <c r="CZ115" s="59">
        <f t="shared" si="96"/>
        <v>302.59481222418219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34.622955291607795</v>
      </c>
      <c r="DG115" s="21">
        <f>EXP(-LN(2)/25)*DG114+(1-EXP(-LN(2)/25))/(LN(2)/25)*Calculateur!DB115*Calculateur!DD115*VLOOKUP('Données projet'!$B$13,Paramètres!$A$1:$I$89,3,0)*0.475*44/12</f>
        <v>20.704918800214298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55.327874091822096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304.99999999999983</v>
      </c>
      <c r="DP115" s="17">
        <f>DO115*VLOOKUP('Données projet'!$B$14,Paramètres!$A$1:$I$89,3,0)*VLOOKUP('Données projet'!$B$14,Paramètres!$A$1:$I$89,5,0)</f>
        <v>275.96399999999983</v>
      </c>
      <c r="DQ115" s="13">
        <f t="shared" si="97"/>
        <v>66.113366665488854</v>
      </c>
      <c r="DR115" s="20">
        <f t="shared" si="70"/>
        <v>595.78474694239264</v>
      </c>
      <c r="DS115" s="59">
        <f t="shared" si="71"/>
        <v>876.20605835796346</v>
      </c>
      <c r="DT115" s="59">
        <f ca="1">AVERAGE(OFFSET($DS$3,0,0,'Données projet'!$E$14+1,1))-AVERAGE(OFFSET($H$3,0,0,'Données projet'!$E$14+1,1))</f>
        <v>376.51107072413777</v>
      </c>
      <c r="DU115" s="59">
        <f t="shared" si="98"/>
        <v>532.90758914457615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0.31859778956461965</v>
      </c>
      <c r="EB115" s="21">
        <f>EXP(-LN(2)/25)*EB114+(1-EXP(-LN(2)/25))/(LN(2)/25)*Calculateur!DW115*Calculateur!DY115*VLOOKUP('Données projet'!$B$14,Paramètres!$A$1:$I$89,3,0)*0.475*44/12</f>
        <v>0.76007200833712429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1.0786697979017439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-1.7053025658242404E-13</v>
      </c>
      <c r="EK115" s="17">
        <f>EJ115*VLOOKUP('Données projet'!$B$15,Paramètres!$A$1:$I$89,3,0)*VLOOKUP('Données projet'!$B$15,Paramètres!$A$1:$I$89,5,0)</f>
        <v>-1.0197709343628959E-13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337.99164391755608</v>
      </c>
      <c r="EP115" s="59">
        <f t="shared" si="100"/>
        <v>421.45428231923393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53.719782255215179</v>
      </c>
      <c r="EW115" s="21">
        <f>EXP(-LN(2)/25)*EW114+(1-EXP(-LN(2)/25))/(LN(2)/25)*Calculateur!ER115*Calculateur!ET115*VLOOKUP('Données projet'!$B$15,Paramètres!$A$1:$I$89,3,0)*0.475*44/12</f>
        <v>9.3566579701706658</v>
      </c>
      <c r="EX115" s="21">
        <f>EXP(-LN(2)/2)*EX114+(1-EXP(-LN(2)/2))/(LN(2)/2)*ER115*EU115*VLOOKUP('Données projet'!$B$15,Paramètres!$A$1:$I$89,3,0)*0.475*44/12</f>
        <v>1.5052546166930173E-7</v>
      </c>
      <c r="EY115" s="22">
        <f t="shared" si="75"/>
        <v>63.076440375911304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>
        <f>VLOOKUP(A116,'Données projet'!$A$35:$I$55,2,0)</f>
        <v>246.21794871794873</v>
      </c>
      <c r="L116" s="12">
        <f>VLOOKUP(A116,'Données projet'!$A$35:$I$55,9,0)</f>
        <v>5.0961538461538449</v>
      </c>
      <c r="M116" s="12">
        <f t="array" ref="M116">INDEX(L:L,MIN(IF(ISNUMBER(L116:L312),ROW(L116:L312),"")))</f>
        <v>5.0961538461538449</v>
      </c>
      <c r="N116" s="13">
        <f>IF('Données projet'!$A$36&gt;35,N115+M116-V115,IF(A116&lt;'Données projet'!$A$36,$K$205^A116,IF(A116='Données projet'!$A$36,'Données projet'!$B$36,N115+M116-V115)))</f>
        <v>246.21794871794836</v>
      </c>
      <c r="O116" s="13">
        <f>N116*VLOOKUP('Données projet'!$B$9,Paramètres!$A$1:$I$89,3,0)*VLOOKUP('Données projet'!$B$9,Paramètres!$A$1:$I$89,5,0)</f>
        <v>222.77799999999965</v>
      </c>
      <c r="P116" s="13">
        <f t="shared" si="87"/>
        <v>54.718228640620396</v>
      </c>
      <c r="Q116" s="20">
        <f t="shared" si="107"/>
        <v>483.30593154907984</v>
      </c>
      <c r="R116" s="59">
        <f t="shared" si="55"/>
        <v>763.95123767796747</v>
      </c>
      <c r="S116" s="59">
        <f ca="1">AVERAGE(OFFSET($R$3,0,0,'Données projet'!$E$9+1,1))-AVERAGE(OFFSET($H$3,0,0,'Données projet'!$E$9+1,1))</f>
        <v>388.1278150896951</v>
      </c>
      <c r="T116" s="59">
        <f t="shared" si="88"/>
        <v>232.26614607059227</v>
      </c>
      <c r="U116" s="15">
        <f>IF(ISNA(VLOOKUP(A116,'Données projet'!$A$35:$I$55,3,0)),0,VLOOKUP(A116,'Données projet'!$A$35:$I$55,3,0))</f>
        <v>9</v>
      </c>
      <c r="V116" s="15">
        <f>IF(ISNA(VLOOKUP(A116,'Données projet'!$A$35:$I$55,4,0)),0,VLOOKUP(A116,'Données projet'!$A$35:$I$55,4,0))</f>
        <v>31.602564102564099</v>
      </c>
      <c r="W116" s="16">
        <f>IF(ISNA(VLOOKUP(A116,'Données projet'!$A$35:$I$55,5,0)),0%,VLOOKUP(A116,'Données projet'!$A$35:$I$55,5,0)*VLOOKUP('Données projet'!$B$9,Paramètres!$A$1:$I$89,7,0))</f>
        <v>0.30099999999999999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35.701535629580405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35.701535629580405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>
        <f>VLOOKUP(A116,'Données projet'!$A$61:$I$81,2,0)</f>
        <v>246.21794871794873</v>
      </c>
      <c r="AG116" s="12">
        <f>VLOOKUP(A116,'Données projet'!$A$61:$I$81,9,0)</f>
        <v>5.0961538461538449</v>
      </c>
      <c r="AH116" s="12">
        <f t="array" ref="AH116">INDEX(AG:AG,MIN(IF(ISNUMBER(AG116:AG312),ROW(AG116:AG312),"")))</f>
        <v>5.0961538461538449</v>
      </c>
      <c r="AI116" s="13">
        <f>IF('Données projet'!$A$62&gt;35,AI115+AH116-AQ115,IF(A116&lt;'Données projet'!$A$62,$AF$205^A116,IF(A116='Données projet'!$A$62,'Données projet'!$B$62,AI115+AH116-AQ115)))</f>
        <v>246.21794871794836</v>
      </c>
      <c r="AJ116" s="13">
        <f>AI116*VLOOKUP('Données projet'!$B$10,Paramètres!$A$1:$I$89,3,0)*VLOOKUP('Données projet'!$B$10,Paramètres!$A$1:$I$89,5,0)</f>
        <v>249.66499999999965</v>
      </c>
      <c r="AK116" s="13">
        <f t="shared" si="89"/>
        <v>60.514200047035814</v>
      </c>
      <c r="AL116" s="20">
        <f t="shared" si="58"/>
        <v>540.22877341525339</v>
      </c>
      <c r="AM116" s="59">
        <f t="shared" si="59"/>
        <v>820.87407954414107</v>
      </c>
      <c r="AN116" s="59">
        <f ca="1">AVERAGE(OFFSET($AM$3,0,0,'Données projet'!$E$10+1,1))-AVERAGE(OFFSET($H$3,0,0,'Données projet'!$E$10+1,1))</f>
        <v>424.89201140676084</v>
      </c>
      <c r="AO116" s="59">
        <f t="shared" si="90"/>
        <v>253.0016648946303</v>
      </c>
      <c r="AP116" s="15">
        <f>IF(ISNA(VLOOKUP(A116,'Données projet'!$A$61:$I$81,3,0)),0,VLOOKUP(A116,'Données projet'!$A$61:$I$81,3,0))</f>
        <v>9</v>
      </c>
      <c r="AQ116" s="15">
        <f>IF(ISNA(VLOOKUP(A116,'Données projet'!$A$61:$I$81,4,0)),0,VLOOKUP(A116,'Données projet'!$A$61:$I$81,4,0))</f>
        <v>31.602564102564099</v>
      </c>
      <c r="AR116" s="16">
        <f>IF(ISNA(VLOOKUP(A116,'Données projet'!$A$61:$I$81,5,0)),0%,VLOOKUP(A116,'Données projet'!$A$61:$I$81,5,0)*VLOOKUP('Données projet'!$B$10,Paramètres!$A$1:$I$89,7,0))</f>
        <v>0.30099999999999999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40.010341653840101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40.010341653840101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>
        <f>VLOOKUP(A116,'Données projet'!$A$87:$I$107,2,0)</f>
        <v>246.21794871794873</v>
      </c>
      <c r="BB116" s="12">
        <f>VLOOKUP(A116,'Données projet'!$A$87:$I$107,9,0)</f>
        <v>5.0961538461538449</v>
      </c>
      <c r="BC116" s="12">
        <f t="array" ref="BC116">INDEX(BB:BB,MIN(IF(ISNUMBER(BB116:BB312),ROW(BB116:BB312),"")))</f>
        <v>5.0961538461538449</v>
      </c>
      <c r="BD116" s="12">
        <f>IF('Données projet'!$A$88&gt;35,BD115+BC116-BL115,IF(A116&lt;'Données projet'!$A$88,$BA$205^A116,IF(A116='Données projet'!$A$88,'Données projet'!$B$88,BD115+BC116-BL115)))</f>
        <v>246.21794871794836</v>
      </c>
      <c r="BE116" s="13">
        <f>BD116*VLOOKUP('Données projet'!$B$11,Paramètres!$A$1:$I$89,3,0)*VLOOKUP('Données projet'!$B$11,Paramètres!$A$1:$I$89,5,0)</f>
        <v>234.30099999999968</v>
      </c>
      <c r="BF116" s="13">
        <f t="shared" si="91"/>
        <v>57.211653132059183</v>
      </c>
      <c r="BG116" s="20">
        <f t="shared" si="61"/>
        <v>507.71787087166916</v>
      </c>
      <c r="BH116" s="59">
        <f t="shared" si="62"/>
        <v>788.36317700055679</v>
      </c>
      <c r="BI116" s="59">
        <f ca="1">AVERAGE(OFFSET($BH$3,0,0,'Données projet'!$E$11+1,1))-AVERAGE(OFFSET($H$3,0,0,'Données projet'!$E$11+1,1))</f>
        <v>403.89478276355294</v>
      </c>
      <c r="BJ116" s="59">
        <f t="shared" si="92"/>
        <v>241.1593989733278</v>
      </c>
      <c r="BK116" s="15">
        <f>IF(ISNA(VLOOKUP(A116,'Données projet'!$A$87:$I$107,3,0)),0,VLOOKUP(A116,'Données projet'!$A$87:$I$107,3,0))</f>
        <v>9</v>
      </c>
      <c r="BL116" s="15">
        <f>IF(ISNA(VLOOKUP(A116,'Données projet'!$A$87:$I$107,4,0)),0,VLOOKUP(A116,'Données projet'!$A$87:$I$107,4,0))</f>
        <v>31.602564102564099</v>
      </c>
      <c r="BM116" s="16">
        <f>IF(ISNA(VLOOKUP(A116,'Données projet'!$A$87:$I$107,5,0)),0%,VLOOKUP(A116,'Données projet'!$A$87:$I$107,5,0)*VLOOKUP('Données projet'!$B$11,Paramètres!$A$1:$I$89,7,0))</f>
        <v>0.30099999999999999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37.548166782834556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37.548166782834556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319</v>
      </c>
      <c r="BZ116" s="13">
        <f>BY116*VLOOKUP('Données projet'!$B$12,Paramètres!$A$1:$I$89,3,0)*VLOOKUP('Données projet'!$B$12,Paramètres!$A$1:$I$89,5,0)</f>
        <v>253.79640000000001</v>
      </c>
      <c r="CA116" s="13">
        <f t="shared" si="93"/>
        <v>61.39816832228076</v>
      </c>
      <c r="CB116" s="20">
        <f t="shared" si="64"/>
        <v>548.96387316130563</v>
      </c>
      <c r="CC116" s="59">
        <f t="shared" si="65"/>
        <v>829.6091792901932</v>
      </c>
      <c r="CD116" s="59">
        <f ca="1">AVERAGE(OFFSET($CC$3,0,0,'Données projet'!$E$12+1,1))-AVERAGE(OFFSET($H$3,0,0,'Données projet'!$E$12+1,1))</f>
        <v>377.27600411578322</v>
      </c>
      <c r="CE116" s="59">
        <f t="shared" si="94"/>
        <v>364.58250627635425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23.294016939454846</v>
      </c>
      <c r="CL116" s="21">
        <f>EXP(-LN(2)/25)*CL115+(1-EXP(-LN(2)/25))/(LN(2)/25)*Calculateur!CG116*Calculateur!CI116*VLOOKUP('Données projet'!$B$12,Paramètres!$A$1:$I$89,3,0)*0.475*44/12</f>
        <v>3.0221983458390045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26.31621528529385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1.7053025658242404E-13</v>
      </c>
      <c r="CU116" s="17">
        <f>CT116*VLOOKUP('Données projet'!$B$13,Paramètres!$A$1:$I$89,3,0)*VLOOKUP('Données projet'!$B$13,Paramètres!$A$1:$I$89,5,0)</f>
        <v>1.3301360013429075E-13</v>
      </c>
      <c r="CV116" s="13">
        <f t="shared" si="95"/>
        <v>1.9329766731057041E-12</v>
      </c>
      <c r="CW116" s="20">
        <f t="shared" si="67"/>
        <v>3.5982663925596575E-12</v>
      </c>
      <c r="CX116" s="59">
        <f t="shared" si="68"/>
        <v>280.64530612889121</v>
      </c>
      <c r="CY116" s="59">
        <f ca="1">AVERAGE(OFFSET($CX$3,0,0,'Données projet'!$E$13+1,1))-AVERAGE(OFFSET($H$3,0,0,'Données projet'!$E$13+1,1))</f>
        <v>308.82719216177946</v>
      </c>
      <c r="CZ116" s="59">
        <f t="shared" si="96"/>
        <v>302.59481222418219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33.94402025625687</v>
      </c>
      <c r="DG116" s="21">
        <f>EXP(-LN(2)/25)*DG115+(1-EXP(-LN(2)/25))/(LN(2)/25)*Calculateur!DB116*Calculateur!DD116*VLOOKUP('Données projet'!$B$13,Paramètres!$A$1:$I$89,3,0)*0.475*44/12</f>
        <v>20.138741706798079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54.082761963054949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304.99999999999983</v>
      </c>
      <c r="DP116" s="17">
        <f>DO116*VLOOKUP('Données projet'!$B$14,Paramètres!$A$1:$I$89,3,0)*VLOOKUP('Données projet'!$B$14,Paramètres!$A$1:$I$89,5,0)</f>
        <v>275.96399999999983</v>
      </c>
      <c r="DQ116" s="13">
        <f t="shared" si="97"/>
        <v>66.113366665488854</v>
      </c>
      <c r="DR116" s="20">
        <f t="shared" si="70"/>
        <v>595.78474694239264</v>
      </c>
      <c r="DS116" s="59">
        <f t="shared" si="71"/>
        <v>876.43005307128033</v>
      </c>
      <c r="DT116" s="59">
        <f ca="1">AVERAGE(OFFSET($DS$3,0,0,'Données projet'!$E$14+1,1))-AVERAGE(OFFSET($H$3,0,0,'Données projet'!$E$14+1,1))</f>
        <v>376.51107072413777</v>
      </c>
      <c r="DU116" s="59">
        <f t="shared" si="98"/>
        <v>532.90758914457615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0.31235028123672104</v>
      </c>
      <c r="EB116" s="21">
        <f>EXP(-LN(2)/25)*EB115+(1-EXP(-LN(2)/25))/(LN(2)/25)*Calculateur!DW116*Calculateur!DY116*VLOOKUP('Données projet'!$B$14,Paramètres!$A$1:$I$89,3,0)*0.475*44/12</f>
        <v>0.73928779929869592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1.0516380805354171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-1.7053025658242404E-13</v>
      </c>
      <c r="EK116" s="17">
        <f>EJ116*VLOOKUP('Données projet'!$B$15,Paramètres!$A$1:$I$89,3,0)*VLOOKUP('Données projet'!$B$15,Paramètres!$A$1:$I$89,5,0)</f>
        <v>-1.0197709343628959E-13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337.99164391755608</v>
      </c>
      <c r="EP116" s="59">
        <f t="shared" si="100"/>
        <v>421.45428231923393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52.66637009102223</v>
      </c>
      <c r="EW116" s="21">
        <f>EXP(-LN(2)/25)*EW115+(1-EXP(-LN(2)/25))/(LN(2)/25)*Calculateur!ER116*Calculateur!ET116*VLOOKUP('Données projet'!$B$15,Paramètres!$A$1:$I$89,3,0)*0.475*44/12</f>
        <v>9.1007996659310919</v>
      </c>
      <c r="EX116" s="21">
        <f>EXP(-LN(2)/2)*EX115+(1-EXP(-LN(2)/2))/(LN(2)/2)*ER116*EU116*VLOOKUP('Données projet'!$B$15,Paramètres!$A$1:$I$89,3,0)*0.475*44/12</f>
        <v>1.0643757468759899E-7</v>
      </c>
      <c r="EY116" s="22">
        <f t="shared" si="75"/>
        <v>61.767169863390897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5.3066239316239274</v>
      </c>
      <c r="N117" s="13">
        <f>IF('Données projet'!$A$36&gt;35,N116+M117-V116,IF(A117&lt;'Données projet'!$A$36,$K$205^A117,IF(A117='Données projet'!$A$36,'Données projet'!$B$36,N116+M117-V116)))</f>
        <v>219.9220085470082</v>
      </c>
      <c r="O117" s="13">
        <f>N117*VLOOKUP('Données projet'!$B$9,Paramètres!$A$1:$I$89,3,0)*VLOOKUP('Données projet'!$B$9,Paramètres!$A$1:$I$89,5,0)</f>
        <v>198.98543333333302</v>
      </c>
      <c r="P117" s="13">
        <f t="shared" si="87"/>
        <v>49.521130725595967</v>
      </c>
      <c r="Q117" s="20">
        <f t="shared" si="107"/>
        <v>432.8155990693013</v>
      </c>
      <c r="R117" s="59">
        <f t="shared" si="55"/>
        <v>713.68101410400675</v>
      </c>
      <c r="S117" s="59">
        <f ca="1">AVERAGE(OFFSET($R$3,0,0,'Données projet'!$E$9+1,1))-AVERAGE(OFFSET($H$3,0,0,'Données projet'!$E$9+1,1))</f>
        <v>388.1278150896951</v>
      </c>
      <c r="T117" s="59">
        <f t="shared" si="88"/>
        <v>232.26614607059227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35.001450291670885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35.001450291670885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5.3066239316239274</v>
      </c>
      <c r="AI117" s="13">
        <f>IF('Données projet'!$A$62&gt;35,AI116+AH117-AQ116,IF(A117&lt;'Données projet'!$A$62,$AF$205^A117,IF(A117='Données projet'!$A$62,'Données projet'!$B$62,AI116+AH117-AQ116)))</f>
        <v>219.9220085470082</v>
      </c>
      <c r="AJ117" s="13">
        <f>AI117*VLOOKUP('Données projet'!$B$10,Paramètres!$A$1:$I$89,3,0)*VLOOKUP('Données projet'!$B$10,Paramètres!$A$1:$I$89,5,0)</f>
        <v>223.00091666666631</v>
      </c>
      <c r="AK117" s="13">
        <f t="shared" si="89"/>
        <v>54.766604945604634</v>
      </c>
      <c r="AL117" s="20">
        <f t="shared" si="58"/>
        <v>483.77843347470525</v>
      </c>
      <c r="AM117" s="59">
        <f t="shared" si="59"/>
        <v>764.64384850941065</v>
      </c>
      <c r="AN117" s="59">
        <f ca="1">AVERAGE(OFFSET($AM$3,0,0,'Données projet'!$E$10+1,1))-AVERAGE(OFFSET($H$3,0,0,'Données projet'!$E$10+1,1))</f>
        <v>424.89201140676084</v>
      </c>
      <c r="AO117" s="59">
        <f t="shared" si="90"/>
        <v>253.0016648946303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39.225763257907019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39.225763257907019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5.3066239316239274</v>
      </c>
      <c r="BD117" s="12">
        <f>IF('Données projet'!$A$88&gt;35,BD116+BC117-BL116,IF(A117&lt;'Données projet'!$A$88,$BA$205^A117,IF(A117='Données projet'!$A$88,'Données projet'!$B$88,BD116+BC117-BL116)))</f>
        <v>219.9220085470082</v>
      </c>
      <c r="BE117" s="13">
        <f>BD117*VLOOKUP('Données projet'!$B$11,Paramètres!$A$1:$I$89,3,0)*VLOOKUP('Données projet'!$B$11,Paramètres!$A$1:$I$89,5,0)</f>
        <v>209.27778333333302</v>
      </c>
      <c r="BF117" s="13">
        <f t="shared" si="91"/>
        <v>51.777731556114787</v>
      </c>
      <c r="BG117" s="20">
        <f t="shared" si="61"/>
        <v>454.67168843245491</v>
      </c>
      <c r="BH117" s="59">
        <f t="shared" si="62"/>
        <v>735.53710346716036</v>
      </c>
      <c r="BI117" s="59">
        <f ca="1">AVERAGE(OFFSET($BH$3,0,0,'Données projet'!$E$11+1,1))-AVERAGE(OFFSET($H$3,0,0,'Données projet'!$E$11+1,1))</f>
        <v>403.89478276355294</v>
      </c>
      <c r="BJ117" s="59">
        <f t="shared" si="92"/>
        <v>241.1593989733278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36.811870134343515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36.811870134343515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319</v>
      </c>
      <c r="BZ117" s="13">
        <f>BY117*VLOOKUP('Données projet'!$B$12,Paramètres!$A$1:$I$89,3,0)*VLOOKUP('Données projet'!$B$12,Paramètres!$A$1:$I$89,5,0)</f>
        <v>253.79640000000001</v>
      </c>
      <c r="CA117" s="13">
        <f t="shared" si="93"/>
        <v>61.39816832228076</v>
      </c>
      <c r="CB117" s="20">
        <f t="shared" si="64"/>
        <v>548.96387316130563</v>
      </c>
      <c r="CC117" s="59">
        <f t="shared" si="65"/>
        <v>829.82928819601102</v>
      </c>
      <c r="CD117" s="59">
        <f ca="1">AVERAGE(OFFSET($CC$3,0,0,'Données projet'!$E$12+1,1))-AVERAGE(OFFSET($H$3,0,0,'Données projet'!$E$12+1,1))</f>
        <v>377.27600411578322</v>
      </c>
      <c r="CE117" s="59">
        <f t="shared" si="94"/>
        <v>364.58250627635425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22.837235475219551</v>
      </c>
      <c r="CL117" s="21">
        <f>EXP(-LN(2)/25)*CL116+(1-EXP(-LN(2)/25))/(LN(2)/25)*Calculateur!CG117*Calculateur!CI117*VLOOKUP('Données projet'!$B$12,Paramètres!$A$1:$I$89,3,0)*0.475*44/12</f>
        <v>2.9395561731415332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25.776791648361083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1.7053025658242404E-13</v>
      </c>
      <c r="CU117" s="17">
        <f>CT117*VLOOKUP('Données projet'!$B$13,Paramètres!$A$1:$I$89,3,0)*VLOOKUP('Données projet'!$B$13,Paramètres!$A$1:$I$89,5,0)</f>
        <v>1.3301360013429075E-13</v>
      </c>
      <c r="CV117" s="13">
        <f t="shared" si="95"/>
        <v>1.9329766731057041E-12</v>
      </c>
      <c r="CW117" s="20">
        <f t="shared" si="67"/>
        <v>3.5982663925596575E-12</v>
      </c>
      <c r="CX117" s="59">
        <f t="shared" si="68"/>
        <v>280.86541503470903</v>
      </c>
      <c r="CY117" s="59">
        <f ca="1">AVERAGE(OFFSET($CX$3,0,0,'Données projet'!$E$13+1,1))-AVERAGE(OFFSET($H$3,0,0,'Données projet'!$E$13+1,1))</f>
        <v>308.82719216177946</v>
      </c>
      <c r="CZ117" s="59">
        <f t="shared" si="96"/>
        <v>302.59481222418219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33.278398722839697</v>
      </c>
      <c r="DG117" s="21">
        <f>EXP(-LN(2)/25)*DG116+(1-EXP(-LN(2)/25))/(LN(2)/25)*Calculateur!DB117*Calculateur!DD117*VLOOKUP('Données projet'!$B$13,Paramètres!$A$1:$I$89,3,0)*0.475*44/12</f>
        <v>19.588046755775288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52.866445478614985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304.99999999999983</v>
      </c>
      <c r="DP117" s="17">
        <f>DO117*VLOOKUP('Données projet'!$B$14,Paramètres!$A$1:$I$89,3,0)*VLOOKUP('Données projet'!$B$14,Paramètres!$A$1:$I$89,5,0)</f>
        <v>275.96399999999983</v>
      </c>
      <c r="DQ117" s="13">
        <f t="shared" si="97"/>
        <v>66.113366665488854</v>
      </c>
      <c r="DR117" s="20">
        <f t="shared" si="70"/>
        <v>595.78474694239264</v>
      </c>
      <c r="DS117" s="59">
        <f t="shared" si="71"/>
        <v>876.65016197709815</v>
      </c>
      <c r="DT117" s="59">
        <f ca="1">AVERAGE(OFFSET($DS$3,0,0,'Données projet'!$E$14+1,1))-AVERAGE(OFFSET($H$3,0,0,'Données projet'!$E$14+1,1))</f>
        <v>376.51107072413777</v>
      </c>
      <c r="DU117" s="59">
        <f t="shared" si="98"/>
        <v>532.90758914457615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0.30622528273652871</v>
      </c>
      <c r="EB117" s="21">
        <f>EXP(-LN(2)/25)*EB116+(1-EXP(-LN(2)/25))/(LN(2)/25)*Calculateur!DW117*Calculateur!DY117*VLOOKUP('Données projet'!$B$14,Paramètres!$A$1:$I$89,3,0)*0.475*44/12</f>
        <v>0.7190719355494174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1.0252972182859461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-1.7053025658242404E-13</v>
      </c>
      <c r="EK117" s="17">
        <f>EJ117*VLOOKUP('Données projet'!$B$15,Paramètres!$A$1:$I$89,3,0)*VLOOKUP('Données projet'!$B$15,Paramètres!$A$1:$I$89,5,0)</f>
        <v>-1.0197709343628959E-13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337.99164391755608</v>
      </c>
      <c r="EP117" s="59">
        <f t="shared" si="100"/>
        <v>421.45428231923393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51.633614696851126</v>
      </c>
      <c r="EW117" s="21">
        <f>EXP(-LN(2)/25)*EW116+(1-EXP(-LN(2)/25))/(LN(2)/25)*Calculateur!ER117*Calculateur!ET117*VLOOKUP('Données projet'!$B$15,Paramètres!$A$1:$I$89,3,0)*0.475*44/12</f>
        <v>8.8519378204759516</v>
      </c>
      <c r="EX117" s="21">
        <f>EXP(-LN(2)/2)*EX116+(1-EXP(-LN(2)/2))/(LN(2)/2)*ER117*EU117*VLOOKUP('Données projet'!$B$15,Paramètres!$A$1:$I$89,3,0)*0.475*44/12</f>
        <v>7.5262730834650864E-8</v>
      </c>
      <c r="EY117" s="22">
        <f t="shared" si="75"/>
        <v>60.485552592589812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5.3066239316239274</v>
      </c>
      <c r="N118" s="13">
        <f>IF('Données projet'!$A$36&gt;35,N117+M118-V117,IF(A118&lt;'Données projet'!$A$36,$K$205^A118,IF(A118='Données projet'!$A$36,'Données projet'!$B$36,N117+M118-V117)))</f>
        <v>225.22863247863214</v>
      </c>
      <c r="O118" s="13">
        <f>N118*VLOOKUP('Données projet'!$B$9,Paramètres!$A$1:$I$89,3,0)*VLOOKUP('Données projet'!$B$9,Paramètres!$A$1:$I$89,5,0)</f>
        <v>203.78686666666636</v>
      </c>
      <c r="P118" s="13">
        <f t="shared" si="87"/>
        <v>50.57549569083951</v>
      </c>
      <c r="Q118" s="20">
        <f t="shared" si="107"/>
        <v>443.01444777265607</v>
      </c>
      <c r="R118" s="59">
        <f t="shared" si="55"/>
        <v>724.09615331575333</v>
      </c>
      <c r="S118" s="59">
        <f ca="1">AVERAGE(OFFSET($R$3,0,0,'Données projet'!$E$9+1,1))-AVERAGE(OFFSET($H$3,0,0,'Données projet'!$E$9+1,1))</f>
        <v>388.1278150896951</v>
      </c>
      <c r="T118" s="59">
        <f t="shared" si="88"/>
        <v>232.26614607059227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34.315093200227878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34.315093200227878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5.3066239316239274</v>
      </c>
      <c r="AI118" s="13">
        <f>IF('Données projet'!$A$62&gt;35,AI117+AH118-AQ117,IF(A118&lt;'Données projet'!$A$62,$AF$205^A118,IF(A118='Données projet'!$A$62,'Données projet'!$B$62,AI117+AH118-AQ117)))</f>
        <v>225.22863247863214</v>
      </c>
      <c r="AJ118" s="13">
        <f>AI118*VLOOKUP('Données projet'!$B$10,Paramètres!$A$1:$I$89,3,0)*VLOOKUP('Données projet'!$B$10,Paramètres!$A$1:$I$89,5,0)</f>
        <v>228.38183333333299</v>
      </c>
      <c r="AK118" s="13">
        <f t="shared" si="89"/>
        <v>55.932652422184837</v>
      </c>
      <c r="AL118" s="20">
        <f t="shared" si="58"/>
        <v>495.18106269086019</v>
      </c>
      <c r="AM118" s="59">
        <f t="shared" si="59"/>
        <v>776.26276823395744</v>
      </c>
      <c r="AN118" s="59">
        <f ca="1">AVERAGE(OFFSET($AM$3,0,0,'Données projet'!$E$10+1,1))-AVERAGE(OFFSET($H$3,0,0,'Données projet'!$E$10+1,1))</f>
        <v>424.89201140676084</v>
      </c>
      <c r="AO118" s="59">
        <f t="shared" si="90"/>
        <v>253.0016648946303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38.456569965772616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38.456569965772616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5.3066239316239274</v>
      </c>
      <c r="BD118" s="12">
        <f>IF('Données projet'!$A$88&gt;35,BD117+BC118-BL117,IF(A118&lt;'Données projet'!$A$88,$BA$205^A118,IF(A118='Données projet'!$A$88,'Données projet'!$B$88,BD117+BC118-BL117)))</f>
        <v>225.22863247863214</v>
      </c>
      <c r="BE118" s="13">
        <f>BD118*VLOOKUP('Données projet'!$B$11,Paramètres!$A$1:$I$89,3,0)*VLOOKUP('Données projet'!$B$11,Paramètres!$A$1:$I$89,5,0)</f>
        <v>214.32756666666634</v>
      </c>
      <c r="BF118" s="13">
        <f t="shared" si="91"/>
        <v>52.880142291343276</v>
      </c>
      <c r="BG118" s="20">
        <f t="shared" si="61"/>
        <v>465.38675976853341</v>
      </c>
      <c r="BH118" s="59">
        <f t="shared" si="62"/>
        <v>746.46846531163067</v>
      </c>
      <c r="BI118" s="59">
        <f ca="1">AVERAGE(OFFSET($BH$3,0,0,'Données projet'!$E$11+1,1))-AVERAGE(OFFSET($H$3,0,0,'Données projet'!$E$11+1,1))</f>
        <v>403.89478276355294</v>
      </c>
      <c r="BJ118" s="59">
        <f t="shared" si="92"/>
        <v>241.1593989733278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36.090011814032771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36.090011814032771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319</v>
      </c>
      <c r="BZ118" s="13">
        <f>BY118*VLOOKUP('Données projet'!$B$12,Paramètres!$A$1:$I$89,3,0)*VLOOKUP('Données projet'!$B$12,Paramètres!$A$1:$I$89,5,0)</f>
        <v>253.79640000000001</v>
      </c>
      <c r="CA118" s="13">
        <f t="shared" si="93"/>
        <v>61.39816832228076</v>
      </c>
      <c r="CB118" s="20">
        <f t="shared" si="64"/>
        <v>548.96387316130563</v>
      </c>
      <c r="CC118" s="59">
        <f t="shared" si="65"/>
        <v>830.04557870440294</v>
      </c>
      <c r="CD118" s="59">
        <f ca="1">AVERAGE(OFFSET($CC$3,0,0,'Données projet'!$E$12+1,1))-AVERAGE(OFFSET($H$3,0,0,'Données projet'!$E$12+1,1))</f>
        <v>377.27600411578322</v>
      </c>
      <c r="CE118" s="59">
        <f t="shared" si="94"/>
        <v>364.58250627635425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22.389411216888728</v>
      </c>
      <c r="CL118" s="21">
        <f>EXP(-LN(2)/25)*CL117+(1-EXP(-LN(2)/25))/(LN(2)/25)*Calculateur!CG118*Calculateur!CI118*VLOOKUP('Données projet'!$B$12,Paramètres!$A$1:$I$89,3,0)*0.475*44/12</f>
        <v>2.859173855002437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25.248585071891164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1.7053025658242404E-13</v>
      </c>
      <c r="CU118" s="17">
        <f>CT118*VLOOKUP('Données projet'!$B$13,Paramètres!$A$1:$I$89,3,0)*VLOOKUP('Données projet'!$B$13,Paramètres!$A$1:$I$89,5,0)</f>
        <v>1.3301360013429075E-13</v>
      </c>
      <c r="CV118" s="13">
        <f t="shared" si="95"/>
        <v>1.9329766731057041E-12</v>
      </c>
      <c r="CW118" s="20">
        <f t="shared" si="67"/>
        <v>3.5982663925596575E-12</v>
      </c>
      <c r="CX118" s="59">
        <f t="shared" si="68"/>
        <v>281.08170554310084</v>
      </c>
      <c r="CY118" s="59">
        <f ca="1">AVERAGE(OFFSET($CX$3,0,0,'Données projet'!$E$13+1,1))-AVERAGE(OFFSET($H$3,0,0,'Données projet'!$E$13+1,1))</f>
        <v>308.82719216177946</v>
      </c>
      <c r="CZ118" s="59">
        <f t="shared" si="96"/>
        <v>302.59481222418219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32.625829621703787</v>
      </c>
      <c r="DG118" s="21">
        <f>EXP(-LN(2)/25)*DG117+(1-EXP(-LN(2)/25))/(LN(2)/25)*Calculateur!DB118*Calculateur!DD118*VLOOKUP('Données projet'!$B$13,Paramètres!$A$1:$I$89,3,0)*0.475*44/12</f>
        <v>19.052410587148003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51.67824020885179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304.99999999999983</v>
      </c>
      <c r="DP118" s="17">
        <f>DO118*VLOOKUP('Données projet'!$B$14,Paramètres!$A$1:$I$89,3,0)*VLOOKUP('Données projet'!$B$14,Paramètres!$A$1:$I$89,5,0)</f>
        <v>275.96399999999983</v>
      </c>
      <c r="DQ118" s="13">
        <f t="shared" si="97"/>
        <v>66.113366665488854</v>
      </c>
      <c r="DR118" s="20">
        <f t="shared" si="70"/>
        <v>595.78474694239264</v>
      </c>
      <c r="DS118" s="59">
        <f t="shared" si="71"/>
        <v>876.86645248548984</v>
      </c>
      <c r="DT118" s="59">
        <f ca="1">AVERAGE(OFFSET($DS$3,0,0,'Données projet'!$E$14+1,1))-AVERAGE(OFFSET($H$3,0,0,'Données projet'!$E$14+1,1))</f>
        <v>376.51107072413777</v>
      </c>
      <c r="DU118" s="59">
        <f t="shared" si="98"/>
        <v>532.90758914457615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0.30022039172104498</v>
      </c>
      <c r="EB118" s="21">
        <f>EXP(-LN(2)/25)*EB117+(1-EXP(-LN(2)/25))/(LN(2)/25)*Calculateur!DW118*Calculateur!DY118*VLOOKUP('Données projet'!$B$14,Paramètres!$A$1:$I$89,3,0)*0.475*44/12</f>
        <v>0.6994088756574689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0.99962926737851387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-1.7053025658242404E-13</v>
      </c>
      <c r="EK118" s="17">
        <f>EJ118*VLOOKUP('Données projet'!$B$15,Paramètres!$A$1:$I$89,3,0)*VLOOKUP('Données projet'!$B$15,Paramètres!$A$1:$I$89,5,0)</f>
        <v>-1.0197709343628959E-13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337.99164391755608</v>
      </c>
      <c r="EP118" s="59">
        <f t="shared" si="100"/>
        <v>421.45428231923393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50.621111006041126</v>
      </c>
      <c r="EW118" s="21">
        <f>EXP(-LN(2)/25)*EW117+(1-EXP(-LN(2)/25))/(LN(2)/25)*Calculateur!ER118*Calculateur!ET118*VLOOKUP('Données projet'!$B$15,Paramètres!$A$1:$I$89,3,0)*0.475*44/12</f>
        <v>8.6098811152718575</v>
      </c>
      <c r="EX118" s="21">
        <f>EXP(-LN(2)/2)*EX117+(1-EXP(-LN(2)/2))/(LN(2)/2)*ER118*EU118*VLOOKUP('Données projet'!$B$15,Paramètres!$A$1:$I$89,3,0)*0.475*44/12</f>
        <v>5.3218787343799493E-8</v>
      </c>
      <c r="EY118" s="22">
        <f t="shared" si="75"/>
        <v>59.230992174531764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5.3066239316239274</v>
      </c>
      <c r="N119" s="13">
        <f>IF('Données projet'!$A$36&gt;35,N118+M119-V118,IF(A119&lt;'Données projet'!$A$36,$K$205^A119,IF(A119='Données projet'!$A$36,'Données projet'!$B$36,N118+M119-V118)))</f>
        <v>230.53525641025607</v>
      </c>
      <c r="O119" s="13">
        <f>N119*VLOOKUP('Données projet'!$B$9,Paramètres!$A$1:$I$89,3,0)*VLOOKUP('Données projet'!$B$9,Paramètres!$A$1:$I$89,5,0)</f>
        <v>208.58829999999969</v>
      </c>
      <c r="P119" s="13">
        <f t="shared" si="87"/>
        <v>51.626972732243416</v>
      </c>
      <c r="Q119" s="20">
        <f t="shared" si="107"/>
        <v>453.20826667532333</v>
      </c>
      <c r="R119" s="59">
        <f t="shared" si="55"/>
        <v>734.50251057004482</v>
      </c>
      <c r="S119" s="59">
        <f ca="1">AVERAGE(OFFSET($R$3,0,0,'Données projet'!$E$9+1,1))-AVERAGE(OFFSET($H$3,0,0,'Données projet'!$E$9+1,1))</f>
        <v>388.1278150896951</v>
      </c>
      <c r="T119" s="59">
        <f t="shared" si="88"/>
        <v>232.26614607059227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33.642195152711579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33.642195152711579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5.3066239316239274</v>
      </c>
      <c r="AI119" s="13">
        <f>IF('Données projet'!$A$62&gt;35,AI118+AH119-AQ118,IF(A119&lt;'Données projet'!$A$62,$AF$205^A119,IF(A119='Données projet'!$A$62,'Données projet'!$B$62,AI118+AH119-AQ118)))</f>
        <v>230.53525641025607</v>
      </c>
      <c r="AJ119" s="13">
        <f>AI119*VLOOKUP('Données projet'!$B$10,Paramètres!$A$1:$I$89,3,0)*VLOOKUP('Données projet'!$B$10,Paramètres!$A$1:$I$89,5,0)</f>
        <v>233.76274999999964</v>
      </c>
      <c r="AK119" s="13">
        <f t="shared" si="89"/>
        <v>57.095506074599044</v>
      </c>
      <c r="AL119" s="20">
        <f t="shared" si="58"/>
        <v>506.57812932992596</v>
      </c>
      <c r="AM119" s="59">
        <f t="shared" si="59"/>
        <v>787.87237322464739</v>
      </c>
      <c r="AN119" s="59">
        <f ca="1">AVERAGE(OFFSET($AM$3,0,0,'Données projet'!$E$10+1,1))-AVERAGE(OFFSET($H$3,0,0,'Données projet'!$E$10+1,1))</f>
        <v>424.89201140676084</v>
      </c>
      <c r="AO119" s="59">
        <f t="shared" si="90"/>
        <v>253.0016648946303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37.702460084935389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37.702460084935389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5.3066239316239274</v>
      </c>
      <c r="BD119" s="12">
        <f>IF('Données projet'!$A$88&gt;35,BD118+BC119-BL118,IF(A119&lt;'Données projet'!$A$88,$BA$205^A119,IF(A119='Données projet'!$A$88,'Données projet'!$B$88,BD118+BC119-BL118)))</f>
        <v>230.53525641025607</v>
      </c>
      <c r="BE119" s="13">
        <f>BD119*VLOOKUP('Données projet'!$B$11,Paramètres!$A$1:$I$89,3,0)*VLOOKUP('Données projet'!$B$11,Paramètres!$A$1:$I$89,5,0)</f>
        <v>219.37734999999969</v>
      </c>
      <c r="BF119" s="13">
        <f t="shared" si="91"/>
        <v>53.979533504538885</v>
      </c>
      <c r="BG119" s="20">
        <f t="shared" si="61"/>
        <v>476.09657210373803</v>
      </c>
      <c r="BH119" s="59">
        <f t="shared" si="62"/>
        <v>757.39081599845952</v>
      </c>
      <c r="BI119" s="59">
        <f ca="1">AVERAGE(OFFSET($BH$3,0,0,'Données projet'!$E$11+1,1))-AVERAGE(OFFSET($H$3,0,0,'Données projet'!$E$11+1,1))</f>
        <v>403.89478276355294</v>
      </c>
      <c r="BJ119" s="59">
        <f t="shared" si="92"/>
        <v>241.1593989733278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35.382308695093215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35.382308695093215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319</v>
      </c>
      <c r="BZ119" s="13">
        <f>BY119*VLOOKUP('Données projet'!$B$12,Paramètres!$A$1:$I$89,3,0)*VLOOKUP('Données projet'!$B$12,Paramètres!$A$1:$I$89,5,0)</f>
        <v>253.79640000000001</v>
      </c>
      <c r="CA119" s="13">
        <f t="shared" si="93"/>
        <v>61.39816832228076</v>
      </c>
      <c r="CB119" s="20">
        <f t="shared" si="64"/>
        <v>548.96387316130563</v>
      </c>
      <c r="CC119" s="59">
        <f t="shared" si="65"/>
        <v>830.25811705602712</v>
      </c>
      <c r="CD119" s="59">
        <f ca="1">AVERAGE(OFFSET($CC$3,0,0,'Données projet'!$E$12+1,1))-AVERAGE(OFFSET($H$3,0,0,'Données projet'!$E$12+1,1))</f>
        <v>377.27600411578322</v>
      </c>
      <c r="CE119" s="59">
        <f t="shared" si="94"/>
        <v>364.58250627635425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21.950368519117944</v>
      </c>
      <c r="CL119" s="21">
        <f>EXP(-LN(2)/25)*CL118+(1-EXP(-LN(2)/25))/(LN(2)/25)*Calculateur!CG119*Calculateur!CI119*VLOOKUP('Données projet'!$B$12,Paramètres!$A$1:$I$89,3,0)*0.475*44/12</f>
        <v>2.7809895955799773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24.731358114697922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1.7053025658242404E-13</v>
      </c>
      <c r="CU119" s="17">
        <f>CT119*VLOOKUP('Données projet'!$B$13,Paramètres!$A$1:$I$89,3,0)*VLOOKUP('Données projet'!$B$13,Paramètres!$A$1:$I$89,5,0)</f>
        <v>1.3301360013429075E-13</v>
      </c>
      <c r="CV119" s="13">
        <f t="shared" si="95"/>
        <v>1.9329766731057041E-12</v>
      </c>
      <c r="CW119" s="20">
        <f t="shared" si="67"/>
        <v>3.5982663925596575E-12</v>
      </c>
      <c r="CX119" s="59">
        <f t="shared" si="68"/>
        <v>281.29424389472507</v>
      </c>
      <c r="CY119" s="59">
        <f ca="1">AVERAGE(OFFSET($CX$3,0,0,'Données projet'!$E$13+1,1))-AVERAGE(OFFSET($H$3,0,0,'Données projet'!$E$13+1,1))</f>
        <v>308.82719216177946</v>
      </c>
      <c r="CZ119" s="59">
        <f t="shared" si="96"/>
        <v>302.59481222418219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31.986057002613304</v>
      </c>
      <c r="DG119" s="21">
        <f>EXP(-LN(2)/25)*DG118+(1-EXP(-LN(2)/25))/(LN(2)/25)*Calculateur!DB119*Calculateur!DD119*VLOOKUP('Données projet'!$B$13,Paramètres!$A$1:$I$89,3,0)*0.475*44/12</f>
        <v>18.531421417719713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50.51747842033302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304.99999999999983</v>
      </c>
      <c r="DP119" s="17">
        <f>DO119*VLOOKUP('Données projet'!$B$14,Paramètres!$A$1:$I$89,3,0)*VLOOKUP('Données projet'!$B$14,Paramètres!$A$1:$I$89,5,0)</f>
        <v>275.96399999999983</v>
      </c>
      <c r="DQ119" s="13">
        <f t="shared" si="97"/>
        <v>66.113366665488854</v>
      </c>
      <c r="DR119" s="20">
        <f t="shared" si="70"/>
        <v>595.78474694239264</v>
      </c>
      <c r="DS119" s="59">
        <f t="shared" si="71"/>
        <v>877.07899083711413</v>
      </c>
      <c r="DT119" s="59">
        <f ca="1">AVERAGE(OFFSET($DS$3,0,0,'Données projet'!$E$14+1,1))-AVERAGE(OFFSET($H$3,0,0,'Données projet'!$E$14+1,1))</f>
        <v>376.51107072413777</v>
      </c>
      <c r="DU119" s="59">
        <f t="shared" si="98"/>
        <v>532.90758914457615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0.29433325295575302</v>
      </c>
      <c r="EB119" s="21">
        <f>EXP(-LN(2)/25)*EB118+(1-EXP(-LN(2)/25))/(LN(2)/25)*Calculateur!DW119*Calculateur!DY119*VLOOKUP('Données projet'!$B$14,Paramètres!$A$1:$I$89,3,0)*0.475*44/12</f>
        <v>0.68028350317230113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0.9746167561280541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-1.7053025658242404E-13</v>
      </c>
      <c r="EK119" s="17">
        <f>EJ119*VLOOKUP('Données projet'!$B$15,Paramètres!$A$1:$I$89,3,0)*VLOOKUP('Données projet'!$B$15,Paramètres!$A$1:$I$89,5,0)</f>
        <v>-1.0197709343628959E-13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337.99164391755608</v>
      </c>
      <c r="EP119" s="59">
        <f t="shared" si="100"/>
        <v>421.45428231923393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49.628461895041639</v>
      </c>
      <c r="EW119" s="21">
        <f>EXP(-LN(2)/25)*EW118+(1-EXP(-LN(2)/25))/(LN(2)/25)*Calculateur!ER119*Calculateur!ET119*VLOOKUP('Données projet'!$B$15,Paramètres!$A$1:$I$89,3,0)*0.475*44/12</f>
        <v>8.3744434634007785</v>
      </c>
      <c r="EX119" s="21">
        <f>EXP(-LN(2)/2)*EX118+(1-EXP(-LN(2)/2))/(LN(2)/2)*ER119*EU119*VLOOKUP('Données projet'!$B$15,Paramètres!$A$1:$I$89,3,0)*0.475*44/12</f>
        <v>3.7631365417325432E-8</v>
      </c>
      <c r="EY119" s="22">
        <f t="shared" si="75"/>
        <v>58.002905396073785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5.3066239316239274</v>
      </c>
      <c r="N120" s="13">
        <f>IF('Données projet'!$A$36&gt;35,N119+M120-V119,IF(A120&lt;'Données projet'!$A$36,$K$205^A120,IF(A120='Données projet'!$A$36,'Données projet'!$B$36,N119+M120-V119)))</f>
        <v>235.84188034188</v>
      </c>
      <c r="O120" s="13">
        <f>N120*VLOOKUP('Données projet'!$B$9,Paramètres!$A$1:$I$89,3,0)*VLOOKUP('Données projet'!$B$9,Paramètres!$A$1:$I$89,5,0)</f>
        <v>213.389733333333</v>
      </c>
      <c r="P120" s="13">
        <f t="shared" si="87"/>
        <v>52.675635977819994</v>
      </c>
      <c r="Q120" s="20">
        <f t="shared" si="107"/>
        <v>463.39718488359148</v>
      </c>
      <c r="R120" s="59">
        <f t="shared" si="55"/>
        <v>744.90028006470106</v>
      </c>
      <c r="S120" s="59">
        <f ca="1">AVERAGE(OFFSET($R$3,0,0,'Données projet'!$E$9+1,1))-AVERAGE(OFFSET($H$3,0,0,'Données projet'!$E$9+1,1))</f>
        <v>388.1278150896951</v>
      </c>
      <c r="T120" s="59">
        <f t="shared" si="88"/>
        <v>232.26614607059227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32.982492225479795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32.982492225479795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5.3066239316239274</v>
      </c>
      <c r="AI120" s="13">
        <f>IF('Données projet'!$A$62&gt;35,AI119+AH120-AQ119,IF(A120&lt;'Données projet'!$A$62,$AF$205^A120,IF(A120='Données projet'!$A$62,'Données projet'!$B$62,AI119+AH120-AQ119)))</f>
        <v>235.84188034188</v>
      </c>
      <c r="AJ120" s="13">
        <f>AI120*VLOOKUP('Données projet'!$B$10,Paramètres!$A$1:$I$89,3,0)*VLOOKUP('Données projet'!$B$10,Paramètres!$A$1:$I$89,5,0)</f>
        <v>239.14366666666635</v>
      </c>
      <c r="AK120" s="13">
        <f t="shared" si="89"/>
        <v>58.255247882792112</v>
      </c>
      <c r="AL120" s="20">
        <f t="shared" si="58"/>
        <v>517.96977617364007</v>
      </c>
      <c r="AM120" s="59">
        <f t="shared" si="59"/>
        <v>799.47287135474971</v>
      </c>
      <c r="AN120" s="59">
        <f ca="1">AVERAGE(OFFSET($AM$3,0,0,'Données projet'!$E$10+1,1))-AVERAGE(OFFSET($H$3,0,0,'Données projet'!$E$10+1,1))</f>
        <v>424.89201140676084</v>
      </c>
      <c r="AO120" s="59">
        <f t="shared" si="90"/>
        <v>253.0016648946303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36.963137838899769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36.963137838899769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5.3066239316239274</v>
      </c>
      <c r="BD120" s="12">
        <f>IF('Données projet'!$A$88&gt;35,BD119+BC120-BL119,IF(A120&lt;'Données projet'!$A$88,$BA$205^A120,IF(A120='Données projet'!$A$88,'Données projet'!$B$88,BD119+BC120-BL119)))</f>
        <v>235.84188034188</v>
      </c>
      <c r="BE120" s="13">
        <f>BD120*VLOOKUP('Données projet'!$B$11,Paramètres!$A$1:$I$89,3,0)*VLOOKUP('Données projet'!$B$11,Paramètres!$A$1:$I$89,5,0)</f>
        <v>224.42713333333299</v>
      </c>
      <c r="BF120" s="13">
        <f t="shared" si="91"/>
        <v>55.075982701611863</v>
      </c>
      <c r="BG120" s="20">
        <f t="shared" si="61"/>
        <v>486.80126042752903</v>
      </c>
      <c r="BH120" s="59">
        <f t="shared" si="62"/>
        <v>768.30435560863862</v>
      </c>
      <c r="BI120" s="59">
        <f ca="1">AVERAGE(OFFSET($BH$3,0,0,'Données projet'!$E$11+1,1))-AVERAGE(OFFSET($H$3,0,0,'Données projet'!$E$11+1,1))</f>
        <v>403.89478276355294</v>
      </c>
      <c r="BJ120" s="59">
        <f t="shared" si="92"/>
        <v>241.1593989733278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34.688483202659789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34.688483202659789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319</v>
      </c>
      <c r="BZ120" s="13">
        <f>BY120*VLOOKUP('Données projet'!$B$12,Paramètres!$A$1:$I$89,3,0)*VLOOKUP('Données projet'!$B$12,Paramètres!$A$1:$I$89,5,0)</f>
        <v>253.79640000000001</v>
      </c>
      <c r="CA120" s="13">
        <f t="shared" si="93"/>
        <v>61.39816832228076</v>
      </c>
      <c r="CB120" s="20">
        <f t="shared" si="64"/>
        <v>548.96387316130563</v>
      </c>
      <c r="CC120" s="59">
        <f t="shared" si="65"/>
        <v>830.46696834241527</v>
      </c>
      <c r="CD120" s="59">
        <f ca="1">AVERAGE(OFFSET($CC$3,0,0,'Données projet'!$E$12+1,1))-AVERAGE(OFFSET($H$3,0,0,'Données projet'!$E$12+1,1))</f>
        <v>377.27600411578322</v>
      </c>
      <c r="CE120" s="59">
        <f t="shared" si="94"/>
        <v>364.58250627635425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21.519935180860845</v>
      </c>
      <c r="CL120" s="21">
        <f>EXP(-LN(2)/25)*CL119+(1-EXP(-LN(2)/25))/(LN(2)/25)*Calculateur!CG120*Calculateur!CI120*VLOOKUP('Données projet'!$B$12,Paramètres!$A$1:$I$89,3,0)*0.475*44/12</f>
        <v>2.7049432888429559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24.2248784697038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1.7053025658242404E-13</v>
      </c>
      <c r="CU120" s="17">
        <f>CT120*VLOOKUP('Données projet'!$B$13,Paramètres!$A$1:$I$89,3,0)*VLOOKUP('Données projet'!$B$13,Paramètres!$A$1:$I$89,5,0)</f>
        <v>1.3301360013429075E-13</v>
      </c>
      <c r="CV120" s="13">
        <f t="shared" si="95"/>
        <v>1.9329766731057041E-12</v>
      </c>
      <c r="CW120" s="20">
        <f t="shared" si="67"/>
        <v>3.5982663925596575E-12</v>
      </c>
      <c r="CX120" s="59">
        <f t="shared" si="68"/>
        <v>281.50309518111322</v>
      </c>
      <c r="CY120" s="59">
        <f ca="1">AVERAGE(OFFSET($CX$3,0,0,'Données projet'!$E$13+1,1))-AVERAGE(OFFSET($H$3,0,0,'Données projet'!$E$13+1,1))</f>
        <v>308.82719216177946</v>
      </c>
      <c r="CZ120" s="59">
        <f t="shared" si="96"/>
        <v>302.59481222418219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31.358829934360418</v>
      </c>
      <c r="DG120" s="21">
        <f>EXP(-LN(2)/25)*DG119+(1-EXP(-LN(2)/25))/(LN(2)/25)*Calculateur!DB120*Calculateur!DD120*VLOOKUP('Données projet'!$B$13,Paramètres!$A$1:$I$89,3,0)*0.475*44/12</f>
        <v>18.024678724527067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49.383508658887486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304.99999999999983</v>
      </c>
      <c r="DP120" s="17">
        <f>DO120*VLOOKUP('Données projet'!$B$14,Paramètres!$A$1:$I$89,3,0)*VLOOKUP('Données projet'!$B$14,Paramètres!$A$1:$I$89,5,0)</f>
        <v>275.96399999999983</v>
      </c>
      <c r="DQ120" s="13">
        <f t="shared" si="97"/>
        <v>66.113366665488854</v>
      </c>
      <c r="DR120" s="20">
        <f t="shared" si="70"/>
        <v>595.78474694239264</v>
      </c>
      <c r="DS120" s="59">
        <f t="shared" si="71"/>
        <v>877.28784212350229</v>
      </c>
      <c r="DT120" s="59">
        <f ca="1">AVERAGE(OFFSET($DS$3,0,0,'Données projet'!$E$14+1,1))-AVERAGE(OFFSET($H$3,0,0,'Données projet'!$E$14+1,1))</f>
        <v>376.51107072413777</v>
      </c>
      <c r="DU120" s="59">
        <f t="shared" si="98"/>
        <v>532.90758914457615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0.28856155739084832</v>
      </c>
      <c r="EB120" s="21">
        <f>EXP(-LN(2)/25)*EB119+(1-EXP(-LN(2)/25))/(LN(2)/25)*Calculateur!DW120*Calculateur!DY120*VLOOKUP('Données projet'!$B$14,Paramètres!$A$1:$I$89,3,0)*0.475*44/12</f>
        <v>0.66168111500349991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0.95024267239434823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-1.7053025658242404E-13</v>
      </c>
      <c r="EK120" s="17">
        <f>EJ120*VLOOKUP('Données projet'!$B$15,Paramètres!$A$1:$I$89,3,0)*VLOOKUP('Données projet'!$B$15,Paramètres!$A$1:$I$89,5,0)</f>
        <v>-1.0197709343628959E-13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337.99164391755608</v>
      </c>
      <c r="EP120" s="59">
        <f t="shared" si="100"/>
        <v>421.45428231923393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48.655278027652678</v>
      </c>
      <c r="EW120" s="21">
        <f>EXP(-LN(2)/25)*EW119+(1-EXP(-LN(2)/25))/(LN(2)/25)*Calculateur!ER120*Calculateur!ET120*VLOOKUP('Données projet'!$B$15,Paramètres!$A$1:$I$89,3,0)*0.475*44/12</f>
        <v>8.1454438665012425</v>
      </c>
      <c r="EX120" s="21">
        <f>EXP(-LN(2)/2)*EX119+(1-EXP(-LN(2)/2))/(LN(2)/2)*ER120*EU120*VLOOKUP('Données projet'!$B$15,Paramètres!$A$1:$I$89,3,0)*0.475*44/12</f>
        <v>2.6609393671899747E-8</v>
      </c>
      <c r="EY120" s="22">
        <f t="shared" si="75"/>
        <v>56.800721920763316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5.3066239316239274</v>
      </c>
      <c r="N121" s="13">
        <f>IF('Données projet'!$A$36&gt;35,N120+M121-V120,IF(A121&lt;'Données projet'!$A$36,$K$205^A121,IF(A121='Données projet'!$A$36,'Données projet'!$B$36,N120+M121-V120)))</f>
        <v>241.14850427350393</v>
      </c>
      <c r="O121" s="13">
        <f>N121*VLOOKUP('Données projet'!$B$9,Paramètres!$A$1:$I$89,3,0)*VLOOKUP('Données projet'!$B$9,Paramètres!$A$1:$I$89,5,0)</f>
        <v>218.19116666666633</v>
      </c>
      <c r="P121" s="13">
        <f t="shared" si="87"/>
        <v>53.721556029282723</v>
      </c>
      <c r="Q121" s="20">
        <f t="shared" si="107"/>
        <v>473.58132536211127</v>
      </c>
      <c r="R121" s="59">
        <f t="shared" si="55"/>
        <v>755.28964872671168</v>
      </c>
      <c r="S121" s="59">
        <f ca="1">AVERAGE(OFFSET($R$3,0,0,'Données projet'!$E$9+1,1))-AVERAGE(OFFSET($H$3,0,0,'Données projet'!$E$9+1,1))</f>
        <v>388.1278150896951</v>
      </c>
      <c r="T121" s="59">
        <f t="shared" si="88"/>
        <v>232.26614607059227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32.33572567027197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32.33572567027197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5.3066239316239274</v>
      </c>
      <c r="AI121" s="13">
        <f>IF('Données projet'!$A$62&gt;35,AI120+AH121-AQ120,IF(A121&lt;'Données projet'!$A$62,$AF$205^A121,IF(A121='Données projet'!$A$62,'Données projet'!$B$62,AI120+AH121-AQ120)))</f>
        <v>241.14850427350393</v>
      </c>
      <c r="AJ121" s="13">
        <f>AI121*VLOOKUP('Données projet'!$B$10,Paramètres!$A$1:$I$89,3,0)*VLOOKUP('Données projet'!$B$10,Paramètres!$A$1:$I$89,5,0)</f>
        <v>244.52458333333303</v>
      </c>
      <c r="AK121" s="13">
        <f t="shared" si="89"/>
        <v>59.41195592689057</v>
      </c>
      <c r="AL121" s="20">
        <f t="shared" si="58"/>
        <v>529.35613921155607</v>
      </c>
      <c r="AM121" s="59">
        <f t="shared" si="59"/>
        <v>811.06446257615653</v>
      </c>
      <c r="AN121" s="59">
        <f ca="1">AVERAGE(OFFSET($AM$3,0,0,'Données projet'!$E$10+1,1))-AVERAGE(OFFSET($H$3,0,0,'Données projet'!$E$10+1,1))</f>
        <v>424.89201140676084</v>
      </c>
      <c r="AO121" s="59">
        <f t="shared" si="90"/>
        <v>253.0016648946303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36.238313251166865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36.238313251166865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5.3066239316239274</v>
      </c>
      <c r="BD121" s="12">
        <f>IF('Données projet'!$A$88&gt;35,BD120+BC121-BL120,IF(A121&lt;'Données projet'!$A$88,$BA$205^A121,IF(A121='Données projet'!$A$88,'Données projet'!$B$88,BD120+BC121-BL120)))</f>
        <v>241.14850427350393</v>
      </c>
      <c r="BE121" s="13">
        <f>BD121*VLOOKUP('Données projet'!$B$11,Paramètres!$A$1:$I$89,3,0)*VLOOKUP('Données projet'!$B$11,Paramètres!$A$1:$I$89,5,0)</f>
        <v>229.47691666666634</v>
      </c>
      <c r="BF121" s="13">
        <f t="shared" si="91"/>
        <v>56.169563701486098</v>
      </c>
      <c r="BG121" s="20">
        <f t="shared" si="61"/>
        <v>497.50095330786547</v>
      </c>
      <c r="BH121" s="59">
        <f t="shared" si="62"/>
        <v>779.20927667246588</v>
      </c>
      <c r="BI121" s="59">
        <f ca="1">AVERAGE(OFFSET($BH$3,0,0,'Données projet'!$E$11+1,1))-AVERAGE(OFFSET($H$3,0,0,'Données projet'!$E$11+1,1))</f>
        <v>403.89478276355294</v>
      </c>
      <c r="BJ121" s="59">
        <f t="shared" si="92"/>
        <v>241.1593989733278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34.008263204941215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34.008263204941215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319</v>
      </c>
      <c r="BZ121" s="13">
        <f>BY121*VLOOKUP('Données projet'!$B$12,Paramètres!$A$1:$I$89,3,0)*VLOOKUP('Données projet'!$B$12,Paramètres!$A$1:$I$89,5,0)</f>
        <v>253.79640000000001</v>
      </c>
      <c r="CA121" s="13">
        <f t="shared" si="93"/>
        <v>61.39816832228076</v>
      </c>
      <c r="CB121" s="20">
        <f t="shared" si="64"/>
        <v>548.96387316130563</v>
      </c>
      <c r="CC121" s="59">
        <f t="shared" si="65"/>
        <v>830.67219652590597</v>
      </c>
      <c r="CD121" s="59">
        <f ca="1">AVERAGE(OFFSET($CC$3,0,0,'Données projet'!$E$12+1,1))-AVERAGE(OFFSET($H$3,0,0,'Données projet'!$E$12+1,1))</f>
        <v>377.27600411578322</v>
      </c>
      <c r="CE121" s="59">
        <f t="shared" si="94"/>
        <v>364.58250627635425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21.097942377828552</v>
      </c>
      <c r="CL121" s="21">
        <f>EXP(-LN(2)/25)*CL120+(1-EXP(-LN(2)/25))/(LN(2)/25)*Calculateur!CG121*Calculateur!CI121*VLOOKUP('Données projet'!$B$12,Paramètres!$A$1:$I$89,3,0)*0.475*44/12</f>
        <v>2.63097647236276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23.728918850191313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1.7053025658242404E-13</v>
      </c>
      <c r="CU121" s="17">
        <f>CT121*VLOOKUP('Données projet'!$B$13,Paramètres!$A$1:$I$89,3,0)*VLOOKUP('Données projet'!$B$13,Paramètres!$A$1:$I$89,5,0)</f>
        <v>1.3301360013429075E-13</v>
      </c>
      <c r="CV121" s="13">
        <f t="shared" si="95"/>
        <v>1.9329766731057041E-12</v>
      </c>
      <c r="CW121" s="20">
        <f t="shared" si="67"/>
        <v>3.5982663925596575E-12</v>
      </c>
      <c r="CX121" s="59">
        <f t="shared" si="68"/>
        <v>281.70832336460398</v>
      </c>
      <c r="CY121" s="59">
        <f ca="1">AVERAGE(OFFSET($CX$3,0,0,'Données projet'!$E$13+1,1))-AVERAGE(OFFSET($H$3,0,0,'Données projet'!$E$13+1,1))</f>
        <v>308.82719216177946</v>
      </c>
      <c r="CZ121" s="59">
        <f t="shared" si="96"/>
        <v>302.59481222418219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30.743902406345235</v>
      </c>
      <c r="DG121" s="21">
        <f>EXP(-LN(2)/25)*DG120+(1-EXP(-LN(2)/25))/(LN(2)/25)*Calculateur!DB121*Calculateur!DD121*VLOOKUP('Données projet'!$B$13,Paramètres!$A$1:$I$89,3,0)*0.475*44/12</f>
        <v>17.531792936928216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48.275695343273455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304.99999999999983</v>
      </c>
      <c r="DP121" s="17">
        <f>DO121*VLOOKUP('Données projet'!$B$14,Paramètres!$A$1:$I$89,3,0)*VLOOKUP('Données projet'!$B$14,Paramètres!$A$1:$I$89,5,0)</f>
        <v>275.96399999999983</v>
      </c>
      <c r="DQ121" s="13">
        <f t="shared" si="97"/>
        <v>66.113366665488854</v>
      </c>
      <c r="DR121" s="20">
        <f t="shared" si="70"/>
        <v>595.78474694239264</v>
      </c>
      <c r="DS121" s="59">
        <f t="shared" si="71"/>
        <v>877.4930703069931</v>
      </c>
      <c r="DT121" s="59">
        <f ca="1">AVERAGE(OFFSET($DS$3,0,0,'Données projet'!$E$14+1,1))-AVERAGE(OFFSET($H$3,0,0,'Données projet'!$E$14+1,1))</f>
        <v>376.51107072413777</v>
      </c>
      <c r="DU121" s="59">
        <f t="shared" si="98"/>
        <v>532.90758914457615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0.28290304125558474</v>
      </c>
      <c r="EB121" s="21">
        <f>EXP(-LN(2)/25)*EB120+(1-EXP(-LN(2)/25))/(LN(2)/25)*Calculateur!DW121*Calculateur!DY121*VLOOKUP('Données projet'!$B$14,Paramètres!$A$1:$I$89,3,0)*0.475*44/12</f>
        <v>0.6435874101174317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0.92649045137301644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-1.7053025658242404E-13</v>
      </c>
      <c r="EK121" s="17">
        <f>EJ121*VLOOKUP('Données projet'!$B$15,Paramètres!$A$1:$I$89,3,0)*VLOOKUP('Données projet'!$B$15,Paramètres!$A$1:$I$89,5,0)</f>
        <v>-1.0197709343628959E-13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337.99164391755608</v>
      </c>
      <c r="EP121" s="59">
        <f t="shared" si="100"/>
        <v>421.45428231923393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47.701177702319669</v>
      </c>
      <c r="EW121" s="21">
        <f>EXP(-LN(2)/25)*EW120+(1-EXP(-LN(2)/25))/(LN(2)/25)*Calculateur!ER121*Calculateur!ET121*VLOOKUP('Données projet'!$B$15,Paramètres!$A$1:$I$89,3,0)*0.475*44/12</f>
        <v>7.9227062756214899</v>
      </c>
      <c r="EX121" s="21">
        <f>EXP(-LN(2)/2)*EX120+(1-EXP(-LN(2)/2))/(LN(2)/2)*ER121*EU121*VLOOKUP('Données projet'!$B$15,Paramètres!$A$1:$I$89,3,0)*0.475*44/12</f>
        <v>1.8815682708662716E-8</v>
      </c>
      <c r="EY121" s="22">
        <f t="shared" si="75"/>
        <v>55.623883996756845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5.3066239316239274</v>
      </c>
      <c r="N122" s="13">
        <f>IF('Données projet'!$A$36&gt;35,N121+M122-V121,IF(A122&lt;'Données projet'!$A$36,$K$205^A122,IF(A122='Données projet'!$A$36,'Données projet'!$B$36,N121+M122-V121)))</f>
        <v>246.45512820512786</v>
      </c>
      <c r="O122" s="13">
        <f>N122*VLOOKUP('Données projet'!$B$9,Paramètres!$A$1:$I$89,3,0)*VLOOKUP('Données projet'!$B$9,Paramètres!$A$1:$I$89,5,0)</f>
        <v>222.99259999999967</v>
      </c>
      <c r="P122" s="13">
        <f t="shared" si="87"/>
        <v>54.764800203643112</v>
      </c>
      <c r="Q122" s="20">
        <f t="shared" si="107"/>
        <v>483.76080535467781</v>
      </c>
      <c r="R122" s="59">
        <f t="shared" si="55"/>
        <v>765.6707966526069</v>
      </c>
      <c r="S122" s="59">
        <f ca="1">AVERAGE(OFFSET($R$3,0,0,'Données projet'!$E$9+1,1))-AVERAGE(OFFSET($H$3,0,0,'Données projet'!$E$9+1,1))</f>
        <v>388.1278150896951</v>
      </c>
      <c r="T122" s="59">
        <f t="shared" si="88"/>
        <v>232.26614607059227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31.701641812723125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31.701641812723125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5.3066239316239274</v>
      </c>
      <c r="AI122" s="13">
        <f>IF('Données projet'!$A$62&gt;35,AI121+AH122-AQ121,IF(A122&lt;'Données projet'!$A$62,$AF$205^A122,IF(A122='Données projet'!$A$62,'Données projet'!$B$62,AI121+AH122-AQ121)))</f>
        <v>246.45512820512786</v>
      </c>
      <c r="AJ122" s="13">
        <f>AI122*VLOOKUP('Données projet'!$B$10,Paramètres!$A$1:$I$89,3,0)*VLOOKUP('Données projet'!$B$10,Paramètres!$A$1:$I$89,5,0)</f>
        <v>249.90549999999968</v>
      </c>
      <c r="AK122" s="13">
        <f t="shared" si="89"/>
        <v>60.565704654390196</v>
      </c>
      <c r="AL122" s="20">
        <f t="shared" si="58"/>
        <v>540.73734810639564</v>
      </c>
      <c r="AM122" s="59">
        <f t="shared" si="59"/>
        <v>822.64733940432484</v>
      </c>
      <c r="AN122" s="59">
        <f ca="1">AVERAGE(OFFSET($AM$3,0,0,'Données projet'!$E$10+1,1))-AVERAGE(OFFSET($H$3,0,0,'Données projet'!$E$10+1,1))</f>
        <v>424.89201140676084</v>
      </c>
      <c r="AO122" s="59">
        <f t="shared" si="90"/>
        <v>253.0016648946303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35.527702031500056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35.527702031500056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5.3066239316239274</v>
      </c>
      <c r="BD122" s="12">
        <f>IF('Données projet'!$A$88&gt;35,BD121+BC122-BL121,IF(A122&lt;'Données projet'!$A$88,$BA$205^A122,IF(A122='Données projet'!$A$88,'Données projet'!$B$88,BD121+BC122-BL121)))</f>
        <v>246.45512820512786</v>
      </c>
      <c r="BE122" s="13">
        <f>BD122*VLOOKUP('Données projet'!$B$11,Paramètres!$A$1:$I$89,3,0)*VLOOKUP('Données projet'!$B$11,Paramètres!$A$1:$I$89,5,0)</f>
        <v>234.52669999999969</v>
      </c>
      <c r="BF122" s="13">
        <f t="shared" si="91"/>
        <v>57.260346888704206</v>
      </c>
      <c r="BG122" s="20">
        <f t="shared" si="61"/>
        <v>508.19577333115927</v>
      </c>
      <c r="BH122" s="59">
        <f t="shared" si="62"/>
        <v>790.10576462908841</v>
      </c>
      <c r="BI122" s="59">
        <f ca="1">AVERAGE(OFFSET($BH$3,0,0,'Données projet'!$E$11+1,1))-AVERAGE(OFFSET($H$3,0,0,'Données projet'!$E$11+1,1))</f>
        <v>403.89478276355294</v>
      </c>
      <c r="BJ122" s="59">
        <f t="shared" si="92"/>
        <v>241.1593989733278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33.341381906484671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33.341381906484671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319</v>
      </c>
      <c r="BZ122" s="13">
        <f>BY122*VLOOKUP('Données projet'!$B$12,Paramètres!$A$1:$I$89,3,0)*VLOOKUP('Données projet'!$B$12,Paramètres!$A$1:$I$89,5,0)</f>
        <v>253.79640000000001</v>
      </c>
      <c r="CA122" s="13">
        <f t="shared" si="93"/>
        <v>61.39816832228076</v>
      </c>
      <c r="CB122" s="20">
        <f t="shared" si="64"/>
        <v>548.96387316130563</v>
      </c>
      <c r="CC122" s="59">
        <f t="shared" si="65"/>
        <v>830.87386445923471</v>
      </c>
      <c r="CD122" s="59">
        <f ca="1">AVERAGE(OFFSET($CC$3,0,0,'Données projet'!$E$12+1,1))-AVERAGE(OFFSET($H$3,0,0,'Données projet'!$E$12+1,1))</f>
        <v>377.27600411578322</v>
      </c>
      <c r="CE122" s="59">
        <f t="shared" si="94"/>
        <v>364.58250627635425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20.684224596273527</v>
      </c>
      <c r="CL122" s="21">
        <f>EXP(-LN(2)/25)*CL121+(1-EXP(-LN(2)/25))/(LN(2)/25)*Calculateur!CG122*Calculateur!CI122*VLOOKUP('Données projet'!$B$12,Paramètres!$A$1:$I$89,3,0)*0.475*44/12</f>
        <v>2.5590322823689609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23.243256878642487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1.7053025658242404E-13</v>
      </c>
      <c r="CU122" s="17">
        <f>CT122*VLOOKUP('Données projet'!$B$13,Paramètres!$A$1:$I$89,3,0)*VLOOKUP('Données projet'!$B$13,Paramètres!$A$1:$I$89,5,0)</f>
        <v>1.3301360013429075E-13</v>
      </c>
      <c r="CV122" s="13">
        <f t="shared" si="95"/>
        <v>1.9329766731057041E-12</v>
      </c>
      <c r="CW122" s="20">
        <f t="shared" si="67"/>
        <v>3.5982663925596575E-12</v>
      </c>
      <c r="CX122" s="59">
        <f t="shared" si="68"/>
        <v>281.90999129793272</v>
      </c>
      <c r="CY122" s="59">
        <f ca="1">AVERAGE(OFFSET($CX$3,0,0,'Données projet'!$E$13+1,1))-AVERAGE(OFFSET($H$3,0,0,'Données projet'!$E$13+1,1))</f>
        <v>308.82719216177946</v>
      </c>
      <c r="CZ122" s="59">
        <f t="shared" si="96"/>
        <v>302.59481222418219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30.141033232085675</v>
      </c>
      <c r="DG122" s="21">
        <f>EXP(-LN(2)/25)*DG121+(1-EXP(-LN(2)/25))/(LN(2)/25)*Calculateur!DB122*Calculateur!DD122*VLOOKUP('Données projet'!$B$13,Paramètres!$A$1:$I$89,3,0)*0.475*44/12</f>
        <v>17.052385137110992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47.193418369196664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304.99999999999983</v>
      </c>
      <c r="DP122" s="17">
        <f>DO122*VLOOKUP('Données projet'!$B$14,Paramètres!$A$1:$I$89,3,0)*VLOOKUP('Données projet'!$B$14,Paramètres!$A$1:$I$89,5,0)</f>
        <v>275.96399999999983</v>
      </c>
      <c r="DQ122" s="13">
        <f t="shared" si="97"/>
        <v>66.113366665488854</v>
      </c>
      <c r="DR122" s="20">
        <f t="shared" si="70"/>
        <v>595.78474694239264</v>
      </c>
      <c r="DS122" s="59">
        <f t="shared" si="71"/>
        <v>877.69473824032184</v>
      </c>
      <c r="DT122" s="59">
        <f ca="1">AVERAGE(OFFSET($DS$3,0,0,'Données projet'!$E$14+1,1))-AVERAGE(OFFSET($H$3,0,0,'Données projet'!$E$14+1,1))</f>
        <v>376.51107072413777</v>
      </c>
      <c r="DU122" s="59">
        <f t="shared" si="98"/>
        <v>532.90758914457615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0.27735548517037961</v>
      </c>
      <c r="EB122" s="21">
        <f>EXP(-LN(2)/25)*EB121+(1-EXP(-LN(2)/25))/(LN(2)/25)*Calculateur!DW122*Calculateur!DY122*VLOOKUP('Données projet'!$B$14,Paramètres!$A$1:$I$89,3,0)*0.475*44/12</f>
        <v>0.62598847854297957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0.90334396371335912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-1.7053025658242404E-13</v>
      </c>
      <c r="EK122" s="17">
        <f>EJ122*VLOOKUP('Données projet'!$B$15,Paramètres!$A$1:$I$89,3,0)*VLOOKUP('Données projet'!$B$15,Paramètres!$A$1:$I$89,5,0)</f>
        <v>-1.0197709343628959E-13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337.99164391755608</v>
      </c>
      <c r="EP122" s="59">
        <f t="shared" si="100"/>
        <v>421.45428231923393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46.765786702422702</v>
      </c>
      <c r="EW122" s="21">
        <f>EXP(-LN(2)/25)*EW121+(1-EXP(-LN(2)/25))/(LN(2)/25)*Calculateur!ER122*Calculateur!ET122*VLOOKUP('Données projet'!$B$15,Paramètres!$A$1:$I$89,3,0)*0.475*44/12</f>
        <v>7.7060594558776048</v>
      </c>
      <c r="EX122" s="21">
        <f>EXP(-LN(2)/2)*EX121+(1-EXP(-LN(2)/2))/(LN(2)/2)*ER122*EU122*VLOOKUP('Données projet'!$B$15,Paramètres!$A$1:$I$89,3,0)*0.475*44/12</f>
        <v>1.3304696835949873E-8</v>
      </c>
      <c r="EY122" s="22">
        <f t="shared" si="75"/>
        <v>54.471846171605009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5.3066239316239274</v>
      </c>
      <c r="N123" s="13">
        <f>IF('Données projet'!$A$36&gt;35,N122+M123-V122,IF(A123&lt;'Données projet'!$A$36,$K$205^A123,IF(A123='Données projet'!$A$36,'Données projet'!$B$36,N122+M123-V122)))</f>
        <v>251.7617521367518</v>
      </c>
      <c r="O123" s="13">
        <f>N123*VLOOKUP('Données projet'!$B$9,Paramètres!$A$1:$I$89,3,0)*VLOOKUP('Données projet'!$B$9,Paramètres!$A$1:$I$89,5,0)</f>
        <v>227.794033333333</v>
      </c>
      <c r="P123" s="13">
        <f t="shared" si="87"/>
        <v>55.805432753411694</v>
      </c>
      <c r="Q123" s="20">
        <f t="shared" si="107"/>
        <v>493.93573676774707</v>
      </c>
      <c r="R123" s="59">
        <f t="shared" si="55"/>
        <v>776.04389751122369</v>
      </c>
      <c r="S123" s="59">
        <f ca="1">AVERAGE(OFFSET($R$3,0,0,'Données projet'!$E$9+1,1))-AVERAGE(OFFSET($H$3,0,0,'Données projet'!$E$9+1,1))</f>
        <v>388.1278150896951</v>
      </c>
      <c r="T123" s="59">
        <f t="shared" si="88"/>
        <v>232.26614607059227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31.07999195286785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31.07999195286785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5.3066239316239274</v>
      </c>
      <c r="AI123" s="13">
        <f>IF('Données projet'!$A$62&gt;35,AI122+AH123-AQ122,IF(A123&lt;'Données projet'!$A$62,$AF$205^A123,IF(A123='Données projet'!$A$62,'Données projet'!$B$62,AI122+AH123-AQ122)))</f>
        <v>251.7617521367518</v>
      </c>
      <c r="AJ123" s="13">
        <f>AI123*VLOOKUP('Données projet'!$B$10,Paramètres!$A$1:$I$89,3,0)*VLOOKUP('Données projet'!$B$10,Paramètres!$A$1:$I$89,5,0)</f>
        <v>255.28641666666636</v>
      </c>
      <c r="AK123" s="13">
        <f t="shared" si="89"/>
        <v>61.716565123681811</v>
      </c>
      <c r="AL123" s="20">
        <f t="shared" si="58"/>
        <v>552.11352661818967</v>
      </c>
      <c r="AM123" s="59">
        <f t="shared" si="59"/>
        <v>834.22168736166623</v>
      </c>
      <c r="AN123" s="59">
        <f ca="1">AVERAGE(OFFSET($AM$3,0,0,'Données projet'!$E$10+1,1))-AVERAGE(OFFSET($H$3,0,0,'Données projet'!$E$10+1,1))</f>
        <v>424.89201140676084</v>
      </c>
      <c r="AO123" s="59">
        <f t="shared" si="90"/>
        <v>253.0016648946303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34.831025464420868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34.831025464420868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5.3066239316239274</v>
      </c>
      <c r="BD123" s="12">
        <f>IF('Données projet'!$A$88&gt;35,BD122+BC123-BL122,IF(A123&lt;'Données projet'!$A$88,$BA$205^A123,IF(A123='Données projet'!$A$88,'Données projet'!$B$88,BD122+BC123-BL122)))</f>
        <v>251.7617521367518</v>
      </c>
      <c r="BE123" s="13">
        <f>BD123*VLOOKUP('Données projet'!$B$11,Paramètres!$A$1:$I$89,3,0)*VLOOKUP('Données projet'!$B$11,Paramètres!$A$1:$I$89,5,0)</f>
        <v>239.57648333333302</v>
      </c>
      <c r="BF123" s="13">
        <f t="shared" si="91"/>
        <v>58.348399443663808</v>
      </c>
      <c r="BG123" s="20">
        <f t="shared" si="61"/>
        <v>518.8858375032695</v>
      </c>
      <c r="BH123" s="59">
        <f t="shared" si="62"/>
        <v>800.99399824674606</v>
      </c>
      <c r="BI123" s="59">
        <f ca="1">AVERAGE(OFFSET($BH$3,0,0,'Données projet'!$E$11+1,1))-AVERAGE(OFFSET($H$3,0,0,'Données projet'!$E$11+1,1))</f>
        <v>403.89478276355294</v>
      </c>
      <c r="BJ123" s="59">
        <f t="shared" si="92"/>
        <v>241.1593989733278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32.687577743533431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32.687577743533431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319</v>
      </c>
      <c r="BZ123" s="13">
        <f>BY123*VLOOKUP('Données projet'!$B$12,Paramètres!$A$1:$I$89,3,0)*VLOOKUP('Données projet'!$B$12,Paramètres!$A$1:$I$89,5,0)</f>
        <v>253.79640000000001</v>
      </c>
      <c r="CA123" s="13">
        <f t="shared" si="93"/>
        <v>61.39816832228076</v>
      </c>
      <c r="CB123" s="20">
        <f t="shared" si="64"/>
        <v>548.96387316130563</v>
      </c>
      <c r="CC123" s="59">
        <f t="shared" si="65"/>
        <v>831.0720339047823</v>
      </c>
      <c r="CD123" s="59">
        <f ca="1">AVERAGE(OFFSET($CC$3,0,0,'Données projet'!$E$12+1,1))-AVERAGE(OFFSET($H$3,0,0,'Données projet'!$E$12+1,1))</f>
        <v>377.27600411578322</v>
      </c>
      <c r="CE123" s="59">
        <f t="shared" si="94"/>
        <v>364.58250627635425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20.278619568071868</v>
      </c>
      <c r="CL123" s="21">
        <f>EXP(-LN(2)/25)*CL122+(1-EXP(-LN(2)/25))/(LN(2)/25)*Calculateur!CG123*Calculateur!CI123*VLOOKUP('Données projet'!$B$12,Paramètres!$A$1:$I$89,3,0)*0.475*44/12</f>
        <v>2.4890554100339228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22.767674978105791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1.7053025658242404E-13</v>
      </c>
      <c r="CU123" s="17">
        <f>CT123*VLOOKUP('Données projet'!$B$13,Paramètres!$A$1:$I$89,3,0)*VLOOKUP('Données projet'!$B$13,Paramètres!$A$1:$I$89,5,0)</f>
        <v>1.3301360013429075E-13</v>
      </c>
      <c r="CV123" s="13">
        <f t="shared" si="95"/>
        <v>1.9329766731057041E-12</v>
      </c>
      <c r="CW123" s="20">
        <f t="shared" si="67"/>
        <v>3.5982663925596575E-12</v>
      </c>
      <c r="CX123" s="59">
        <f t="shared" si="68"/>
        <v>282.1081607434802</v>
      </c>
      <c r="CY123" s="59">
        <f ca="1">AVERAGE(OFFSET($CX$3,0,0,'Données projet'!$E$13+1,1))-AVERAGE(OFFSET($H$3,0,0,'Données projet'!$E$13+1,1))</f>
        <v>308.82719216177946</v>
      </c>
      <c r="CZ123" s="59">
        <f t="shared" si="96"/>
        <v>302.59481222418219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29.549985954619455</v>
      </c>
      <c r="DG123" s="21">
        <f>EXP(-LN(2)/25)*DG122+(1-EXP(-LN(2)/25))/(LN(2)/25)*Calculateur!DB123*Calculateur!DD123*VLOOKUP('Données projet'!$B$13,Paramètres!$A$1:$I$89,3,0)*0.475*44/12</f>
        <v>16.586086768790732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46.136072723410187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304.99999999999983</v>
      </c>
      <c r="DP123" s="17">
        <f>DO123*VLOOKUP('Données projet'!$B$14,Paramètres!$A$1:$I$89,3,0)*VLOOKUP('Données projet'!$B$14,Paramètres!$A$1:$I$89,5,0)</f>
        <v>275.96399999999983</v>
      </c>
      <c r="DQ123" s="13">
        <f t="shared" si="97"/>
        <v>66.113366665488854</v>
      </c>
      <c r="DR123" s="20">
        <f t="shared" si="70"/>
        <v>595.78474694239264</v>
      </c>
      <c r="DS123" s="59">
        <f t="shared" si="71"/>
        <v>877.8929076858692</v>
      </c>
      <c r="DT123" s="59">
        <f ca="1">AVERAGE(OFFSET($DS$3,0,0,'Données projet'!$E$14+1,1))-AVERAGE(OFFSET($H$3,0,0,'Données projet'!$E$14+1,1))</f>
        <v>376.51107072413777</v>
      </c>
      <c r="DU123" s="59">
        <f t="shared" si="98"/>
        <v>532.90758914457615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0.27191671327633027</v>
      </c>
      <c r="EB123" s="21">
        <f>EXP(-LN(2)/25)*EB122+(1-EXP(-LN(2)/25))/(LN(2)/25)*Calculateur!DW123*Calculateur!DY123*VLOOKUP('Données projet'!$B$14,Paramètres!$A$1:$I$89,3,0)*0.475*44/12</f>
        <v>0.60887079067791838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0.88078750395424865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-1.7053025658242404E-13</v>
      </c>
      <c r="EK123" s="17">
        <f>EJ123*VLOOKUP('Données projet'!$B$15,Paramètres!$A$1:$I$89,3,0)*VLOOKUP('Données projet'!$B$15,Paramètres!$A$1:$I$89,5,0)</f>
        <v>-1.0197709343628959E-13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337.99164391755608</v>
      </c>
      <c r="EP123" s="59">
        <f t="shared" si="100"/>
        <v>421.45428231923393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45.848738149501536</v>
      </c>
      <c r="EW123" s="21">
        <f>EXP(-LN(2)/25)*EW122+(1-EXP(-LN(2)/25))/(LN(2)/25)*Calculateur!ER123*Calculateur!ET123*VLOOKUP('Données projet'!$B$15,Paramètres!$A$1:$I$89,3,0)*0.475*44/12</f>
        <v>7.4953368548125772</v>
      </c>
      <c r="EX123" s="21">
        <f>EXP(-LN(2)/2)*EX122+(1-EXP(-LN(2)/2))/(LN(2)/2)*ER123*EU123*VLOOKUP('Données projet'!$B$15,Paramètres!$A$1:$I$89,3,0)*0.475*44/12</f>
        <v>9.4078413543313581E-9</v>
      </c>
      <c r="EY123" s="22">
        <f t="shared" si="75"/>
        <v>53.344075013721955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5.3066239316239274</v>
      </c>
      <c r="N124" s="13">
        <f>IF('Données projet'!$A$36&gt;35,N123+M124-V123,IF(A124&lt;'Données projet'!$A$36,$K$205^A124,IF(A124='Données projet'!$A$36,'Données projet'!$B$36,N123+M124-V123)))</f>
        <v>257.0683760683757</v>
      </c>
      <c r="O124" s="13">
        <f>N124*VLOOKUP('Données projet'!$B$9,Paramètres!$A$1:$I$89,3,0)*VLOOKUP('Données projet'!$B$9,Paramètres!$A$1:$I$89,5,0)</f>
        <v>232.59546666666634</v>
      </c>
      <c r="P124" s="13">
        <f t="shared" si="87"/>
        <v>56.843515067710278</v>
      </c>
      <c r="Q124" s="20">
        <f t="shared" si="107"/>
        <v>504.10622652070589</v>
      </c>
      <c r="R124" s="59">
        <f t="shared" si="55"/>
        <v>786.40911891289034</v>
      </c>
      <c r="S124" s="59">
        <f ca="1">AVERAGE(OFFSET($R$3,0,0,'Données projet'!$E$9+1,1))-AVERAGE(OFFSET($H$3,0,0,'Données projet'!$E$9+1,1))</f>
        <v>388.1278150896951</v>
      </c>
      <c r="T124" s="59">
        <f t="shared" si="88"/>
        <v>232.26614607059227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30.470532267595363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30.470532267595363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5.3066239316239274</v>
      </c>
      <c r="AI124" s="13">
        <f>IF('Données projet'!$A$62&gt;35,AI123+AH124-AQ123,IF(A124&lt;'Données projet'!$A$62,$AF$205^A124,IF(A124='Données projet'!$A$62,'Données projet'!$B$62,AI123+AH124-AQ123)))</f>
        <v>257.0683760683757</v>
      </c>
      <c r="AJ124" s="13">
        <f>AI124*VLOOKUP('Données projet'!$B$10,Paramètres!$A$1:$I$89,3,0)*VLOOKUP('Données projet'!$B$10,Paramètres!$A$1:$I$89,5,0)</f>
        <v>260.66733333333298</v>
      </c>
      <c r="AK124" s="13">
        <f t="shared" si="89"/>
        <v>62.864605226466139</v>
      </c>
      <c r="AL124" s="20">
        <f t="shared" si="58"/>
        <v>563.48479299165012</v>
      </c>
      <c r="AM124" s="59">
        <f t="shared" si="59"/>
        <v>845.78768538383451</v>
      </c>
      <c r="AN124" s="59">
        <f ca="1">AVERAGE(OFFSET($AM$3,0,0,'Données projet'!$E$10+1,1))-AVERAGE(OFFSET($H$3,0,0,'Données projet'!$E$10+1,1))</f>
        <v>424.89201140676084</v>
      </c>
      <c r="AO124" s="59">
        <f t="shared" si="90"/>
        <v>253.0016648946303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34.148010299891354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34.148010299891354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5.3066239316239274</v>
      </c>
      <c r="BD124" s="12">
        <f>IF('Données projet'!$A$88&gt;35,BD123+BC124-BL123,IF(A124&lt;'Données projet'!$A$88,$BA$205^A124,IF(A124='Données projet'!$A$88,'Données projet'!$B$88,BD123+BC124-BL123)))</f>
        <v>257.0683760683757</v>
      </c>
      <c r="BE124" s="13">
        <f>BD124*VLOOKUP('Données projet'!$B$11,Paramètres!$A$1:$I$89,3,0)*VLOOKUP('Données projet'!$B$11,Paramètres!$A$1:$I$89,5,0)</f>
        <v>244.62626666666634</v>
      </c>
      <c r="BF124" s="13">
        <f t="shared" si="91"/>
        <v>59.433785552893355</v>
      </c>
      <c r="BG124" s="20">
        <f t="shared" si="61"/>
        <v>529.57125761573309</v>
      </c>
      <c r="BH124" s="59">
        <f t="shared" si="62"/>
        <v>811.87415000791748</v>
      </c>
      <c r="BI124" s="59">
        <f ca="1">AVERAGE(OFFSET($BH$3,0,0,'Données projet'!$E$11+1,1))-AVERAGE(OFFSET($H$3,0,0,'Données projet'!$E$11+1,1))</f>
        <v>403.89478276355294</v>
      </c>
      <c r="BJ124" s="59">
        <f t="shared" si="92"/>
        <v>241.1593989733278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32.046594281436505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32.046594281436505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319</v>
      </c>
      <c r="BZ124" s="13">
        <f>BY124*VLOOKUP('Données projet'!$B$12,Paramètres!$A$1:$I$89,3,0)*VLOOKUP('Données projet'!$B$12,Paramètres!$A$1:$I$89,5,0)</f>
        <v>253.79640000000001</v>
      </c>
      <c r="CA124" s="13">
        <f t="shared" si="93"/>
        <v>61.39816832228076</v>
      </c>
      <c r="CB124" s="20">
        <f t="shared" si="64"/>
        <v>548.96387316130563</v>
      </c>
      <c r="CC124" s="59">
        <f t="shared" si="65"/>
        <v>831.26676555349002</v>
      </c>
      <c r="CD124" s="59">
        <f ca="1">AVERAGE(OFFSET($CC$3,0,0,'Données projet'!$E$12+1,1))-AVERAGE(OFFSET($H$3,0,0,'Données projet'!$E$12+1,1))</f>
        <v>377.27600411578322</v>
      </c>
      <c r="CE124" s="59">
        <f t="shared" si="94"/>
        <v>364.58250627635425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19.880968207078602</v>
      </c>
      <c r="CL124" s="21">
        <f>EXP(-LN(2)/25)*CL123+(1-EXP(-LN(2)/25))/(LN(2)/25)*Calculateur!CG124*Calculateur!CI124*VLOOKUP('Données projet'!$B$12,Paramètres!$A$1:$I$89,3,0)*0.475*44/12</f>
        <v>2.4209920589528102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22.301960266031411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1.7053025658242404E-13</v>
      </c>
      <c r="CU124" s="17">
        <f>CT124*VLOOKUP('Données projet'!$B$13,Paramètres!$A$1:$I$89,3,0)*VLOOKUP('Données projet'!$B$13,Paramètres!$A$1:$I$89,5,0)</f>
        <v>1.3301360013429075E-13</v>
      </c>
      <c r="CV124" s="13">
        <f t="shared" si="95"/>
        <v>1.9329766731057041E-12</v>
      </c>
      <c r="CW124" s="20">
        <f t="shared" si="67"/>
        <v>3.5982663925596575E-12</v>
      </c>
      <c r="CX124" s="59">
        <f t="shared" si="68"/>
        <v>282.30289239218797</v>
      </c>
      <c r="CY124" s="59">
        <f ca="1">AVERAGE(OFFSET($CX$3,0,0,'Données projet'!$E$13+1,1))-AVERAGE(OFFSET($H$3,0,0,'Données projet'!$E$13+1,1))</f>
        <v>308.82719216177946</v>
      </c>
      <c r="CZ124" s="59">
        <f t="shared" si="96"/>
        <v>302.59481222418219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28.970528753761105</v>
      </c>
      <c r="DG124" s="21">
        <f>EXP(-LN(2)/25)*DG123+(1-EXP(-LN(2)/25))/(LN(2)/25)*Calculateur!DB124*Calculateur!DD124*VLOOKUP('Données projet'!$B$13,Paramètres!$A$1:$I$89,3,0)*0.475*44/12</f>
        <v>16.132539353873753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45.103068107634854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304.99999999999983</v>
      </c>
      <c r="DP124" s="17">
        <f>DO124*VLOOKUP('Données projet'!$B$14,Paramètres!$A$1:$I$89,3,0)*VLOOKUP('Données projet'!$B$14,Paramètres!$A$1:$I$89,5,0)</f>
        <v>275.96399999999983</v>
      </c>
      <c r="DQ124" s="13">
        <f t="shared" si="97"/>
        <v>66.113366665488854</v>
      </c>
      <c r="DR124" s="20">
        <f t="shared" si="70"/>
        <v>595.78474694239264</v>
      </c>
      <c r="DS124" s="59">
        <f t="shared" si="71"/>
        <v>878.08763933457703</v>
      </c>
      <c r="DT124" s="59">
        <f ca="1">AVERAGE(OFFSET($DS$3,0,0,'Données projet'!$E$14+1,1))-AVERAGE(OFFSET($H$3,0,0,'Données projet'!$E$14+1,1))</f>
        <v>376.51107072413777</v>
      </c>
      <c r="DU124" s="59">
        <f t="shared" si="98"/>
        <v>532.90758914457615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0.26658459238179993</v>
      </c>
      <c r="EB124" s="21">
        <f>EXP(-LN(2)/25)*EB123+(1-EXP(-LN(2)/25))/(LN(2)/25)*Calculateur!DW124*Calculateur!DY124*VLOOKUP('Données projet'!$B$14,Paramètres!$A$1:$I$89,3,0)*0.475*44/12</f>
        <v>0.59222118688770742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0.85880577926950741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-1.7053025658242404E-13</v>
      </c>
      <c r="EK124" s="17">
        <f>EJ124*VLOOKUP('Données projet'!$B$15,Paramètres!$A$1:$I$89,3,0)*VLOOKUP('Données projet'!$B$15,Paramètres!$A$1:$I$89,5,0)</f>
        <v>-1.0197709343628959E-13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337.99164391755608</v>
      </c>
      <c r="EP124" s="59">
        <f t="shared" si="100"/>
        <v>421.45428231923393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44.949672359358772</v>
      </c>
      <c r="EW124" s="21">
        <f>EXP(-LN(2)/25)*EW123+(1-EXP(-LN(2)/25))/(LN(2)/25)*Calculateur!ER124*Calculateur!ET124*VLOOKUP('Données projet'!$B$15,Paramètres!$A$1:$I$89,3,0)*0.475*44/12</f>
        <v>7.2903764743550932</v>
      </c>
      <c r="EX124" s="21">
        <f>EXP(-LN(2)/2)*EX123+(1-EXP(-LN(2)/2))/(LN(2)/2)*ER124*EU124*VLOOKUP('Données projet'!$B$15,Paramètres!$A$1:$I$89,3,0)*0.475*44/12</f>
        <v>6.6523484179749366E-9</v>
      </c>
      <c r="EY124" s="22">
        <f t="shared" si="75"/>
        <v>52.240048840366214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5.3066239316239274</v>
      </c>
      <c r="N125" s="13">
        <f>IF('Données projet'!$A$36&gt;35,N124+M125-V124,IF(A125&lt;'Données projet'!$A$36,$K$205^A125,IF(A125='Données projet'!$A$36,'Données projet'!$B$36,N124+M125-V124)))</f>
        <v>262.3749999999996</v>
      </c>
      <c r="O125" s="13">
        <f>N125*VLOOKUP('Données projet'!$B$9,Paramètres!$A$1:$I$89,3,0)*VLOOKUP('Données projet'!$B$9,Paramètres!$A$1:$I$89,5,0)</f>
        <v>237.39689999999962</v>
      </c>
      <c r="P125" s="13">
        <f t="shared" si="87"/>
        <v>57.87910585630879</v>
      </c>
      <c r="Q125" s="20">
        <f t="shared" si="107"/>
        <v>514.27237686640376</v>
      </c>
      <c r="R125" s="59">
        <f t="shared" si="55"/>
        <v>796.76662274854561</v>
      </c>
      <c r="S125" s="59">
        <f ca="1">AVERAGE(OFFSET($R$3,0,0,'Données projet'!$E$9+1,1))-AVERAGE(OFFSET($H$3,0,0,'Données projet'!$E$9+1,1))</f>
        <v>388.1278150896951</v>
      </c>
      <c r="T125" s="59">
        <f t="shared" si="88"/>
        <v>232.26614607059227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29.873023715017368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29.873023715017368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5.3066239316239274</v>
      </c>
      <c r="AI125" s="13">
        <f>IF('Données projet'!$A$62&gt;35,AI124+AH125-AQ124,IF(A125&lt;'Données projet'!$A$62,$AF$205^A125,IF(A125='Données projet'!$A$62,'Données projet'!$B$62,AI124+AH125-AQ124)))</f>
        <v>262.3749999999996</v>
      </c>
      <c r="AJ125" s="13">
        <f>AI125*VLOOKUP('Données projet'!$B$10,Paramètres!$A$1:$I$89,3,0)*VLOOKUP('Données projet'!$B$10,Paramètres!$A$1:$I$89,5,0)</f>
        <v>266.04824999999965</v>
      </c>
      <c r="AK125" s="13">
        <f t="shared" si="89"/>
        <v>64.009889891284331</v>
      </c>
      <c r="AL125" s="20">
        <f t="shared" si="58"/>
        <v>574.85126031065295</v>
      </c>
      <c r="AM125" s="59">
        <f t="shared" si="59"/>
        <v>857.3455061927948</v>
      </c>
      <c r="AN125" s="59">
        <f ca="1">AVERAGE(OFFSET($AM$3,0,0,'Données projet'!$E$10+1,1))-AVERAGE(OFFSET($H$3,0,0,'Données projet'!$E$10+1,1))</f>
        <v>424.89201140676084</v>
      </c>
      <c r="AO125" s="59">
        <f t="shared" si="90"/>
        <v>253.0016648946303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33.478388646140154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33.478388646140154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5.3066239316239274</v>
      </c>
      <c r="BD125" s="12">
        <f>IF('Données projet'!$A$88&gt;35,BD124+BC125-BL124,IF(A125&lt;'Données projet'!$A$88,$BA$205^A125,IF(A125='Données projet'!$A$88,'Données projet'!$B$88,BD124+BC125-BL124)))</f>
        <v>262.3749999999996</v>
      </c>
      <c r="BE125" s="13">
        <f>BD125*VLOOKUP('Données projet'!$B$11,Paramètres!$A$1:$I$89,3,0)*VLOOKUP('Données projet'!$B$11,Paramètres!$A$1:$I$89,5,0)</f>
        <v>249.67604999999963</v>
      </c>
      <c r="BF125" s="13">
        <f t="shared" si="91"/>
        <v>60.516566601475539</v>
      </c>
      <c r="BG125" s="20">
        <f t="shared" si="61"/>
        <v>540.25214058090251</v>
      </c>
      <c r="BH125" s="59">
        <f t="shared" si="62"/>
        <v>822.74638646304425</v>
      </c>
      <c r="BI125" s="59">
        <f ca="1">AVERAGE(OFFSET($BH$3,0,0,'Données projet'!$E$11+1,1))-AVERAGE(OFFSET($H$3,0,0,'Données projet'!$E$11+1,1))</f>
        <v>403.89478276355294</v>
      </c>
      <c r="BJ125" s="59">
        <f t="shared" si="92"/>
        <v>241.1593989733278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31.41818011406999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31.41818011406999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319</v>
      </c>
      <c r="BZ125" s="13">
        <f>BY125*VLOOKUP('Données projet'!$B$12,Paramètres!$A$1:$I$89,3,0)*VLOOKUP('Données projet'!$B$12,Paramètres!$A$1:$I$89,5,0)</f>
        <v>253.79640000000001</v>
      </c>
      <c r="CA125" s="13">
        <f t="shared" si="93"/>
        <v>61.39816832228076</v>
      </c>
      <c r="CB125" s="20">
        <f t="shared" si="64"/>
        <v>548.96387316130563</v>
      </c>
      <c r="CC125" s="59">
        <f t="shared" si="65"/>
        <v>831.45811904344737</v>
      </c>
      <c r="CD125" s="59">
        <f ca="1">AVERAGE(OFFSET($CC$3,0,0,'Données projet'!$E$12+1,1))-AVERAGE(OFFSET($H$3,0,0,'Données projet'!$E$12+1,1))</f>
        <v>377.27600411578322</v>
      </c>
      <c r="CE125" s="59">
        <f t="shared" si="94"/>
        <v>364.58250627635425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19.491114546731037</v>
      </c>
      <c r="CL125" s="21">
        <f>EXP(-LN(2)/25)*CL124+(1-EXP(-LN(2)/25))/(LN(2)/25)*Calculateur!CG125*Calculateur!CI125*VLOOKUP('Données projet'!$B$12,Paramètres!$A$1:$I$89,3,0)*0.475*44/12</f>
        <v>2.3547899037863065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21.845904450517345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1.7053025658242404E-13</v>
      </c>
      <c r="CU125" s="17">
        <f>CT125*VLOOKUP('Données projet'!$B$13,Paramètres!$A$1:$I$89,3,0)*VLOOKUP('Données projet'!$B$13,Paramètres!$A$1:$I$89,5,0)</f>
        <v>1.3301360013429075E-13</v>
      </c>
      <c r="CV125" s="13">
        <f t="shared" si="95"/>
        <v>1.9329766731057041E-12</v>
      </c>
      <c r="CW125" s="20">
        <f t="shared" si="67"/>
        <v>3.5982663925596575E-12</v>
      </c>
      <c r="CX125" s="59">
        <f t="shared" si="68"/>
        <v>282.49424588214538</v>
      </c>
      <c r="CY125" s="59">
        <f ca="1">AVERAGE(OFFSET($CX$3,0,0,'Données projet'!$E$13+1,1))-AVERAGE(OFFSET($H$3,0,0,'Données projet'!$E$13+1,1))</f>
        <v>308.82719216177946</v>
      </c>
      <c r="CZ125" s="59">
        <f t="shared" si="96"/>
        <v>302.59481222418219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28.402434355177594</v>
      </c>
      <c r="DG125" s="21">
        <f>EXP(-LN(2)/25)*DG124+(1-EXP(-LN(2)/25))/(LN(2)/25)*Calculateur!DB125*Calculateur!DD125*VLOOKUP('Données projet'!$B$13,Paramètres!$A$1:$I$89,3,0)*0.475*44/12</f>
        <v>15.691394216868702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44.093828572046291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304.99999999999983</v>
      </c>
      <c r="DP125" s="17">
        <f>DO125*VLOOKUP('Données projet'!$B$14,Paramètres!$A$1:$I$89,3,0)*VLOOKUP('Données projet'!$B$14,Paramètres!$A$1:$I$89,5,0)</f>
        <v>275.96399999999983</v>
      </c>
      <c r="DQ125" s="13">
        <f t="shared" si="97"/>
        <v>66.113366665488854</v>
      </c>
      <c r="DR125" s="20">
        <f t="shared" si="70"/>
        <v>595.78474694239264</v>
      </c>
      <c r="DS125" s="59">
        <f t="shared" si="71"/>
        <v>878.2789928245345</v>
      </c>
      <c r="DT125" s="59">
        <f ca="1">AVERAGE(OFFSET($DS$3,0,0,'Données projet'!$E$14+1,1))-AVERAGE(OFFSET($H$3,0,0,'Données projet'!$E$14+1,1))</f>
        <v>376.51107072413777</v>
      </c>
      <c r="DU125" s="59">
        <f t="shared" si="98"/>
        <v>532.90758914457615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0.26135703112573871</v>
      </c>
      <c r="EB125" s="21">
        <f>EXP(-LN(2)/25)*EB124+(1-EXP(-LN(2)/25))/(LN(2)/25)*Calculateur!DW125*Calculateur!DY125*VLOOKUP('Données projet'!$B$14,Paramètres!$A$1:$I$89,3,0)*0.475*44/12</f>
        <v>0.57602686738870434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0.83738389851444306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-1.7053025658242404E-13</v>
      </c>
      <c r="EK125" s="17">
        <f>EJ125*VLOOKUP('Données projet'!$B$15,Paramètres!$A$1:$I$89,3,0)*VLOOKUP('Données projet'!$B$15,Paramètres!$A$1:$I$89,5,0)</f>
        <v>-1.0197709343628959E-13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337.99164391755608</v>
      </c>
      <c r="EP125" s="59">
        <f t="shared" si="100"/>
        <v>421.45428231923393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44.06823670098472</v>
      </c>
      <c r="EW125" s="21">
        <f>EXP(-LN(2)/25)*EW124+(1-EXP(-LN(2)/25))/(LN(2)/25)*Calculateur!ER125*Calculateur!ET125*VLOOKUP('Données projet'!$B$15,Paramètres!$A$1:$I$89,3,0)*0.475*44/12</f>
        <v>7.0910207462796171</v>
      </c>
      <c r="EX125" s="21">
        <f>EXP(-LN(2)/2)*EX124+(1-EXP(-LN(2)/2))/(LN(2)/2)*ER125*EU125*VLOOKUP('Données projet'!$B$15,Paramètres!$A$1:$I$89,3,0)*0.475*44/12</f>
        <v>4.703920677165679E-9</v>
      </c>
      <c r="EY125" s="22">
        <f t="shared" si="75"/>
        <v>51.159257451968259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5.3066239316239274</v>
      </c>
      <c r="N126" s="13">
        <f>IF('Données projet'!$A$36&gt;35,N125+M126-V125,IF(A126&lt;'Données projet'!$A$36,$K$205^A126,IF(A126='Données projet'!$A$36,'Données projet'!$B$36,N125+M126-V125)))</f>
        <v>267.68162393162351</v>
      </c>
      <c r="O126" s="13">
        <f>N126*VLOOKUP('Données projet'!$B$9,Paramètres!$A$1:$I$89,3,0)*VLOOKUP('Données projet'!$B$9,Paramètres!$A$1:$I$89,5,0)</f>
        <v>242.19833333333295</v>
      </c>
      <c r="P126" s="13">
        <f t="shared" si="87"/>
        <v>58.912261318352805</v>
      </c>
      <c r="Q126" s="20">
        <f t="shared" si="107"/>
        <v>524.43428568501929</v>
      </c>
      <c r="R126" s="59">
        <f t="shared" si="55"/>
        <v>807.1165655018699</v>
      </c>
      <c r="S126" s="59">
        <f ca="1">AVERAGE(OFFSET($R$3,0,0,'Données projet'!$E$9+1,1))-AVERAGE(OFFSET($H$3,0,0,'Données projet'!$E$9+1,1))</f>
        <v>388.1278150896951</v>
      </c>
      <c r="T126" s="59">
        <f t="shared" si="88"/>
        <v>232.26614607059227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29.287231940711195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29.287231940711195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5.3066239316239274</v>
      </c>
      <c r="AI126" s="13">
        <f>IF('Données projet'!$A$62&gt;35,AI125+AH126-AQ125,IF(A126&lt;'Données projet'!$A$62,$AF$205^A126,IF(A126='Données projet'!$A$62,'Données projet'!$B$62,AI125+AH126-AQ125)))</f>
        <v>267.68162393162351</v>
      </c>
      <c r="AJ126" s="13">
        <f>AI126*VLOOKUP('Données projet'!$B$10,Paramètres!$A$1:$I$89,3,0)*VLOOKUP('Données projet'!$B$10,Paramètres!$A$1:$I$89,5,0)</f>
        <v>271.42916666666628</v>
      </c>
      <c r="AK126" s="13">
        <f t="shared" si="89"/>
        <v>65.152481270117946</v>
      </c>
      <c r="AL126" s="20">
        <f t="shared" si="58"/>
        <v>586.21303682323253</v>
      </c>
      <c r="AM126" s="59">
        <f t="shared" si="59"/>
        <v>868.89531664008314</v>
      </c>
      <c r="AN126" s="59">
        <f ca="1">AVERAGE(OFFSET($AM$3,0,0,'Données projet'!$E$10+1,1))-AVERAGE(OFFSET($H$3,0,0,'Données projet'!$E$10+1,1))</f>
        <v>424.89201140676084</v>
      </c>
      <c r="AO126" s="59">
        <f t="shared" si="90"/>
        <v>253.0016648946303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32.821897864590134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32.821897864590134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5.3066239316239274</v>
      </c>
      <c r="BD126" s="12">
        <f>IF('Données projet'!$A$88&gt;35,BD125+BC126-BL125,IF(A126&lt;'Données projet'!$A$88,$BA$205^A126,IF(A126='Données projet'!$A$88,'Données projet'!$B$88,BD125+BC126-BL125)))</f>
        <v>267.68162393162351</v>
      </c>
      <c r="BE126" s="13">
        <f>BD126*VLOOKUP('Données projet'!$B$11,Paramètres!$A$1:$I$89,3,0)*VLOOKUP('Données projet'!$B$11,Paramètres!$A$1:$I$89,5,0)</f>
        <v>254.72583333333293</v>
      </c>
      <c r="BF126" s="13">
        <f t="shared" si="91"/>
        <v>61.596801349463618</v>
      </c>
      <c r="BG126" s="20">
        <f t="shared" si="61"/>
        <v>550.92858873920397</v>
      </c>
      <c r="BH126" s="59">
        <f t="shared" si="62"/>
        <v>833.61086855605458</v>
      </c>
      <c r="BI126" s="59">
        <f ca="1">AVERAGE(OFFSET($BH$3,0,0,'Données projet'!$E$11+1,1))-AVERAGE(OFFSET($H$3,0,0,'Données projet'!$E$11+1,1))</f>
        <v>403.89478276355294</v>
      </c>
      <c r="BJ126" s="59">
        <f t="shared" si="92"/>
        <v>241.1593989733278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30.802088765230739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30.802088765230739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319</v>
      </c>
      <c r="BZ126" s="13">
        <f>BY126*VLOOKUP('Données projet'!$B$12,Paramètres!$A$1:$I$89,3,0)*VLOOKUP('Données projet'!$B$12,Paramètres!$A$1:$I$89,5,0)</f>
        <v>253.79640000000001</v>
      </c>
      <c r="CA126" s="13">
        <f t="shared" si="93"/>
        <v>61.39816832228076</v>
      </c>
      <c r="CB126" s="20">
        <f t="shared" si="64"/>
        <v>548.96387316130563</v>
      </c>
      <c r="CC126" s="59">
        <f t="shared" si="65"/>
        <v>831.64615297815635</v>
      </c>
      <c r="CD126" s="59">
        <f ca="1">AVERAGE(OFFSET($CC$3,0,0,'Données projet'!$E$12+1,1))-AVERAGE(OFFSET($H$3,0,0,'Données projet'!$E$12+1,1))</f>
        <v>377.27600411578322</v>
      </c>
      <c r="CE126" s="59">
        <f t="shared" si="94"/>
        <v>364.58250627635425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19.108905678875633</v>
      </c>
      <c r="CL126" s="21">
        <f>EXP(-LN(2)/25)*CL125+(1-EXP(-LN(2)/25))/(LN(2)/25)*Calculateur!CG126*Calculateur!CI126*VLOOKUP('Données projet'!$B$12,Paramètres!$A$1:$I$89,3,0)*0.475*44/12</f>
        <v>2.2903980500342507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21.399303728909885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1.7053025658242404E-13</v>
      </c>
      <c r="CU126" s="17">
        <f>CT126*VLOOKUP('Données projet'!$B$13,Paramètres!$A$1:$I$89,3,0)*VLOOKUP('Données projet'!$B$13,Paramètres!$A$1:$I$89,5,0)</f>
        <v>1.3301360013429075E-13</v>
      </c>
      <c r="CV126" s="13">
        <f t="shared" si="95"/>
        <v>1.9329766731057041E-12</v>
      </c>
      <c r="CW126" s="20">
        <f t="shared" si="67"/>
        <v>3.5982663925596575E-12</v>
      </c>
      <c r="CX126" s="59">
        <f t="shared" si="68"/>
        <v>282.68227981685425</v>
      </c>
      <c r="CY126" s="59">
        <f ca="1">AVERAGE(OFFSET($CX$3,0,0,'Données projet'!$E$13+1,1))-AVERAGE(OFFSET($H$3,0,0,'Données projet'!$E$13+1,1))</f>
        <v>308.82719216177946</v>
      </c>
      <c r="CZ126" s="59">
        <f t="shared" si="96"/>
        <v>302.59481222418219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27.845479941246936</v>
      </c>
      <c r="DG126" s="21">
        <f>EXP(-LN(2)/25)*DG125+(1-EXP(-LN(2)/25))/(LN(2)/25)*Calculateur!DB126*Calculateur!DD126*VLOOKUP('Données projet'!$B$13,Paramètres!$A$1:$I$89,3,0)*0.475*44/12</f>
        <v>15.262312216833868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43.107792158080805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304.99999999999983</v>
      </c>
      <c r="DP126" s="17">
        <f>DO126*VLOOKUP('Données projet'!$B$14,Paramètres!$A$1:$I$89,3,0)*VLOOKUP('Données projet'!$B$14,Paramètres!$A$1:$I$89,5,0)</f>
        <v>275.96399999999983</v>
      </c>
      <c r="DQ126" s="13">
        <f t="shared" si="97"/>
        <v>66.113366665488854</v>
      </c>
      <c r="DR126" s="20">
        <f t="shared" si="70"/>
        <v>595.78474694239264</v>
      </c>
      <c r="DS126" s="59">
        <f t="shared" si="71"/>
        <v>878.46702675924325</v>
      </c>
      <c r="DT126" s="59">
        <f ca="1">AVERAGE(OFFSET($DS$3,0,0,'Données projet'!$E$14+1,1))-AVERAGE(OFFSET($H$3,0,0,'Données projet'!$E$14+1,1))</f>
        <v>376.51107072413777</v>
      </c>
      <c r="DU126" s="59">
        <f t="shared" si="98"/>
        <v>532.90758914457615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0.25623197915741136</v>
      </c>
      <c r="EB126" s="21">
        <f>EXP(-LN(2)/25)*EB125+(1-EXP(-LN(2)/25))/(LN(2)/25)*Calculateur!DW126*Calculateur!DY126*VLOOKUP('Données projet'!$B$14,Paramètres!$A$1:$I$89,3,0)*0.475*44/12</f>
        <v>0.56027538240802377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0.81650736156543513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-1.7053025658242404E-13</v>
      </c>
      <c r="EK126" s="17">
        <f>EJ126*VLOOKUP('Données projet'!$B$15,Paramètres!$A$1:$I$89,3,0)*VLOOKUP('Données projet'!$B$15,Paramètres!$A$1:$I$89,5,0)</f>
        <v>-1.0197709343628959E-13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337.99164391755608</v>
      </c>
      <c r="EP126" s="59">
        <f t="shared" si="100"/>
        <v>421.45428231923393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43.20408545824872</v>
      </c>
      <c r="EW126" s="21">
        <f>EXP(-LN(2)/25)*EW125+(1-EXP(-LN(2)/25))/(LN(2)/25)*Calculateur!ER126*Calculateur!ET126*VLOOKUP('Données projet'!$B$15,Paramètres!$A$1:$I$89,3,0)*0.475*44/12</f>
        <v>6.8971164110720267</v>
      </c>
      <c r="EX126" s="21">
        <f>EXP(-LN(2)/2)*EX125+(1-EXP(-LN(2)/2))/(LN(2)/2)*ER126*EU126*VLOOKUP('Données projet'!$B$15,Paramètres!$A$1:$I$89,3,0)*0.475*44/12</f>
        <v>3.3261742089874683E-9</v>
      </c>
      <c r="EY126" s="22">
        <f t="shared" si="75"/>
        <v>50.101201872646918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5.3066239316239274</v>
      </c>
      <c r="N127" s="13">
        <f>IF('Données projet'!$A$36&gt;35,N126+M127-V126,IF(A127&lt;'Données projet'!$A$36,$K$205^A127,IF(A127='Données projet'!$A$36,'Données projet'!$B$36,N126+M127-V126)))</f>
        <v>272.98824786324741</v>
      </c>
      <c r="O127" s="13">
        <f>N127*VLOOKUP('Données projet'!$B$9,Paramètres!$A$1:$I$89,3,0)*VLOOKUP('Données projet'!$B$9,Paramètres!$A$1:$I$89,5,0)</f>
        <v>246.99976666666623</v>
      </c>
      <c r="P127" s="13">
        <f t="shared" si="87"/>
        <v>59.943035297333779</v>
      </c>
      <c r="Q127" s="20">
        <f t="shared" si="107"/>
        <v>534.59204675396666</v>
      </c>
      <c r="R127" s="59">
        <f t="shared" si="55"/>
        <v>817.45909853713999</v>
      </c>
      <c r="S127" s="59">
        <f ca="1">AVERAGE(OFFSET($R$3,0,0,'Données projet'!$E$9+1,1))-AVERAGE(OFFSET($H$3,0,0,'Données projet'!$E$9+1,1))</f>
        <v>388.1278150896951</v>
      </c>
      <c r="T127" s="59">
        <f t="shared" si="88"/>
        <v>232.26614607059227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28.712927185801462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28.712927185801462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5.3066239316239274</v>
      </c>
      <c r="AI127" s="13">
        <f>IF('Données projet'!$A$62&gt;35,AI126+AH127-AQ126,IF(A127&lt;'Données projet'!$A$62,$AF$205^A127,IF(A127='Données projet'!$A$62,'Données projet'!$B$62,AI126+AH127-AQ126)))</f>
        <v>272.98824786324741</v>
      </c>
      <c r="AJ127" s="13">
        <f>AI127*VLOOKUP('Données projet'!$B$10,Paramètres!$A$1:$I$89,3,0)*VLOOKUP('Données projet'!$B$10,Paramètres!$A$1:$I$89,5,0)</f>
        <v>276.8100833333329</v>
      </c>
      <c r="AK127" s="13">
        <f t="shared" si="89"/>
        <v>66.292438909774205</v>
      </c>
      <c r="AL127" s="20">
        <f t="shared" si="58"/>
        <v>597.57022624007823</v>
      </c>
      <c r="AM127" s="59">
        <f t="shared" si="59"/>
        <v>880.43727802325157</v>
      </c>
      <c r="AN127" s="59">
        <f ca="1">AVERAGE(OFFSET($AM$3,0,0,'Données projet'!$E$10+1,1))-AVERAGE(OFFSET($H$3,0,0,'Données projet'!$E$10+1,1))</f>
        <v>424.89201140676084</v>
      </c>
      <c r="AO127" s="59">
        <f t="shared" si="90"/>
        <v>253.0016648946303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32.178280466846466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32.178280466846466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5.3066239316239274</v>
      </c>
      <c r="BD127" s="12">
        <f>IF('Données projet'!$A$88&gt;35,BD126+BC127-BL126,IF(A127&lt;'Données projet'!$A$88,$BA$205^A127,IF(A127='Données projet'!$A$88,'Données projet'!$B$88,BD126+BC127-BL126)))</f>
        <v>272.98824786324741</v>
      </c>
      <c r="BE127" s="13">
        <f>BD127*VLOOKUP('Données projet'!$B$11,Paramètres!$A$1:$I$89,3,0)*VLOOKUP('Données projet'!$B$11,Paramètres!$A$1:$I$89,5,0)</f>
        <v>259.77561666666622</v>
      </c>
      <c r="BF127" s="13">
        <f t="shared" si="91"/>
        <v>62.674546093913065</v>
      </c>
      <c r="BG127" s="20">
        <f t="shared" si="61"/>
        <v>561.60070014134226</v>
      </c>
      <c r="BH127" s="59">
        <f t="shared" si="62"/>
        <v>844.4677519245156</v>
      </c>
      <c r="BI127" s="59">
        <f ca="1">AVERAGE(OFFSET($BH$3,0,0,'Données projet'!$E$11+1,1))-AVERAGE(OFFSET($H$3,0,0,'Données projet'!$E$11+1,1))</f>
        <v>403.89478276355294</v>
      </c>
      <c r="BJ127" s="59">
        <f t="shared" si="92"/>
        <v>241.1593989733278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30.198078591963608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30.198078591963608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319</v>
      </c>
      <c r="BZ127" s="13">
        <f>BY127*VLOOKUP('Données projet'!$B$12,Paramètres!$A$1:$I$89,3,0)*VLOOKUP('Données projet'!$B$12,Paramètres!$A$1:$I$89,5,0)</f>
        <v>253.79640000000001</v>
      </c>
      <c r="CA127" s="13">
        <f t="shared" si="93"/>
        <v>61.39816832228076</v>
      </c>
      <c r="CB127" s="20">
        <f t="shared" si="64"/>
        <v>548.96387316130563</v>
      </c>
      <c r="CC127" s="59">
        <f t="shared" si="65"/>
        <v>831.83092494447897</v>
      </c>
      <c r="CD127" s="59">
        <f ca="1">AVERAGE(OFFSET($CC$3,0,0,'Données projet'!$E$12+1,1))-AVERAGE(OFFSET($H$3,0,0,'Données projet'!$E$12+1,1))</f>
        <v>377.27600411578322</v>
      </c>
      <c r="CE127" s="59">
        <f t="shared" si="94"/>
        <v>364.58250627635425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18.734191693794482</v>
      </c>
      <c r="CL127" s="21">
        <f>EXP(-LN(2)/25)*CL126+(1-EXP(-LN(2)/25))/(LN(2)/25)*Calculateur!CG127*Calculateur!CI127*VLOOKUP('Données projet'!$B$12,Paramètres!$A$1:$I$89,3,0)*0.475*44/12</f>
        <v>2.2277669949092656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20.961958688703749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1.7053025658242404E-13</v>
      </c>
      <c r="CU127" s="17">
        <f>CT127*VLOOKUP('Données projet'!$B$13,Paramètres!$A$1:$I$89,3,0)*VLOOKUP('Données projet'!$B$13,Paramètres!$A$1:$I$89,5,0)</f>
        <v>1.3301360013429075E-13</v>
      </c>
      <c r="CV127" s="13">
        <f t="shared" si="95"/>
        <v>1.9329766731057041E-12</v>
      </c>
      <c r="CW127" s="20">
        <f t="shared" si="67"/>
        <v>3.5982663925596575E-12</v>
      </c>
      <c r="CX127" s="59">
        <f t="shared" si="68"/>
        <v>282.86705178317692</v>
      </c>
      <c r="CY127" s="59">
        <f ca="1">AVERAGE(OFFSET($CX$3,0,0,'Données projet'!$E$13+1,1))-AVERAGE(OFFSET($H$3,0,0,'Données projet'!$E$13+1,1))</f>
        <v>308.82719216177946</v>
      </c>
      <c r="CZ127" s="59">
        <f t="shared" si="96"/>
        <v>302.59481222418219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27.299447063664811</v>
      </c>
      <c r="DG127" s="21">
        <f>EXP(-LN(2)/25)*DG126+(1-EXP(-LN(2)/25))/(LN(2)/25)*Calculateur!DB127*Calculateur!DD127*VLOOKUP('Données projet'!$B$13,Paramètres!$A$1:$I$89,3,0)*0.475*44/12</f>
        <v>14.844963486654429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42.144410550319236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304.99999999999983</v>
      </c>
      <c r="DP127" s="17">
        <f>DO127*VLOOKUP('Données projet'!$B$14,Paramètres!$A$1:$I$89,3,0)*VLOOKUP('Données projet'!$B$14,Paramètres!$A$1:$I$89,5,0)</f>
        <v>275.96399999999983</v>
      </c>
      <c r="DQ127" s="13">
        <f t="shared" si="97"/>
        <v>66.113366665488854</v>
      </c>
      <c r="DR127" s="20">
        <f t="shared" si="70"/>
        <v>595.78474694239264</v>
      </c>
      <c r="DS127" s="59">
        <f t="shared" si="71"/>
        <v>878.65179872556598</v>
      </c>
      <c r="DT127" s="59">
        <f ca="1">AVERAGE(OFFSET($DS$3,0,0,'Données projet'!$E$14+1,1))-AVERAGE(OFFSET($H$3,0,0,'Données projet'!$E$14+1,1))</f>
        <v>376.51107072413777</v>
      </c>
      <c r="DU127" s="59">
        <f t="shared" si="98"/>
        <v>532.90758914457615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0.25120742633220983</v>
      </c>
      <c r="EB127" s="21">
        <f>EXP(-LN(2)/25)*EB126+(1-EXP(-LN(2)/25))/(LN(2)/25)*Calculateur!DW127*Calculateur!DY127*VLOOKUP('Données projet'!$B$14,Paramètres!$A$1:$I$89,3,0)*0.475*44/12</f>
        <v>0.54495462261247452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0.79616204894468434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-1.7053025658242404E-13</v>
      </c>
      <c r="EK127" s="17">
        <f>EJ127*VLOOKUP('Données projet'!$B$15,Paramètres!$A$1:$I$89,3,0)*VLOOKUP('Données projet'!$B$15,Paramètres!$A$1:$I$89,5,0)</f>
        <v>-1.0197709343628959E-13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337.99164391755608</v>
      </c>
      <c r="EP127" s="59">
        <f t="shared" si="100"/>
        <v>421.45428231923393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42.356879694302556</v>
      </c>
      <c r="EW127" s="21">
        <f>EXP(-LN(2)/25)*EW126+(1-EXP(-LN(2)/25))/(LN(2)/25)*Calculateur!ER127*Calculateur!ET127*VLOOKUP('Données projet'!$B$15,Paramètres!$A$1:$I$89,3,0)*0.475*44/12</f>
        <v>6.7085144001076733</v>
      </c>
      <c r="EX127" s="21">
        <f>EXP(-LN(2)/2)*EX126+(1-EXP(-LN(2)/2))/(LN(2)/2)*ER127*EU127*VLOOKUP('Données projet'!$B$15,Paramètres!$A$1:$I$89,3,0)*0.475*44/12</f>
        <v>2.3519603385828395E-9</v>
      </c>
      <c r="EY127" s="22">
        <f t="shared" si="75"/>
        <v>49.065394096762191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>
        <f>VLOOKUP(A128,'Données projet'!$A$35:$I$55,2,0)</f>
        <v>278.29487179487177</v>
      </c>
      <c r="L128" s="12">
        <f>VLOOKUP(A128,'Données projet'!$A$35:$I$55,9,0)</f>
        <v>5.3066239316239274</v>
      </c>
      <c r="M128" s="12">
        <f t="array" ref="M128">INDEX(L:L,MIN(IF(ISNUMBER(L128:L324),ROW(L128:L324),"")))</f>
        <v>5.3066239316239274</v>
      </c>
      <c r="N128" s="13">
        <f>IF('Données projet'!$A$36&gt;35,N127+M128-V127,IF(A128&lt;'Données projet'!$A$36,$K$205^A128,IF(A128='Données projet'!$A$36,'Données projet'!$B$36,N127+M128-V127)))</f>
        <v>278.29487179487131</v>
      </c>
      <c r="O128" s="13">
        <f>N128*VLOOKUP('Données projet'!$B$9,Paramètres!$A$1:$I$89,3,0)*VLOOKUP('Données projet'!$B$9,Paramètres!$A$1:$I$89,5,0)</f>
        <v>251.80119999999957</v>
      </c>
      <c r="P128" s="13">
        <f t="shared" si="87"/>
        <v>60.971479423668242</v>
      </c>
      <c r="Q128" s="20">
        <f t="shared" si="107"/>
        <v>544.74574999622132</v>
      </c>
      <c r="R128" s="59">
        <f t="shared" si="55"/>
        <v>827.79436836518983</v>
      </c>
      <c r="S128" s="59">
        <f ca="1">AVERAGE(OFFSET($R$3,0,0,'Données projet'!$E$9+1,1))-AVERAGE(OFFSET($H$3,0,0,'Données projet'!$E$9+1,1))</f>
        <v>388.1278150896951</v>
      </c>
      <c r="T128" s="59">
        <f t="shared" si="88"/>
        <v>232.26614607059227</v>
      </c>
      <c r="U128" s="15">
        <f>IF(ISNA(VLOOKUP(A128,'Données projet'!$A$35:$I$55,3,0)),0,VLOOKUP(A128,'Données projet'!$A$35:$I$55,3,0))</f>
        <v>10</v>
      </c>
      <c r="V128" s="15">
        <f>IF(ISNA(VLOOKUP(A128,'Données projet'!$A$35:$I$55,4,0)),0,VLOOKUP(A128,'Données projet'!$A$35:$I$55,4,0))</f>
        <v>48.160256410256409</v>
      </c>
      <c r="W128" s="16">
        <f>IF(ISNA(VLOOKUP(A128,'Données projet'!$A$35:$I$55,5,0)),0%,VLOOKUP(A128,'Données projet'!$A$35:$I$55,5,0)*VLOOKUP('Données projet'!$B$9,Paramètres!$A$1:$I$89,7,0))</f>
        <v>0.30099999999999999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42.64944970371053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42.64944970371053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>
        <f>VLOOKUP(A128,'Données projet'!$A$61:$I$81,2,0)</f>
        <v>278.29487179487177</v>
      </c>
      <c r="AG128" s="12">
        <f>VLOOKUP(A128,'Données projet'!$A$61:$I$81,9,0)</f>
        <v>5.3066239316239274</v>
      </c>
      <c r="AH128" s="12">
        <f t="array" ref="AH128">INDEX(AG:AG,MIN(IF(ISNUMBER(AG128:AG324),ROW(AG128:AG324),"")))</f>
        <v>5.3066239316239274</v>
      </c>
      <c r="AI128" s="13">
        <f>IF('Données projet'!$A$62&gt;35,AI127+AH128-AQ127,IF(A128&lt;'Données projet'!$A$62,$AF$205^A128,IF(A128='Données projet'!$A$62,'Données projet'!$B$62,AI127+AH128-AQ127)))</f>
        <v>278.29487179487131</v>
      </c>
      <c r="AJ128" s="13">
        <f>AI128*VLOOKUP('Données projet'!$B$10,Paramètres!$A$1:$I$89,3,0)*VLOOKUP('Données projet'!$B$10,Paramètres!$A$1:$I$89,5,0)</f>
        <v>282.19099999999952</v>
      </c>
      <c r="AK128" s="13">
        <f t="shared" si="89"/>
        <v>67.429819909567854</v>
      </c>
      <c r="AL128" s="20">
        <f t="shared" si="58"/>
        <v>608.92292800916312</v>
      </c>
      <c r="AM128" s="59">
        <f t="shared" si="59"/>
        <v>891.97154637813162</v>
      </c>
      <c r="AN128" s="59">
        <f ca="1">AVERAGE(OFFSET($AM$3,0,0,'Données projet'!$E$10+1,1))-AVERAGE(OFFSET($H$3,0,0,'Données projet'!$E$10+1,1))</f>
        <v>424.89201140676084</v>
      </c>
      <c r="AO128" s="59">
        <f t="shared" si="90"/>
        <v>253.0016648946303</v>
      </c>
      <c r="AP128" s="15">
        <f>IF(ISNA(VLOOKUP(A128,'Données projet'!$A$61:$I$81,3,0)),0,VLOOKUP(A128,'Données projet'!$A$61:$I$81,3,0))</f>
        <v>10</v>
      </c>
      <c r="AQ128" s="15">
        <f>IF(ISNA(VLOOKUP(A128,'Données projet'!$A$61:$I$81,4,0)),0,VLOOKUP(A128,'Données projet'!$A$61:$I$81,4,0))</f>
        <v>48.160256410256409</v>
      </c>
      <c r="AR128" s="16">
        <f>IF(ISNA(VLOOKUP(A128,'Données projet'!$A$61:$I$81,5,0)),0%,VLOOKUP(A128,'Données projet'!$A$61:$I$81,5,0)*VLOOKUP('Données projet'!$B$10,Paramètres!$A$1:$I$89,7,0))</f>
        <v>0.30099999999999999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47.796797081744565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47.796797081744565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>
        <f>VLOOKUP(A128,'Données projet'!$A$87:$I$107,2,0)</f>
        <v>278.29487179487177</v>
      </c>
      <c r="BB128" s="12">
        <f>VLOOKUP(A128,'Données projet'!$A$87:$I$107,9,0)</f>
        <v>5.3066239316239274</v>
      </c>
      <c r="BC128" s="12">
        <f t="array" ref="BC128">INDEX(BB:BB,MIN(IF(ISNUMBER(BB128:BB324),ROW(BB128:BB324),"")))</f>
        <v>5.3066239316239274</v>
      </c>
      <c r="BD128" s="12">
        <f>IF('Données projet'!$A$88&gt;35,BD127+BC128-BL127,IF(A128&lt;'Données projet'!$A$88,$BA$205^A128,IF(A128='Données projet'!$A$88,'Données projet'!$B$88,BD127+BC128-BL127)))</f>
        <v>278.29487179487131</v>
      </c>
      <c r="BE128" s="13">
        <f>BD128*VLOOKUP('Données projet'!$B$11,Paramètres!$A$1:$I$89,3,0)*VLOOKUP('Données projet'!$B$11,Paramètres!$A$1:$I$89,5,0)</f>
        <v>264.82539999999955</v>
      </c>
      <c r="BF128" s="13">
        <f t="shared" si="91"/>
        <v>63.749854817958173</v>
      </c>
      <c r="BG128" s="20">
        <f t="shared" si="61"/>
        <v>572.26856880794298</v>
      </c>
      <c r="BH128" s="59">
        <f t="shared" si="62"/>
        <v>855.31718717691149</v>
      </c>
      <c r="BI128" s="59">
        <f ca="1">AVERAGE(OFFSET($BH$3,0,0,'Données projet'!$E$11+1,1))-AVERAGE(OFFSET($H$3,0,0,'Données projet'!$E$11+1,1))</f>
        <v>403.89478276355294</v>
      </c>
      <c r="BJ128" s="59">
        <f t="shared" si="92"/>
        <v>241.1593989733278</v>
      </c>
      <c r="BK128" s="15">
        <f>IF(ISNA(VLOOKUP(A128,'Données projet'!$A$87:$I$107,3,0)),0,VLOOKUP(A128,'Données projet'!$A$87:$I$107,3,0))</f>
        <v>10</v>
      </c>
      <c r="BL128" s="15">
        <f>IF(ISNA(VLOOKUP(A128,'Données projet'!$A$87:$I$107,4,0)),0,VLOOKUP(A128,'Données projet'!$A$87:$I$107,4,0))</f>
        <v>48.160256410256409</v>
      </c>
      <c r="BM128" s="16">
        <f>IF(ISNA(VLOOKUP(A128,'Données projet'!$A$87:$I$107,5,0)),0%,VLOOKUP(A128,'Données projet'!$A$87:$I$107,5,0)*VLOOKUP('Données projet'!$B$11,Paramètres!$A$1:$I$89,7,0))</f>
        <v>0.30099999999999999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44.855455722867973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44.855455722867973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319</v>
      </c>
      <c r="BZ128" s="13">
        <f>BY128*VLOOKUP('Données projet'!$B$12,Paramètres!$A$1:$I$89,3,0)*VLOOKUP('Données projet'!$B$12,Paramètres!$A$1:$I$89,5,0)</f>
        <v>253.79640000000001</v>
      </c>
      <c r="CA128" s="13">
        <f t="shared" si="93"/>
        <v>61.39816832228076</v>
      </c>
      <c r="CB128" s="20">
        <f t="shared" si="64"/>
        <v>548.96387316130563</v>
      </c>
      <c r="CC128" s="59">
        <f t="shared" si="65"/>
        <v>832.01249153027413</v>
      </c>
      <c r="CD128" s="59">
        <f ca="1">AVERAGE(OFFSET($CC$3,0,0,'Données projet'!$E$12+1,1))-AVERAGE(OFFSET($H$3,0,0,'Données projet'!$E$12+1,1))</f>
        <v>377.27600411578322</v>
      </c>
      <c r="CE128" s="59">
        <f t="shared" si="94"/>
        <v>364.58250627635425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18.366825621407809</v>
      </c>
      <c r="CL128" s="21">
        <f>EXP(-LN(2)/25)*CL127+(1-EXP(-LN(2)/25))/(LN(2)/25)*Calculateur!CG128*Calculateur!CI128*VLOOKUP('Données projet'!$B$12,Paramètres!$A$1:$I$89,3,0)*0.475*44/12</f>
        <v>2.1668485892802969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20.533674210688105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1.7053025658242404E-13</v>
      </c>
      <c r="CU128" s="17">
        <f>CT128*VLOOKUP('Données projet'!$B$13,Paramètres!$A$1:$I$89,3,0)*VLOOKUP('Données projet'!$B$13,Paramètres!$A$1:$I$89,5,0)</f>
        <v>1.3301360013429075E-13</v>
      </c>
      <c r="CV128" s="13">
        <f t="shared" si="95"/>
        <v>1.9329766731057041E-12</v>
      </c>
      <c r="CW128" s="20">
        <f t="shared" si="67"/>
        <v>3.5982663925596575E-12</v>
      </c>
      <c r="CX128" s="59">
        <f t="shared" si="68"/>
        <v>283.04861836897209</v>
      </c>
      <c r="CY128" s="59">
        <f ca="1">AVERAGE(OFFSET($CX$3,0,0,'Données projet'!$E$13+1,1))-AVERAGE(OFFSET($H$3,0,0,'Données projet'!$E$13+1,1))</f>
        <v>308.82719216177946</v>
      </c>
      <c r="CZ128" s="59">
        <f t="shared" si="96"/>
        <v>302.59481222418219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26.764121557764902</v>
      </c>
      <c r="DG128" s="21">
        <f>EXP(-LN(2)/25)*DG127+(1-EXP(-LN(2)/25))/(LN(2)/25)*Calculateur!DB128*Calculateur!DD128*VLOOKUP('Données projet'!$B$13,Paramètres!$A$1:$I$89,3,0)*0.475*44/12</f>
        <v>14.439027179449162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41.203148737214065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304.99999999999983</v>
      </c>
      <c r="DP128" s="17">
        <f>DO128*VLOOKUP('Données projet'!$B$14,Paramètres!$A$1:$I$89,3,0)*VLOOKUP('Données projet'!$B$14,Paramètres!$A$1:$I$89,5,0)</f>
        <v>275.96399999999983</v>
      </c>
      <c r="DQ128" s="13">
        <f t="shared" si="97"/>
        <v>66.113366665488854</v>
      </c>
      <c r="DR128" s="20">
        <f t="shared" si="70"/>
        <v>595.78474694239264</v>
      </c>
      <c r="DS128" s="59">
        <f t="shared" si="71"/>
        <v>878.83336531136115</v>
      </c>
      <c r="DT128" s="59">
        <f ca="1">AVERAGE(OFFSET($DS$3,0,0,'Données projet'!$E$14+1,1))-AVERAGE(OFFSET($H$3,0,0,'Données projet'!$E$14+1,1))</f>
        <v>376.51107072413777</v>
      </c>
      <c r="DU128" s="59">
        <f t="shared" si="98"/>
        <v>532.90758914457615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0.24628140192323589</v>
      </c>
      <c r="EB128" s="21">
        <f>EXP(-LN(2)/25)*EB127+(1-EXP(-LN(2)/25))/(LN(2)/25)*Calculateur!DW128*Calculateur!DY128*VLOOKUP('Données projet'!$B$14,Paramètres!$A$1:$I$89,3,0)*0.475*44/12</f>
        <v>0.53005280979921832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0.7763342117224542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-1.7053025658242404E-13</v>
      </c>
      <c r="EK128" s="17">
        <f>EJ128*VLOOKUP('Données projet'!$B$15,Paramètres!$A$1:$I$89,3,0)*VLOOKUP('Données projet'!$B$15,Paramètres!$A$1:$I$89,5,0)</f>
        <v>-1.0197709343628959E-13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337.99164391755608</v>
      </c>
      <c r="EP128" s="59">
        <f t="shared" si="100"/>
        <v>421.45428231923393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41.526287118642891</v>
      </c>
      <c r="EW128" s="21">
        <f>EXP(-LN(2)/25)*EW127+(1-EXP(-LN(2)/25))/(LN(2)/25)*Calculateur!ER128*Calculateur!ET128*VLOOKUP('Données projet'!$B$15,Paramètres!$A$1:$I$89,3,0)*0.475*44/12</f>
        <v>6.5250697210512891</v>
      </c>
      <c r="EX128" s="21">
        <f>EXP(-LN(2)/2)*EX127+(1-EXP(-LN(2)/2))/(LN(2)/2)*ER128*EU128*VLOOKUP('Données projet'!$B$15,Paramètres!$A$1:$I$89,3,0)*0.475*44/12</f>
        <v>1.6630871044937342E-9</v>
      </c>
      <c r="EY128" s="22">
        <f t="shared" si="75"/>
        <v>48.051356841357268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5.2446581196581219</v>
      </c>
      <c r="N129" s="13">
        <f>IF('Données projet'!$A$36&gt;35,N128+M129-V128,IF(A129&lt;'Données projet'!$A$36,$K$205^A129,IF(A129='Données projet'!$A$36,'Données projet'!$B$36,N128+M129-V128)))</f>
        <v>235.37927350427304</v>
      </c>
      <c r="O129" s="13">
        <f>N129*VLOOKUP('Données projet'!$B$9,Paramètres!$A$1:$I$89,3,0)*VLOOKUP('Données projet'!$B$9,Paramètres!$A$1:$I$89,5,0)</f>
        <v>212.97116666666628</v>
      </c>
      <c r="P129" s="13">
        <f t="shared" si="87"/>
        <v>52.584328525271125</v>
      </c>
      <c r="Q129" s="20">
        <f t="shared" si="107"/>
        <v>462.50915412595759</v>
      </c>
      <c r="R129" s="59">
        <f t="shared" si="55"/>
        <v>745.73618930637986</v>
      </c>
      <c r="S129" s="59">
        <f ca="1">AVERAGE(OFFSET($R$3,0,0,'Données projet'!$E$9+1,1))-AVERAGE(OFFSET($H$3,0,0,'Données projet'!$E$9+1,1))</f>
        <v>388.1278150896951</v>
      </c>
      <c r="T129" s="59">
        <f t="shared" si="88"/>
        <v>232.26614607059227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41.813120008616458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41.813120008616458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5.2446581196581219</v>
      </c>
      <c r="AI129" s="13">
        <f>IF('Données projet'!$A$62&gt;35,AI128+AH129-AQ128,IF(A129&lt;'Données projet'!$A$62,$AF$205^A129,IF(A129='Données projet'!$A$62,'Données projet'!$B$62,AI128+AH129-AQ128)))</f>
        <v>235.37927350427304</v>
      </c>
      <c r="AJ129" s="13">
        <f>AI129*VLOOKUP('Données projet'!$B$10,Paramètres!$A$1:$I$89,3,0)*VLOOKUP('Données projet'!$B$10,Paramètres!$A$1:$I$89,5,0)</f>
        <v>238.67458333333289</v>
      </c>
      <c r="AK129" s="13">
        <f t="shared" si="89"/>
        <v>58.154268783384175</v>
      </c>
      <c r="AL129" s="20">
        <f t="shared" si="58"/>
        <v>516.97691743661551</v>
      </c>
      <c r="AM129" s="59">
        <f t="shared" si="59"/>
        <v>800.20395261703766</v>
      </c>
      <c r="AN129" s="59">
        <f ca="1">AVERAGE(OFFSET($AM$3,0,0,'Données projet'!$E$10+1,1))-AVERAGE(OFFSET($H$3,0,0,'Données projet'!$E$10+1,1))</f>
        <v>424.89201140676084</v>
      </c>
      <c r="AO129" s="59">
        <f t="shared" si="90"/>
        <v>253.0016648946303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46.859531044139139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46.859531044139139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5.2446581196581219</v>
      </c>
      <c r="BD129" s="12">
        <f>IF('Données projet'!$A$88&gt;35,BD128+BC129-BL128,IF(A129&lt;'Données projet'!$A$88,$BA$205^A129,IF(A129='Données projet'!$A$88,'Données projet'!$B$88,BD128+BC129-BL128)))</f>
        <v>235.37927350427304</v>
      </c>
      <c r="BE129" s="13">
        <f>BD129*VLOOKUP('Données projet'!$B$11,Paramètres!$A$1:$I$89,3,0)*VLOOKUP('Données projet'!$B$11,Paramètres!$A$1:$I$89,5,0)</f>
        <v>223.98691666666625</v>
      </c>
      <c r="BF129" s="13">
        <f t="shared" si="91"/>
        <v>54.9805145106018</v>
      </c>
      <c r="BG129" s="20">
        <f t="shared" si="61"/>
        <v>485.86827596707514</v>
      </c>
      <c r="BH129" s="59">
        <f t="shared" si="62"/>
        <v>769.09531114749734</v>
      </c>
      <c r="BI129" s="59">
        <f ca="1">AVERAGE(OFFSET($BH$3,0,0,'Données projet'!$E$11+1,1))-AVERAGE(OFFSET($H$3,0,0,'Données projet'!$E$11+1,1))</f>
        <v>403.89478276355294</v>
      </c>
      <c r="BJ129" s="59">
        <f t="shared" si="92"/>
        <v>241.1593989733278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43.975867595269037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43.975867595269037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319</v>
      </c>
      <c r="BZ129" s="13">
        <f>BY129*VLOOKUP('Données projet'!$B$12,Paramètres!$A$1:$I$89,3,0)*VLOOKUP('Données projet'!$B$12,Paramètres!$A$1:$I$89,5,0)</f>
        <v>253.79640000000001</v>
      </c>
      <c r="CA129" s="13">
        <f t="shared" si="93"/>
        <v>61.39816832228076</v>
      </c>
      <c r="CB129" s="20">
        <f t="shared" si="64"/>
        <v>548.96387316130563</v>
      </c>
      <c r="CC129" s="59">
        <f t="shared" si="65"/>
        <v>832.19090834172789</v>
      </c>
      <c r="CD129" s="59">
        <f ca="1">AVERAGE(OFFSET($CC$3,0,0,'Données projet'!$E$12+1,1))-AVERAGE(OFFSET($H$3,0,0,'Données projet'!$E$12+1,1))</f>
        <v>377.27600411578322</v>
      </c>
      <c r="CE129" s="59">
        <f t="shared" si="94"/>
        <v>364.58250627635425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18.006663373629461</v>
      </c>
      <c r="CL129" s="21">
        <f>EXP(-LN(2)/25)*CL128+(1-EXP(-LN(2)/25))/(LN(2)/25)*Calculateur!CG129*Calculateur!CI129*VLOOKUP('Données projet'!$B$12,Paramètres!$A$1:$I$89,3,0)*0.475*44/12</f>
        <v>2.1075960006568124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20.114259374286274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1.7053025658242404E-13</v>
      </c>
      <c r="CU129" s="17">
        <f>CT129*VLOOKUP('Données projet'!$B$13,Paramètres!$A$1:$I$89,3,0)*VLOOKUP('Données projet'!$B$13,Paramètres!$A$1:$I$89,5,0)</f>
        <v>1.3301360013429075E-13</v>
      </c>
      <c r="CV129" s="13">
        <f t="shared" si="95"/>
        <v>1.9329766731057041E-12</v>
      </c>
      <c r="CW129" s="20">
        <f t="shared" si="67"/>
        <v>3.5982663925596575E-12</v>
      </c>
      <c r="CX129" s="59">
        <f t="shared" si="68"/>
        <v>283.22703518042579</v>
      </c>
      <c r="CY129" s="59">
        <f ca="1">AVERAGE(OFFSET($CX$3,0,0,'Données projet'!$E$13+1,1))-AVERAGE(OFFSET($H$3,0,0,'Données projet'!$E$13+1,1))</f>
        <v>308.82719216177946</v>
      </c>
      <c r="CZ129" s="59">
        <f t="shared" si="96"/>
        <v>302.59481222418219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26.239293458519374</v>
      </c>
      <c r="DG129" s="21">
        <f>EXP(-LN(2)/25)*DG128+(1-EXP(-LN(2)/25))/(LN(2)/25)*Calculateur!DB129*Calculateur!DD129*VLOOKUP('Données projet'!$B$13,Paramètres!$A$1:$I$89,3,0)*0.475*44/12</f>
        <v>14.044191221911687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40.283484680431059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304.99999999999983</v>
      </c>
      <c r="DP129" s="17">
        <f>DO129*VLOOKUP('Données projet'!$B$14,Paramètres!$A$1:$I$89,3,0)*VLOOKUP('Données projet'!$B$14,Paramètres!$A$1:$I$89,5,0)</f>
        <v>275.96399999999983</v>
      </c>
      <c r="DQ129" s="13">
        <f t="shared" si="97"/>
        <v>66.113366665488854</v>
      </c>
      <c r="DR129" s="20">
        <f t="shared" si="70"/>
        <v>595.78474694239264</v>
      </c>
      <c r="DS129" s="59">
        <f t="shared" si="71"/>
        <v>879.01178212281479</v>
      </c>
      <c r="DT129" s="59">
        <f ca="1">AVERAGE(OFFSET($DS$3,0,0,'Données projet'!$E$14+1,1))-AVERAGE(OFFSET($H$3,0,0,'Données projet'!$E$14+1,1))</f>
        <v>376.51107072413777</v>
      </c>
      <c r="DU129" s="59">
        <f t="shared" si="98"/>
        <v>532.90758914457615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0.24145197384834372</v>
      </c>
      <c r="EB129" s="21">
        <f>EXP(-LN(2)/25)*EB128+(1-EXP(-LN(2)/25))/(LN(2)/25)*Calculateur!DW129*Calculateur!DY129*VLOOKUP('Données projet'!$B$14,Paramètres!$A$1:$I$89,3,0)*0.475*44/12</f>
        <v>0.5155584878409929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0.75701046168933661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-1.7053025658242404E-13</v>
      </c>
      <c r="EK129" s="17">
        <f>EJ129*VLOOKUP('Données projet'!$B$15,Paramètres!$A$1:$I$89,3,0)*VLOOKUP('Données projet'!$B$15,Paramètres!$A$1:$I$89,5,0)</f>
        <v>-1.0197709343628959E-13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337.99164391755608</v>
      </c>
      <c r="EP129" s="59">
        <f t="shared" si="100"/>
        <v>421.45428231923393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40.711981956780463</v>
      </c>
      <c r="EW129" s="21">
        <f>EXP(-LN(2)/25)*EW128+(1-EXP(-LN(2)/25))/(LN(2)/25)*Calculateur!ER129*Calculateur!ET129*VLOOKUP('Données projet'!$B$15,Paramètres!$A$1:$I$89,3,0)*0.475*44/12</f>
        <v>6.3466413463906379</v>
      </c>
      <c r="EX129" s="21">
        <f>EXP(-LN(2)/2)*EX128+(1-EXP(-LN(2)/2))/(LN(2)/2)*ER129*EU129*VLOOKUP('Données projet'!$B$15,Paramètres!$A$1:$I$89,3,0)*0.475*44/12</f>
        <v>1.1759801692914198E-9</v>
      </c>
      <c r="EY129" s="22">
        <f t="shared" si="75"/>
        <v>47.05862330434708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5.2446581196581219</v>
      </c>
      <c r="N130" s="13">
        <f>IF('Données projet'!$A$36&gt;35,N129+M130-V129,IF(A130&lt;'Données projet'!$A$36,$K$205^A130,IF(A130='Données projet'!$A$36,'Données projet'!$B$36,N129+M130-V129)))</f>
        <v>240.62393162393116</v>
      </c>
      <c r="O130" s="13">
        <f>N130*VLOOKUP('Données projet'!$B$9,Paramètres!$A$1:$I$89,3,0)*VLOOKUP('Données projet'!$B$9,Paramètres!$A$1:$I$89,5,0)</f>
        <v>217.7165333333329</v>
      </c>
      <c r="P130" s="13">
        <f t="shared" si="87"/>
        <v>53.618284552972121</v>
      </c>
      <c r="Q130" s="20">
        <f t="shared" si="107"/>
        <v>472.57480781864791</v>
      </c>
      <c r="R130" s="59">
        <f t="shared" si="55"/>
        <v>755.97716467772534</v>
      </c>
      <c r="S130" s="59">
        <f ca="1">AVERAGE(OFFSET($R$3,0,0,'Données projet'!$E$9+1,1))-AVERAGE(OFFSET($H$3,0,0,'Données projet'!$E$9+1,1))</f>
        <v>388.1278150896951</v>
      </c>
      <c r="T130" s="59">
        <f t="shared" si="88"/>
        <v>232.26614607059227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40.993190228732438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40.993190228732438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5.2446581196581219</v>
      </c>
      <c r="AI130" s="13">
        <f>IF('Données projet'!$A$62&gt;35,AI129+AH130-AQ129,IF(A130&lt;'Données projet'!$A$62,$AF$205^A130,IF(A130='Données projet'!$A$62,'Données projet'!$B$62,AI129+AH130-AQ129)))</f>
        <v>240.62393162393116</v>
      </c>
      <c r="AJ130" s="13">
        <f>AI130*VLOOKUP('Données projet'!$B$10,Paramètres!$A$1:$I$89,3,0)*VLOOKUP('Données projet'!$B$10,Paramètres!$A$1:$I$89,5,0)</f>
        <v>243.9926666666662</v>
      </c>
      <c r="AK130" s="13">
        <f t="shared" si="89"/>
        <v>59.297745526958636</v>
      </c>
      <c r="AL130" s="20">
        <f t="shared" si="58"/>
        <v>528.23080123722991</v>
      </c>
      <c r="AM130" s="59">
        <f t="shared" si="59"/>
        <v>811.6331580963074</v>
      </c>
      <c r="AN130" s="59">
        <f ca="1">AVERAGE(OFFSET($AM$3,0,0,'Données projet'!$E$10+1,1))-AVERAGE(OFFSET($H$3,0,0,'Données projet'!$E$10+1,1))</f>
        <v>424.89201140676084</v>
      </c>
      <c r="AO130" s="59">
        <f t="shared" si="90"/>
        <v>253.0016648946303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45.940644221855322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45.940644221855322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5.2446581196581219</v>
      </c>
      <c r="BD130" s="12">
        <f>IF('Données projet'!$A$88&gt;35,BD129+BC130-BL129,IF(A130&lt;'Données projet'!$A$88,$BA$205^A130,IF(A130='Données projet'!$A$88,'Données projet'!$B$88,BD129+BC130-BL129)))</f>
        <v>240.62393162393116</v>
      </c>
      <c r="BE130" s="13">
        <f>BD130*VLOOKUP('Données projet'!$B$11,Paramètres!$A$1:$I$89,3,0)*VLOOKUP('Données projet'!$B$11,Paramètres!$A$1:$I$89,5,0)</f>
        <v>228.97773333333288</v>
      </c>
      <c r="BF130" s="13">
        <f t="shared" si="91"/>
        <v>56.061586304777492</v>
      </c>
      <c r="BG130" s="20">
        <f t="shared" si="61"/>
        <v>496.44348170304221</v>
      </c>
      <c r="BH130" s="59">
        <f t="shared" si="62"/>
        <v>779.84583856211964</v>
      </c>
      <c r="BI130" s="59">
        <f ca="1">AVERAGE(OFFSET($BH$3,0,0,'Données projet'!$E$11+1,1))-AVERAGE(OFFSET($H$3,0,0,'Données projet'!$E$11+1,1))</f>
        <v>403.89478276355294</v>
      </c>
      <c r="BJ130" s="59">
        <f t="shared" si="92"/>
        <v>241.1593989733278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43.113527654356531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43.113527654356531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319</v>
      </c>
      <c r="BZ130" s="13">
        <f>BY130*VLOOKUP('Données projet'!$B$12,Paramètres!$A$1:$I$89,3,0)*VLOOKUP('Données projet'!$B$12,Paramètres!$A$1:$I$89,5,0)</f>
        <v>253.79640000000001</v>
      </c>
      <c r="CA130" s="13">
        <f t="shared" si="93"/>
        <v>61.39816832228076</v>
      </c>
      <c r="CB130" s="20">
        <f t="shared" si="64"/>
        <v>548.96387316130563</v>
      </c>
      <c r="CC130" s="59">
        <f t="shared" si="65"/>
        <v>832.366230020383</v>
      </c>
      <c r="CD130" s="59">
        <f ca="1">AVERAGE(OFFSET($CC$3,0,0,'Données projet'!$E$12+1,1))-AVERAGE(OFFSET($H$3,0,0,'Données projet'!$E$12+1,1))</f>
        <v>377.27600411578322</v>
      </c>
      <c r="CE130" s="59">
        <f t="shared" si="94"/>
        <v>364.58250627635425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17.653563687852767</v>
      </c>
      <c r="CL130" s="21">
        <f>EXP(-LN(2)/25)*CL129+(1-EXP(-LN(2)/25))/(LN(2)/25)*Calculateur!CG130*Calculateur!CI130*VLOOKUP('Données projet'!$B$12,Paramètres!$A$1:$I$89,3,0)*0.475*44/12</f>
        <v>2.049963677185195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19.703527365037964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1.7053025658242404E-13</v>
      </c>
      <c r="CU130" s="17">
        <f>CT130*VLOOKUP('Données projet'!$B$13,Paramètres!$A$1:$I$89,3,0)*VLOOKUP('Données projet'!$B$13,Paramètres!$A$1:$I$89,5,0)</f>
        <v>1.3301360013429075E-13</v>
      </c>
      <c r="CV130" s="13">
        <f t="shared" si="95"/>
        <v>1.9329766731057041E-12</v>
      </c>
      <c r="CW130" s="20">
        <f t="shared" si="67"/>
        <v>3.5982663925596575E-12</v>
      </c>
      <c r="CX130" s="59">
        <f t="shared" si="68"/>
        <v>283.40235685908101</v>
      </c>
      <c r="CY130" s="59">
        <f ca="1">AVERAGE(OFFSET($CX$3,0,0,'Données projet'!$E$13+1,1))-AVERAGE(OFFSET($H$3,0,0,'Données projet'!$E$13+1,1))</f>
        <v>308.82719216177946</v>
      </c>
      <c r="CZ130" s="59">
        <f t="shared" si="96"/>
        <v>302.59481222418219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25.724756918186515</v>
      </c>
      <c r="DG130" s="21">
        <f>EXP(-LN(2)/25)*DG129+(1-EXP(-LN(2)/25))/(LN(2)/25)*Calculateur!DB130*Calculateur!DD130*VLOOKUP('Données projet'!$B$13,Paramètres!$A$1:$I$89,3,0)*0.475*44/12</f>
        <v>13.660152074396594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39.384908992583107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304.99999999999983</v>
      </c>
      <c r="DP130" s="17">
        <f>DO130*VLOOKUP('Données projet'!$B$14,Paramètres!$A$1:$I$89,3,0)*VLOOKUP('Données projet'!$B$14,Paramètres!$A$1:$I$89,5,0)</f>
        <v>275.96399999999983</v>
      </c>
      <c r="DQ130" s="13">
        <f t="shared" si="97"/>
        <v>66.113366665488854</v>
      </c>
      <c r="DR130" s="20">
        <f t="shared" si="70"/>
        <v>595.78474694239264</v>
      </c>
      <c r="DS130" s="59">
        <f t="shared" si="71"/>
        <v>879.18710380147013</v>
      </c>
      <c r="DT130" s="59">
        <f ca="1">AVERAGE(OFFSET($DS$3,0,0,'Données projet'!$E$14+1,1))-AVERAGE(OFFSET($H$3,0,0,'Données projet'!$E$14+1,1))</f>
        <v>376.51107072413777</v>
      </c>
      <c r="DU130" s="59">
        <f t="shared" si="98"/>
        <v>532.90758914457615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0.23671724791233992</v>
      </c>
      <c r="EB130" s="21">
        <f>EXP(-LN(2)/25)*EB129+(1-EXP(-LN(2)/25))/(LN(2)/25)*Calculateur!DW130*Calculateur!DY130*VLOOKUP('Données projet'!$B$14,Paramètres!$A$1:$I$89,3,0)*0.475*44/12</f>
        <v>0.50146051387893842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0.73817776179127836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-1.7053025658242404E-13</v>
      </c>
      <c r="EK130" s="17">
        <f>EJ130*VLOOKUP('Données projet'!$B$15,Paramètres!$A$1:$I$89,3,0)*VLOOKUP('Données projet'!$B$15,Paramètres!$A$1:$I$89,5,0)</f>
        <v>-1.0197709343628959E-13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337.99164391755608</v>
      </c>
      <c r="EP130" s="59">
        <f t="shared" si="100"/>
        <v>421.45428231923393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39.913644822465052</v>
      </c>
      <c r="EW130" s="21">
        <f>EXP(-LN(2)/25)*EW129+(1-EXP(-LN(2)/25))/(LN(2)/25)*Calculateur!ER130*Calculateur!ET130*VLOOKUP('Données projet'!$B$15,Paramètres!$A$1:$I$89,3,0)*0.475*44/12</f>
        <v>6.173092105018223</v>
      </c>
      <c r="EX130" s="21">
        <f>EXP(-LN(2)/2)*EX129+(1-EXP(-LN(2)/2))/(LN(2)/2)*ER130*EU130*VLOOKUP('Données projet'!$B$15,Paramètres!$A$1:$I$89,3,0)*0.475*44/12</f>
        <v>8.3154355224686708E-10</v>
      </c>
      <c r="EY130" s="22">
        <f t="shared" si="75"/>
        <v>46.086736928314814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5.2446581196581219</v>
      </c>
      <c r="N131" s="13">
        <f>IF('Données projet'!$A$36&gt;35,N130+M131-V130,IF(A131&lt;'Données projet'!$A$36,$K$205^A131,IF(A131='Données projet'!$A$36,'Données projet'!$B$36,N130+M131-V130)))</f>
        <v>245.86858974358927</v>
      </c>
      <c r="O131" s="13">
        <f>N131*VLOOKUP('Données projet'!$B$9,Paramètres!$A$1:$I$89,3,0)*VLOOKUP('Données projet'!$B$9,Paramètres!$A$1:$I$89,5,0)</f>
        <v>222.46189999999956</v>
      </c>
      <c r="P131" s="13">
        <f t="shared" si="87"/>
        <v>54.649620474067063</v>
      </c>
      <c r="Q131" s="20">
        <f t="shared" ref="Q131:Q153" si="108">(O131+P131)*0.475*44/12</f>
        <v>482.6358981589994</v>
      </c>
      <c r="R131" s="59">
        <f t="shared" ref="R131:R194" si="109">Q131+(I131+J131)*44/12</f>
        <v>766.21053525756793</v>
      </c>
      <c r="S131" s="59">
        <f ca="1">AVERAGE(OFFSET($R$3,0,0,'Données projet'!$E$9+1,1))-AVERAGE(OFFSET($H$3,0,0,'Données projet'!$E$9+1,1))</f>
        <v>388.1278150896951</v>
      </c>
      <c r="T131" s="59">
        <f t="shared" si="88"/>
        <v>232.26614607059227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40.189338771724152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40.189338771724152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5.2446581196581219</v>
      </c>
      <c r="AI131" s="13">
        <f>IF('Données projet'!$A$62&gt;35,AI130+AH131-AQ130,IF(A131&lt;'Données projet'!$A$62,$AF$205^A131,IF(A131='Données projet'!$A$62,'Données projet'!$B$62,AI130+AH131-AQ130)))</f>
        <v>245.86858974358927</v>
      </c>
      <c r="AJ131" s="13">
        <f>AI131*VLOOKUP('Données projet'!$B$10,Paramètres!$A$1:$I$89,3,0)*VLOOKUP('Données projet'!$B$10,Paramètres!$A$1:$I$89,5,0)</f>
        <v>249.31074999999953</v>
      </c>
      <c r="AK131" s="13">
        <f t="shared" si="89"/>
        <v>60.438324631862308</v>
      </c>
      <c r="AL131" s="20">
        <f t="shared" si="58"/>
        <v>539.47963831715936</v>
      </c>
      <c r="AM131" s="59">
        <f t="shared" si="59"/>
        <v>823.05427541572794</v>
      </c>
      <c r="AN131" s="59">
        <f ca="1">AVERAGE(OFFSET($AM$3,0,0,'Données projet'!$E$10+1,1))-AVERAGE(OFFSET($H$3,0,0,'Données projet'!$E$10+1,1))</f>
        <v>424.89201140676084</v>
      </c>
      <c r="AO131" s="59">
        <f t="shared" si="90"/>
        <v>253.0016648946303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45.039776209690871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45.039776209690871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5.2446581196581219</v>
      </c>
      <c r="BD131" s="12">
        <f>IF('Données projet'!$A$88&gt;35,BD130+BC131-BL130,IF(A131&lt;'Données projet'!$A$88,$BA$205^A131,IF(A131='Données projet'!$A$88,'Données projet'!$B$88,BD130+BC131-BL130)))</f>
        <v>245.86858974358927</v>
      </c>
      <c r="BE131" s="13">
        <f>BD131*VLOOKUP('Données projet'!$B$11,Paramètres!$A$1:$I$89,3,0)*VLOOKUP('Données projet'!$B$11,Paramètres!$A$1:$I$89,5,0)</f>
        <v>233.96854999999954</v>
      </c>
      <c r="BF131" s="13">
        <f t="shared" si="91"/>
        <v>57.139918598168187</v>
      </c>
      <c r="BG131" s="20">
        <f t="shared" si="61"/>
        <v>507.01391614180881</v>
      </c>
      <c r="BH131" s="59">
        <f t="shared" si="62"/>
        <v>790.58855324037734</v>
      </c>
      <c r="BI131" s="59">
        <f ca="1">AVERAGE(OFFSET($BH$3,0,0,'Données projet'!$E$11+1,1))-AVERAGE(OFFSET($H$3,0,0,'Données projet'!$E$11+1,1))</f>
        <v>403.89478276355294</v>
      </c>
      <c r="BJ131" s="59">
        <f t="shared" si="92"/>
        <v>241.1593989733278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42.268097673709889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42.268097673709889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319</v>
      </c>
      <c r="BZ131" s="13">
        <f>BY131*VLOOKUP('Données projet'!$B$12,Paramètres!$A$1:$I$89,3,0)*VLOOKUP('Données projet'!$B$12,Paramètres!$A$1:$I$89,5,0)</f>
        <v>253.79640000000001</v>
      </c>
      <c r="CA131" s="13">
        <f t="shared" si="93"/>
        <v>61.39816832228076</v>
      </c>
      <c r="CB131" s="20">
        <f t="shared" si="64"/>
        <v>548.96387316130563</v>
      </c>
      <c r="CC131" s="59">
        <f t="shared" si="65"/>
        <v>832.5385102598741</v>
      </c>
      <c r="CD131" s="59">
        <f ca="1">AVERAGE(OFFSET($CC$3,0,0,'Données projet'!$E$12+1,1))-AVERAGE(OFFSET($H$3,0,0,'Données projet'!$E$12+1,1))</f>
        <v>377.27600411578322</v>
      </c>
      <c r="CE131" s="59">
        <f t="shared" si="94"/>
        <v>364.58250627635425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17.307388071544612</v>
      </c>
      <c r="CL131" s="21">
        <f>EXP(-LN(2)/25)*CL130+(1-EXP(-LN(2)/25))/(LN(2)/25)*Calculateur!CG131*Calculateur!CI131*VLOOKUP('Données projet'!$B$12,Paramètres!$A$1:$I$89,3,0)*0.475*44/12</f>
        <v>1.9939073126296614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19.301295384174274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1.7053025658242404E-13</v>
      </c>
      <c r="CU131" s="17">
        <f>CT131*VLOOKUP('Données projet'!$B$13,Paramètres!$A$1:$I$89,3,0)*VLOOKUP('Données projet'!$B$13,Paramètres!$A$1:$I$89,5,0)</f>
        <v>1.3301360013429075E-13</v>
      </c>
      <c r="CV131" s="13">
        <f t="shared" si="95"/>
        <v>1.9329766731057041E-12</v>
      </c>
      <c r="CW131" s="20">
        <f t="shared" si="67"/>
        <v>3.5982663925596575E-12</v>
      </c>
      <c r="CX131" s="59">
        <f t="shared" si="68"/>
        <v>283.57463709857211</v>
      </c>
      <c r="CY131" s="59">
        <f ca="1">AVERAGE(OFFSET($CX$3,0,0,'Données projet'!$E$13+1,1))-AVERAGE(OFFSET($H$3,0,0,'Données projet'!$E$13+1,1))</f>
        <v>308.82719216177946</v>
      </c>
      <c r="CZ131" s="59">
        <f t="shared" si="96"/>
        <v>302.59481222418219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25.220310125573285</v>
      </c>
      <c r="DG131" s="21">
        <f>EXP(-LN(2)/25)*DG130+(1-EXP(-LN(2)/25))/(LN(2)/25)*Calculateur!DB131*Calculateur!DD131*VLOOKUP('Données projet'!$B$13,Paramètres!$A$1:$I$89,3,0)*0.475*44/12</f>
        <v>13.286614497566042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38.506924623139327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304.99999999999983</v>
      </c>
      <c r="DP131" s="17">
        <f>DO131*VLOOKUP('Données projet'!$B$14,Paramètres!$A$1:$I$89,3,0)*VLOOKUP('Données projet'!$B$14,Paramètres!$A$1:$I$89,5,0)</f>
        <v>275.96399999999983</v>
      </c>
      <c r="DQ131" s="13">
        <f t="shared" si="97"/>
        <v>66.113366665488854</v>
      </c>
      <c r="DR131" s="20">
        <f t="shared" si="70"/>
        <v>595.78474694239264</v>
      </c>
      <c r="DS131" s="59">
        <f t="shared" si="71"/>
        <v>879.35938404096123</v>
      </c>
      <c r="DT131" s="59">
        <f ca="1">AVERAGE(OFFSET($DS$3,0,0,'Données projet'!$E$14+1,1))-AVERAGE(OFFSET($H$3,0,0,'Données projet'!$E$14+1,1))</f>
        <v>376.51107072413777</v>
      </c>
      <c r="DU131" s="59">
        <f t="shared" si="98"/>
        <v>532.90758914457615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0.2320753670640435</v>
      </c>
      <c r="EB131" s="21">
        <f>EXP(-LN(2)/25)*EB130+(1-EXP(-LN(2)/25))/(LN(2)/25)*Calculateur!DW131*Calculateur!DY131*VLOOKUP('Données projet'!$B$14,Paramètres!$A$1:$I$89,3,0)*0.475*44/12</f>
        <v>0.48774804975625652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0.71982341682030004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-1.7053025658242404E-13</v>
      </c>
      <c r="EK131" s="17">
        <f>EJ131*VLOOKUP('Données projet'!$B$15,Paramètres!$A$1:$I$89,3,0)*VLOOKUP('Données projet'!$B$15,Paramètres!$A$1:$I$89,5,0)</f>
        <v>-1.0197709343628959E-13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337.99164391755608</v>
      </c>
      <c r="EP131" s="59">
        <f t="shared" si="100"/>
        <v>421.45428231923393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39.13096259241599</v>
      </c>
      <c r="EW131" s="21">
        <f>EXP(-LN(2)/25)*EW130+(1-EXP(-LN(2)/25))/(LN(2)/25)*Calculateur!ER131*Calculateur!ET131*VLOOKUP('Données projet'!$B$15,Paramètres!$A$1:$I$89,3,0)*0.475*44/12</f>
        <v>6.0042885767776948</v>
      </c>
      <c r="EX131" s="21">
        <f>EXP(-LN(2)/2)*EX130+(1-EXP(-LN(2)/2))/(LN(2)/2)*ER131*EU131*VLOOKUP('Données projet'!$B$15,Paramètres!$A$1:$I$89,3,0)*0.475*44/12</f>
        <v>5.8799008464570988E-10</v>
      </c>
      <c r="EY131" s="22">
        <f t="shared" si="75"/>
        <v>45.135251169781675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5.2446581196581219</v>
      </c>
      <c r="N132" s="13">
        <f>IF('Données projet'!$A$36&gt;35,N131+M132-V131,IF(A132&lt;'Données projet'!$A$36,$K$205^A132,IF(A132='Données projet'!$A$36,'Données projet'!$B$36,N131+M132-V131)))</f>
        <v>251.11324786324738</v>
      </c>
      <c r="O132" s="13">
        <f>N132*VLOOKUP('Données projet'!$B$9,Paramètres!$A$1:$I$89,3,0)*VLOOKUP('Données projet'!$B$9,Paramètres!$A$1:$I$89,5,0)</f>
        <v>227.20726666666624</v>
      </c>
      <c r="P132" s="13">
        <f t="shared" si="87"/>
        <v>55.678398616153615</v>
      </c>
      <c r="Q132" s="20">
        <f t="shared" si="108"/>
        <v>492.69253370091127</v>
      </c>
      <c r="R132" s="59">
        <f t="shared" si="109"/>
        <v>776.43646236197662</v>
      </c>
      <c r="S132" s="59">
        <f ca="1">AVERAGE(OFFSET($R$3,0,0,'Données projet'!$E$9+1,1))-AVERAGE(OFFSET($H$3,0,0,'Données projet'!$E$9+1,1))</f>
        <v>388.1278150896951</v>
      </c>
      <c r="T132" s="59">
        <f t="shared" si="88"/>
        <v>232.26614607059227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39.40125035148683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39.40125035148683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5.2446581196581219</v>
      </c>
      <c r="AI132" s="13">
        <f>IF('Données projet'!$A$62&gt;35,AI131+AH132-AQ131,IF(A132&lt;'Données projet'!$A$62,$AF$205^A132,IF(A132='Données projet'!$A$62,'Données projet'!$B$62,AI131+AH132-AQ131)))</f>
        <v>251.11324786324738</v>
      </c>
      <c r="AJ132" s="13">
        <f>AI132*VLOOKUP('Données projet'!$B$10,Paramètres!$A$1:$I$89,3,0)*VLOOKUP('Données projet'!$B$10,Paramètres!$A$1:$I$89,5,0)</f>
        <v>254.62883333333286</v>
      </c>
      <c r="AK132" s="13">
        <f t="shared" si="89"/>
        <v>61.576075027678748</v>
      </c>
      <c r="AL132" s="20">
        <f t="shared" ref="AL132:AL153" si="112">(AJ132+AK132)*0.475*44/12</f>
        <v>550.7235487287619</v>
      </c>
      <c r="AM132" s="59">
        <f t="shared" ref="AM132:AM195" si="113">AL132+(AD132+AE132)*44/12</f>
        <v>834.46747738982731</v>
      </c>
      <c r="AN132" s="59">
        <f ca="1">AVERAGE(OFFSET($AM$3,0,0,'Données projet'!$E$10+1,1))-AVERAGE(OFFSET($H$3,0,0,'Données projet'!$E$10+1,1))</f>
        <v>424.89201140676084</v>
      </c>
      <c r="AO132" s="59">
        <f t="shared" si="90"/>
        <v>253.0016648946303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44.156573669769728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44.156573669769728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5.2446581196581219</v>
      </c>
      <c r="BD132" s="12">
        <f>IF('Données projet'!$A$88&gt;35,BD131+BC132-BL131,IF(A132&lt;'Données projet'!$A$88,$BA$205^A132,IF(A132='Données projet'!$A$88,'Données projet'!$B$88,BD131+BC132-BL131)))</f>
        <v>251.11324786324738</v>
      </c>
      <c r="BE132" s="13">
        <f>BD132*VLOOKUP('Données projet'!$B$11,Paramètres!$A$1:$I$89,3,0)*VLOOKUP('Données projet'!$B$11,Paramètres!$A$1:$I$89,5,0)</f>
        <v>238.95936666666623</v>
      </c>
      <c r="BF132" s="13">
        <f t="shared" si="91"/>
        <v>58.215576558543134</v>
      </c>
      <c r="BG132" s="20">
        <f t="shared" ref="BG132:BG153" si="115">(BE132+BF132)*0.475*44/12</f>
        <v>517.57969278390635</v>
      </c>
      <c r="BH132" s="59">
        <f t="shared" ref="BH132:BH195" si="116">BG132+(AY132+AZ132)*44/12</f>
        <v>801.32362144497165</v>
      </c>
      <c r="BI132" s="59">
        <f ca="1">AVERAGE(OFFSET($BH$3,0,0,'Données projet'!$E$11+1,1))-AVERAGE(OFFSET($H$3,0,0,'Données projet'!$E$11+1,1))</f>
        <v>403.89478276355294</v>
      </c>
      <c r="BJ132" s="59">
        <f t="shared" si="92"/>
        <v>241.1593989733278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41.439246059322357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41.439246059322357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319</v>
      </c>
      <c r="BZ132" s="13">
        <f>BY132*VLOOKUP('Données projet'!$B$12,Paramètres!$A$1:$I$89,3,0)*VLOOKUP('Données projet'!$B$12,Paramètres!$A$1:$I$89,5,0)</f>
        <v>253.79640000000001</v>
      </c>
      <c r="CA132" s="13">
        <f t="shared" si="93"/>
        <v>61.39816832228076</v>
      </c>
      <c r="CB132" s="20">
        <f t="shared" ref="CB132:CB153" si="118">(BZ132+CA132)*0.475*44/12</f>
        <v>548.96387316130563</v>
      </c>
      <c r="CC132" s="59">
        <f t="shared" ref="CC132:CC195" si="119">CB132+(BT132+BU132)*44/12</f>
        <v>832.70780182237104</v>
      </c>
      <c r="CD132" s="59">
        <f ca="1">AVERAGE(OFFSET($CC$3,0,0,'Données projet'!$E$12+1,1))-AVERAGE(OFFSET($H$3,0,0,'Données projet'!$E$12+1,1))</f>
        <v>377.27600411578322</v>
      </c>
      <c r="CE132" s="59">
        <f t="shared" si="94"/>
        <v>364.58250627635425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16.968000747925981</v>
      </c>
      <c r="CL132" s="21">
        <f>EXP(-LN(2)/25)*CL131+(1-EXP(-LN(2)/25))/(LN(2)/25)*Calculateur!CG132*Calculateur!CI132*VLOOKUP('Données projet'!$B$12,Paramètres!$A$1:$I$89,3,0)*0.475*44/12</f>
        <v>1.9393838123107749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18.907384560236757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1.7053025658242404E-13</v>
      </c>
      <c r="CU132" s="17">
        <f>CT132*VLOOKUP('Données projet'!$B$13,Paramètres!$A$1:$I$89,3,0)*VLOOKUP('Données projet'!$B$13,Paramètres!$A$1:$I$89,5,0)</f>
        <v>1.3301360013429075E-13</v>
      </c>
      <c r="CV132" s="13">
        <f t="shared" si="95"/>
        <v>1.9329766731057041E-12</v>
      </c>
      <c r="CW132" s="20">
        <f t="shared" ref="CW132:CW153" si="121">(CU132+CV132)*0.475*44/12</f>
        <v>3.5982663925596575E-12</v>
      </c>
      <c r="CX132" s="59">
        <f t="shared" ref="CX132:CX195" si="122">CW132+(CO132+CP132)*44/12</f>
        <v>283.74392866106894</v>
      </c>
      <c r="CY132" s="59">
        <f ca="1">AVERAGE(OFFSET($CX$3,0,0,'Données projet'!$E$13+1,1))-AVERAGE(OFFSET($H$3,0,0,'Données projet'!$E$13+1,1))</f>
        <v>308.82719216177946</v>
      </c>
      <c r="CZ132" s="59">
        <f t="shared" si="96"/>
        <v>302.59481222418219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24.725755226881038</v>
      </c>
      <c r="DG132" s="21">
        <f>EXP(-LN(2)/25)*DG131+(1-EXP(-LN(2)/25))/(LN(2)/25)*Calculateur!DB132*Calculateur!DD132*VLOOKUP('Données projet'!$B$13,Paramètres!$A$1:$I$89,3,0)*0.475*44/12</f>
        <v>12.923291325417409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37.649046552298444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304.99999999999983</v>
      </c>
      <c r="DP132" s="17">
        <f>DO132*VLOOKUP('Données projet'!$B$14,Paramètres!$A$1:$I$89,3,0)*VLOOKUP('Données projet'!$B$14,Paramètres!$A$1:$I$89,5,0)</f>
        <v>275.96399999999983</v>
      </c>
      <c r="DQ132" s="13">
        <f t="shared" si="97"/>
        <v>66.113366665488854</v>
      </c>
      <c r="DR132" s="20">
        <f t="shared" ref="DR132:DR153" si="124">(DP132+DQ132)*0.475*44/12</f>
        <v>595.78474694239264</v>
      </c>
      <c r="DS132" s="59">
        <f t="shared" ref="DS132:DS195" si="125">DR132+(DJ132+DK132)*44/12</f>
        <v>879.52867560345794</v>
      </c>
      <c r="DT132" s="59">
        <f ca="1">AVERAGE(OFFSET($DS$3,0,0,'Données projet'!$E$14+1,1))-AVERAGE(OFFSET($H$3,0,0,'Données projet'!$E$14+1,1))</f>
        <v>376.51107072413777</v>
      </c>
      <c r="DU132" s="59">
        <f t="shared" si="98"/>
        <v>532.90758914457615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0.2275245106679144</v>
      </c>
      <c r="EB132" s="21">
        <f>EXP(-LN(2)/25)*EB131+(1-EXP(-LN(2)/25))/(LN(2)/25)*Calculateur!DW132*Calculateur!DY132*VLOOKUP('Données projet'!$B$14,Paramètres!$A$1:$I$89,3,0)*0.475*44/12</f>
        <v>0.47441055368611651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0.70193506435403097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-1.7053025658242404E-13</v>
      </c>
      <c r="EK132" s="17">
        <f>EJ132*VLOOKUP('Données projet'!$B$15,Paramètres!$A$1:$I$89,3,0)*VLOOKUP('Données projet'!$B$15,Paramètres!$A$1:$I$89,5,0)</f>
        <v>-1.0197709343628959E-13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337.99164391755608</v>
      </c>
      <c r="EP132" s="59">
        <f t="shared" si="100"/>
        <v>421.45428231923393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38.363628283509172</v>
      </c>
      <c r="EW132" s="21">
        <f>EXP(-LN(2)/25)*EW131+(1-EXP(-LN(2)/25))/(LN(2)/25)*Calculateur!ER132*Calculateur!ET132*VLOOKUP('Données projet'!$B$15,Paramètres!$A$1:$I$89,3,0)*0.475*44/12</f>
        <v>5.8401009898938954</v>
      </c>
      <c r="EX132" s="21">
        <f>EXP(-LN(2)/2)*EX131+(1-EXP(-LN(2)/2))/(LN(2)/2)*ER132*EU132*VLOOKUP('Données projet'!$B$15,Paramètres!$A$1:$I$89,3,0)*0.475*44/12</f>
        <v>4.1577177612343354E-10</v>
      </c>
      <c r="EY132" s="22">
        <f t="shared" ref="EY132:EY153" si="129">SUM(EV132:EX132)</f>
        <v>44.203729273818844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5.2446581196581219</v>
      </c>
      <c r="N133" s="13">
        <f>IF('Données projet'!$A$36&gt;35,N132+M133-V132,IF(A133&lt;'Données projet'!$A$36,$K$205^A133,IF(A133='Données projet'!$A$36,'Données projet'!$B$36,N132+M133-V132)))</f>
        <v>256.35790598290549</v>
      </c>
      <c r="O133" s="13">
        <f>N133*VLOOKUP('Données projet'!$B$9,Paramètres!$A$1:$I$89,3,0)*VLOOKUP('Données projet'!$B$9,Paramètres!$A$1:$I$89,5,0)</f>
        <v>231.95263333333287</v>
      </c>
      <c r="P133" s="13">
        <f t="shared" ref="P133:P196" si="141">EXP(-1.0587+0.8836*LN(O133)+0.284)</f>
        <v>56.704678554548856</v>
      </c>
      <c r="Q133" s="20">
        <f t="shared" si="108"/>
        <v>502.74481820472732</v>
      </c>
      <c r="R133" s="59">
        <f t="shared" si="109"/>
        <v>786.65510159815949</v>
      </c>
      <c r="S133" s="59">
        <f ca="1">AVERAGE(OFFSET($R$3,0,0,'Données projet'!$E$9+1,1))-AVERAGE(OFFSET($H$3,0,0,'Données projet'!$E$9+1,1))</f>
        <v>388.1278150896951</v>
      </c>
      <c r="T133" s="59">
        <f t="shared" ref="T133:T196" si="142">$T$3</f>
        <v>232.26614607059227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38.628615864483884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38.628615864483884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5.2446581196581219</v>
      </c>
      <c r="AI133" s="13">
        <f>IF('Données projet'!$A$62&gt;35,AI132+AH133-AQ132,IF(A133&lt;'Données projet'!$A$62,$AF$205^A133,IF(A133='Données projet'!$A$62,'Données projet'!$B$62,AI132+AH133-AQ132)))</f>
        <v>256.35790598290549</v>
      </c>
      <c r="AJ133" s="13">
        <f>AI133*VLOOKUP('Données projet'!$B$10,Paramètres!$A$1:$I$89,3,0)*VLOOKUP('Données projet'!$B$10,Paramètres!$A$1:$I$89,5,0)</f>
        <v>259.9469166666662</v>
      </c>
      <c r="AK133" s="13">
        <f t="shared" ref="AK133:AK153" si="143">EXP(-1.0587+0.8836*LN(AJ133)+0.284)</f>
        <v>62.71106260017865</v>
      </c>
      <c r="AL133" s="20">
        <f t="shared" si="112"/>
        <v>561.96264722308808</v>
      </c>
      <c r="AM133" s="59">
        <f t="shared" si="113"/>
        <v>845.87293061652019</v>
      </c>
      <c r="AN133" s="59">
        <f ca="1">AVERAGE(OFFSET($AM$3,0,0,'Données projet'!$E$10+1,1))-AVERAGE(OFFSET($H$3,0,0,'Données projet'!$E$10+1,1))</f>
        <v>424.89201140676084</v>
      </c>
      <c r="AO133" s="59">
        <f t="shared" ref="AO133:AO196" si="144">$AO$3</f>
        <v>253.0016648946303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43.290690192956085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43.290690192956085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5.2446581196581219</v>
      </c>
      <c r="BD133" s="12">
        <f>IF('Données projet'!$A$88&gt;35,BD132+BC133-BL132,IF(A133&lt;'Données projet'!$A$88,$BA$205^A133,IF(A133='Données projet'!$A$88,'Données projet'!$B$88,BD132+BC133-BL132)))</f>
        <v>256.35790598290549</v>
      </c>
      <c r="BE133" s="13">
        <f>BD133*VLOOKUP('Données projet'!$B$11,Paramètres!$A$1:$I$89,3,0)*VLOOKUP('Données projet'!$B$11,Paramètres!$A$1:$I$89,5,0)</f>
        <v>243.95018333333286</v>
      </c>
      <c r="BF133" s="13">
        <f t="shared" ref="BF133:BF153" si="145">EXP(-1.0587+0.8836*LN(BE133)+0.284)</f>
        <v>59.288622475973931</v>
      </c>
      <c r="BG133" s="20">
        <f t="shared" si="115"/>
        <v>528.14092011787591</v>
      </c>
      <c r="BH133" s="59">
        <f t="shared" si="116"/>
        <v>812.05120351130802</v>
      </c>
      <c r="BI133" s="59">
        <f ca="1">AVERAGE(OFFSET($BH$3,0,0,'Données projet'!$E$11+1,1))-AVERAGE(OFFSET($H$3,0,0,'Données projet'!$E$11+1,1))</f>
        <v>403.89478276355294</v>
      </c>
      <c r="BJ133" s="59">
        <f t="shared" ref="BJ133:BJ196" si="146">$BJ$3</f>
        <v>241.1593989733278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40.626647719543399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40.626647719543399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319</v>
      </c>
      <c r="BZ133" s="13">
        <f>BY133*VLOOKUP('Données projet'!$B$12,Paramètres!$A$1:$I$89,3,0)*VLOOKUP('Données projet'!$B$12,Paramètres!$A$1:$I$89,5,0)</f>
        <v>253.79640000000001</v>
      </c>
      <c r="CA133" s="13">
        <f t="shared" ref="CA133:CA153" si="147">EXP(-1.0587+0.8836*LN(BZ133)+0.284)</f>
        <v>61.39816832228076</v>
      </c>
      <c r="CB133" s="20">
        <f t="shared" si="118"/>
        <v>548.96387316130563</v>
      </c>
      <c r="CC133" s="59">
        <f t="shared" si="119"/>
        <v>832.87415655473774</v>
      </c>
      <c r="CD133" s="59">
        <f ca="1">AVERAGE(OFFSET($CC$3,0,0,'Données projet'!$E$12+1,1))-AVERAGE(OFFSET($H$3,0,0,'Données projet'!$E$12+1,1))</f>
        <v>377.27600411578322</v>
      </c>
      <c r="CE133" s="59">
        <f t="shared" ref="CE133:CE196" si="148">$CE$3</f>
        <v>364.58250627635425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16.635268602717684</v>
      </c>
      <c r="CL133" s="21">
        <f>EXP(-LN(2)/25)*CL132+(1-EXP(-LN(2)/25))/(LN(2)/25)*Calculateur!CG133*Calculateur!CI133*VLOOKUP('Données projet'!$B$12,Paramètres!$A$1:$I$89,3,0)*0.475*44/12</f>
        <v>1.8863512599753747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18.521619862693058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1.7053025658242404E-13</v>
      </c>
      <c r="CU133" s="17">
        <f>CT133*VLOOKUP('Données projet'!$B$13,Paramètres!$A$1:$I$89,3,0)*VLOOKUP('Données projet'!$B$13,Paramètres!$A$1:$I$89,5,0)</f>
        <v>1.3301360013429075E-13</v>
      </c>
      <c r="CV133" s="13">
        <f t="shared" ref="CV133:CV153" si="149">EXP(-1.0587+0.8836*LN(CU133)+0.284)</f>
        <v>1.9329766731057041E-12</v>
      </c>
      <c r="CW133" s="20">
        <f t="shared" si="121"/>
        <v>3.5982663925596575E-12</v>
      </c>
      <c r="CX133" s="59">
        <f t="shared" si="122"/>
        <v>283.91028339343569</v>
      </c>
      <c r="CY133" s="59">
        <f ca="1">AVERAGE(OFFSET($CX$3,0,0,'Données projet'!$E$13+1,1))-AVERAGE(OFFSET($H$3,0,0,'Données projet'!$E$13+1,1))</f>
        <v>308.82719216177946</v>
      </c>
      <c r="CZ133" s="59">
        <f t="shared" ref="CZ133:CZ196" si="150">$CZ$3</f>
        <v>302.59481222418219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24.240898248103441</v>
      </c>
      <c r="DG133" s="21">
        <f>EXP(-LN(2)/25)*DG132+(1-EXP(-LN(2)/25))/(LN(2)/25)*Calculateur!DB133*Calculateur!DD133*VLOOKUP('Données projet'!$B$13,Paramètres!$A$1:$I$89,3,0)*0.475*44/12</f>
        <v>12.569903244517516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36.810801492620953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304.99999999999983</v>
      </c>
      <c r="DP133" s="17">
        <f>DO133*VLOOKUP('Données projet'!$B$14,Paramètres!$A$1:$I$89,3,0)*VLOOKUP('Données projet'!$B$14,Paramètres!$A$1:$I$89,5,0)</f>
        <v>275.96399999999983</v>
      </c>
      <c r="DQ133" s="13">
        <f t="shared" ref="DQ133:DQ153" si="151">EXP(-1.0587+0.8836*LN(DP133)+0.284)</f>
        <v>66.113366665488854</v>
      </c>
      <c r="DR133" s="20">
        <f t="shared" si="124"/>
        <v>595.78474694239264</v>
      </c>
      <c r="DS133" s="59">
        <f t="shared" si="125"/>
        <v>879.69503033582475</v>
      </c>
      <c r="DT133" s="59">
        <f ca="1">AVERAGE(OFFSET($DS$3,0,0,'Données projet'!$E$14+1,1))-AVERAGE(OFFSET($H$3,0,0,'Données projet'!$E$14+1,1))</f>
        <v>376.51107072413777</v>
      </c>
      <c r="DU133" s="59">
        <f t="shared" ref="DU133:DU196" si="152">$DU$3</f>
        <v>532.90758914457615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0.22306289378996511</v>
      </c>
      <c r="EB133" s="21">
        <f>EXP(-LN(2)/25)*EB132+(1-EXP(-LN(2)/25))/(LN(2)/25)*Calculateur!DW133*Calculateur!DY133*VLOOKUP('Données projet'!$B$14,Paramètres!$A$1:$I$89,3,0)*0.475*44/12</f>
        <v>0.46143777214740289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0.68450066593736802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-1.7053025658242404E-13</v>
      </c>
      <c r="EK133" s="17">
        <f>EJ133*VLOOKUP('Données projet'!$B$15,Paramètres!$A$1:$I$89,3,0)*VLOOKUP('Données projet'!$B$15,Paramètres!$A$1:$I$89,5,0)</f>
        <v>-1.0197709343628959E-13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337.99164391755608</v>
      </c>
      <c r="EP133" s="59">
        <f t="shared" ref="EP133:EP196" si="154">$EP$3</f>
        <v>421.45428231923393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37.6113409323723</v>
      </c>
      <c r="EW133" s="21">
        <f>EXP(-LN(2)/25)*EW132+(1-EXP(-LN(2)/25))/(LN(2)/25)*Calculateur!ER133*Calculateur!ET133*VLOOKUP('Données projet'!$B$15,Paramètres!$A$1:$I$89,3,0)*0.475*44/12</f>
        <v>5.6804031212076831</v>
      </c>
      <c r="EX133" s="21">
        <f>EXP(-LN(2)/2)*EX132+(1-EXP(-LN(2)/2))/(LN(2)/2)*ER133*EU133*VLOOKUP('Données projet'!$B$15,Paramètres!$A$1:$I$89,3,0)*0.475*44/12</f>
        <v>2.9399504232285494E-10</v>
      </c>
      <c r="EY133" s="22">
        <f t="shared" si="129"/>
        <v>43.291744053873977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5.2446581196581219</v>
      </c>
      <c r="N134" s="13">
        <f>IF('Données projet'!$A$36&gt;35,N133+M134-V133,IF(A134&lt;'Données projet'!$A$36,$K$205^A134,IF(A134='Données projet'!$A$36,'Données projet'!$B$36,N133+M134-V133)))</f>
        <v>261.60256410256363</v>
      </c>
      <c r="O134" s="13">
        <f>N134*VLOOKUP('Données projet'!$B$9,Paramètres!$A$1:$I$89,3,0)*VLOOKUP('Données projet'!$B$9,Paramètres!$A$1:$I$89,5,0)</f>
        <v>236.69799999999958</v>
      </c>
      <c r="P134" s="13">
        <f t="shared" si="141"/>
        <v>57.728517287605179</v>
      </c>
      <c r="Q134" s="20">
        <f t="shared" si="108"/>
        <v>512.7928509425783</v>
      </c>
      <c r="R134" s="59">
        <f t="shared" si="109"/>
        <v>796.86660318568397</v>
      </c>
      <c r="S134" s="59">
        <f ca="1">AVERAGE(OFFSET($R$3,0,0,'Données projet'!$E$9+1,1))-AVERAGE(OFFSET($H$3,0,0,'Données projet'!$E$9+1,1))</f>
        <v>388.1278150896951</v>
      </c>
      <c r="T134" s="59">
        <f t="shared" si="142"/>
        <v>232.26614607059227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37.871132268510564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37.871132268510564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5.2446581196581219</v>
      </c>
      <c r="AI134" s="13">
        <f>IF('Données projet'!$A$62&gt;35,AI133+AH134-AQ133,IF(A134&lt;'Données projet'!$A$62,$AF$205^A134,IF(A134='Données projet'!$A$62,'Données projet'!$B$62,AI133+AH134-AQ133)))</f>
        <v>261.60256410256363</v>
      </c>
      <c r="AJ134" s="13">
        <f>AI134*VLOOKUP('Données projet'!$B$10,Paramètres!$A$1:$I$89,3,0)*VLOOKUP('Données projet'!$B$10,Paramètres!$A$1:$I$89,5,0)</f>
        <v>265.26499999999953</v>
      </c>
      <c r="AK134" s="13">
        <f t="shared" si="143"/>
        <v>63.843350385205326</v>
      </c>
      <c r="AL134" s="20">
        <f t="shared" si="112"/>
        <v>573.19704358756508</v>
      </c>
      <c r="AM134" s="59">
        <f t="shared" si="113"/>
        <v>857.27079583067075</v>
      </c>
      <c r="AN134" s="59">
        <f ca="1">AVERAGE(OFFSET($AM$3,0,0,'Données projet'!$E$10+1,1))-AVERAGE(OFFSET($H$3,0,0,'Données projet'!$E$10+1,1))</f>
        <v>424.89201140676084</v>
      </c>
      <c r="AO134" s="59">
        <f t="shared" si="144"/>
        <v>253.0016648946303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42.441786162985984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42.441786162985984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5.2446581196581219</v>
      </c>
      <c r="BD134" s="12">
        <f>IF('Données projet'!$A$88&gt;35,BD133+BC134-BL133,IF(A134&lt;'Données projet'!$A$88,$BA$205^A134,IF(A134='Données projet'!$A$88,'Données projet'!$B$88,BD133+BC134-BL133)))</f>
        <v>261.60256410256363</v>
      </c>
      <c r="BE134" s="13">
        <f>BD134*VLOOKUP('Données projet'!$B$11,Paramètres!$A$1:$I$89,3,0)*VLOOKUP('Données projet'!$B$11,Paramètres!$A$1:$I$89,5,0)</f>
        <v>248.94099999999958</v>
      </c>
      <c r="BF134" s="13">
        <f t="shared" si="145"/>
        <v>60.359115946139042</v>
      </c>
      <c r="BG134" s="20">
        <f t="shared" si="115"/>
        <v>538.69770193952468</v>
      </c>
      <c r="BH134" s="59">
        <f t="shared" si="116"/>
        <v>822.77145418263035</v>
      </c>
      <c r="BI134" s="59">
        <f ca="1">AVERAGE(OFFSET($BH$3,0,0,'Données projet'!$E$11+1,1))-AVERAGE(OFFSET($H$3,0,0,'Données projet'!$E$11+1,1))</f>
        <v>403.89478276355294</v>
      </c>
      <c r="BJ134" s="59">
        <f t="shared" si="146"/>
        <v>241.1593989733278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39.829983937571463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39.829983937571463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319</v>
      </c>
      <c r="BZ134" s="13">
        <f>BY134*VLOOKUP('Données projet'!$B$12,Paramètres!$A$1:$I$89,3,0)*VLOOKUP('Données projet'!$B$12,Paramètres!$A$1:$I$89,5,0)</f>
        <v>253.79640000000001</v>
      </c>
      <c r="CA134" s="13">
        <f t="shared" si="147"/>
        <v>61.39816832228076</v>
      </c>
      <c r="CB134" s="20">
        <f t="shared" si="118"/>
        <v>548.96387316130563</v>
      </c>
      <c r="CC134" s="59">
        <f t="shared" si="119"/>
        <v>833.0376254044113</v>
      </c>
      <c r="CD134" s="59">
        <f ca="1">AVERAGE(OFFSET($CC$3,0,0,'Données projet'!$E$12+1,1))-AVERAGE(OFFSET($H$3,0,0,'Données projet'!$E$12+1,1))</f>
        <v>377.27600411578322</v>
      </c>
      <c r="CE134" s="59">
        <f t="shared" si="148"/>
        <v>364.58250627635425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16.309061131930353</v>
      </c>
      <c r="CL134" s="21">
        <f>EXP(-LN(2)/25)*CL133+(1-EXP(-LN(2)/25))/(LN(2)/25)*Calculateur!CG134*Calculateur!CI134*VLOOKUP('Données projet'!$B$12,Paramètres!$A$1:$I$89,3,0)*0.475*44/12</f>
        <v>1.8347688855724467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18.1438300175028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1.7053025658242404E-13</v>
      </c>
      <c r="CU134" s="17">
        <f>CT134*VLOOKUP('Données projet'!$B$13,Paramètres!$A$1:$I$89,3,0)*VLOOKUP('Données projet'!$B$13,Paramètres!$A$1:$I$89,5,0)</f>
        <v>1.3301360013429075E-13</v>
      </c>
      <c r="CV134" s="13">
        <f t="shared" si="149"/>
        <v>1.9329766731057041E-12</v>
      </c>
      <c r="CW134" s="20">
        <f t="shared" si="121"/>
        <v>3.5982663925596575E-12</v>
      </c>
      <c r="CX134" s="59">
        <f t="shared" si="122"/>
        <v>284.07375224310931</v>
      </c>
      <c r="CY134" s="59">
        <f ca="1">AVERAGE(OFFSET($CX$3,0,0,'Données projet'!$E$13+1,1))-AVERAGE(OFFSET($H$3,0,0,'Données projet'!$E$13+1,1))</f>
        <v>308.82719216177946</v>
      </c>
      <c r="CZ134" s="59">
        <f t="shared" si="150"/>
        <v>302.59481222418219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23.765549018946118</v>
      </c>
      <c r="DG134" s="21">
        <f>EXP(-LN(2)/25)*DG133+(1-EXP(-LN(2)/25))/(LN(2)/25)*Calculateur!DB134*Calculateur!DD134*VLOOKUP('Données projet'!$B$13,Paramètres!$A$1:$I$89,3,0)*0.475*44/12</f>
        <v>12.226178579273702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35.991727598219818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304.99999999999983</v>
      </c>
      <c r="DP134" s="17">
        <f>DO134*VLOOKUP('Données projet'!$B$14,Paramètres!$A$1:$I$89,3,0)*VLOOKUP('Données projet'!$B$14,Paramètres!$A$1:$I$89,5,0)</f>
        <v>275.96399999999983</v>
      </c>
      <c r="DQ134" s="13">
        <f t="shared" si="151"/>
        <v>66.113366665488854</v>
      </c>
      <c r="DR134" s="20">
        <f t="shared" si="124"/>
        <v>595.78474694239264</v>
      </c>
      <c r="DS134" s="59">
        <f t="shared" si="125"/>
        <v>879.85849918549843</v>
      </c>
      <c r="DT134" s="59">
        <f ca="1">AVERAGE(OFFSET($DS$3,0,0,'Données projet'!$E$14+1,1))-AVERAGE(OFFSET($H$3,0,0,'Données projet'!$E$14+1,1))</f>
        <v>376.51107072413777</v>
      </c>
      <c r="DU134" s="59">
        <f t="shared" si="152"/>
        <v>532.90758914457615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0.2186887664976748</v>
      </c>
      <c r="EB134" s="21">
        <f>EXP(-LN(2)/25)*EB133+(1-EXP(-LN(2)/25))/(LN(2)/25)*Calculateur!DW134*Calculateur!DY134*VLOOKUP('Données projet'!$B$14,Paramètres!$A$1:$I$89,3,0)*0.475*44/12</f>
        <v>0.44881973200207437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0.66750849849974914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-1.7053025658242404E-13</v>
      </c>
      <c r="EK134" s="17">
        <f>EJ134*VLOOKUP('Données projet'!$B$15,Paramètres!$A$1:$I$89,3,0)*VLOOKUP('Données projet'!$B$15,Paramètres!$A$1:$I$89,5,0)</f>
        <v>-1.0197709343628959E-13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337.99164391755608</v>
      </c>
      <c r="EP134" s="59">
        <f t="shared" si="154"/>
        <v>421.45428231923393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36.87380547734125</v>
      </c>
      <c r="EW134" s="21">
        <f>EXP(-LN(2)/25)*EW133+(1-EXP(-LN(2)/25))/(LN(2)/25)*Calculateur!ER134*Calculateur!ET134*VLOOKUP('Données projet'!$B$15,Paramètres!$A$1:$I$89,3,0)*0.475*44/12</f>
        <v>5.5250721991388412</v>
      </c>
      <c r="EX134" s="21">
        <f>EXP(-LN(2)/2)*EX133+(1-EXP(-LN(2)/2))/(LN(2)/2)*ER134*EU134*VLOOKUP('Données projet'!$B$15,Paramètres!$A$1:$I$89,3,0)*0.475*44/12</f>
        <v>2.0788588806171677E-10</v>
      </c>
      <c r="EY134" s="22">
        <f t="shared" si="129"/>
        <v>42.398877676687974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5.2446581196581219</v>
      </c>
      <c r="N135" s="13">
        <f>IF('Données projet'!$A$36&gt;35,N134+M135-V134,IF(A135&lt;'Données projet'!$A$36,$K$205^A135,IF(A135='Données projet'!$A$36,'Données projet'!$B$36,N134+M135-V134)))</f>
        <v>266.84722222222177</v>
      </c>
      <c r="O135" s="13">
        <f>N135*VLOOKUP('Données projet'!$B$9,Paramètres!$A$1:$I$89,3,0)*VLOOKUP('Données projet'!$B$9,Paramètres!$A$1:$I$89,5,0)</f>
        <v>241.44336666666626</v>
      </c>
      <c r="P135" s="13">
        <f t="shared" si="141"/>
        <v>58.749969397569316</v>
      </c>
      <c r="Q135" s="20">
        <f t="shared" si="108"/>
        <v>522.83672697854365</v>
      </c>
      <c r="R135" s="59">
        <f t="shared" si="109"/>
        <v>807.07111225224276</v>
      </c>
      <c r="S135" s="59">
        <f ca="1">AVERAGE(OFFSET($R$3,0,0,'Données projet'!$E$9+1,1))-AVERAGE(OFFSET($H$3,0,0,'Données projet'!$E$9+1,1))</f>
        <v>388.1278150896951</v>
      </c>
      <c r="T135" s="59">
        <f t="shared" si="142"/>
        <v>232.26614607059227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37.128502463834906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37.128502463834906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5.2446581196581219</v>
      </c>
      <c r="AI135" s="13">
        <f>IF('Données projet'!$A$62&gt;35,AI134+AH135-AQ134,IF(A135&lt;'Données projet'!$A$62,$AF$205^A135,IF(A135='Données projet'!$A$62,'Données projet'!$B$62,AI134+AH135-AQ134)))</f>
        <v>266.84722222222177</v>
      </c>
      <c r="AJ135" s="13">
        <f>AI135*VLOOKUP('Données projet'!$B$10,Paramètres!$A$1:$I$89,3,0)*VLOOKUP('Données projet'!$B$10,Paramètres!$A$1:$I$89,5,0)</f>
        <v>270.58308333333292</v>
      </c>
      <c r="AK135" s="13">
        <f t="shared" si="143"/>
        <v>64.972998746573325</v>
      </c>
      <c r="AL135" s="20">
        <f t="shared" si="112"/>
        <v>584.42684295583661</v>
      </c>
      <c r="AM135" s="59">
        <f t="shared" si="113"/>
        <v>868.66122822953571</v>
      </c>
      <c r="AN135" s="59">
        <f ca="1">AVERAGE(OFFSET($AM$3,0,0,'Données projet'!$E$10+1,1))-AVERAGE(OFFSET($H$3,0,0,'Données projet'!$E$10+1,1))</f>
        <v>424.89201140676084</v>
      </c>
      <c r="AO135" s="59">
        <f t="shared" si="144"/>
        <v>253.0016648946303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41.609528623263266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41.609528623263266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5.2446581196581219</v>
      </c>
      <c r="BD135" s="12">
        <f>IF('Données projet'!$A$88&gt;35,BD134+BC135-BL134,IF(A135&lt;'Données projet'!$A$88,$BA$205^A135,IF(A135='Données projet'!$A$88,'Données projet'!$B$88,BD134+BC135-BL134)))</f>
        <v>266.84722222222177</v>
      </c>
      <c r="BE135" s="13">
        <f>BD135*VLOOKUP('Données projet'!$B$11,Paramètres!$A$1:$I$89,3,0)*VLOOKUP('Données projet'!$B$11,Paramètres!$A$1:$I$89,5,0)</f>
        <v>253.93181666666626</v>
      </c>
      <c r="BF135" s="13">
        <f t="shared" si="145"/>
        <v>61.427114038513189</v>
      </c>
      <c r="BG135" s="20">
        <f t="shared" si="115"/>
        <v>549.25013764485414</v>
      </c>
      <c r="BH135" s="59">
        <f t="shared" si="116"/>
        <v>833.48452291855324</v>
      </c>
      <c r="BI135" s="59">
        <f ca="1">AVERAGE(OFFSET($BH$3,0,0,'Données projet'!$E$11+1,1))-AVERAGE(OFFSET($H$3,0,0,'Données projet'!$E$11+1,1))</f>
        <v>403.89478276355294</v>
      </c>
      <c r="BJ135" s="59">
        <f t="shared" si="146"/>
        <v>241.1593989733278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39.048942246447062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39.048942246447062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319</v>
      </c>
      <c r="BZ135" s="13">
        <f>BY135*VLOOKUP('Données projet'!$B$12,Paramètres!$A$1:$I$89,3,0)*VLOOKUP('Données projet'!$B$12,Paramètres!$A$1:$I$89,5,0)</f>
        <v>253.79640000000001</v>
      </c>
      <c r="CA135" s="13">
        <f t="shared" si="147"/>
        <v>61.39816832228076</v>
      </c>
      <c r="CB135" s="20">
        <f t="shared" si="118"/>
        <v>548.96387316130563</v>
      </c>
      <c r="CC135" s="59">
        <f t="shared" si="119"/>
        <v>833.19825843500485</v>
      </c>
      <c r="CD135" s="59">
        <f ca="1">AVERAGE(OFFSET($CC$3,0,0,'Données projet'!$E$12+1,1))-AVERAGE(OFFSET($H$3,0,0,'Données projet'!$E$12+1,1))</f>
        <v>377.27600411578322</v>
      </c>
      <c r="CE135" s="59">
        <f t="shared" si="148"/>
        <v>364.58250627635425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15.989250390678251</v>
      </c>
      <c r="CL135" s="21">
        <f>EXP(-LN(2)/25)*CL134+(1-EXP(-LN(2)/25))/(LN(2)/25)*Calculateur!CG135*Calculateur!CI135*VLOOKUP('Données projet'!$B$12,Paramètres!$A$1:$I$89,3,0)*0.475*44/12</f>
        <v>1.7845970339101658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17.773847424588418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1.7053025658242404E-13</v>
      </c>
      <c r="CU135" s="17">
        <f>CT135*VLOOKUP('Données projet'!$B$13,Paramètres!$A$1:$I$89,3,0)*VLOOKUP('Données projet'!$B$13,Paramètres!$A$1:$I$89,5,0)</f>
        <v>1.3301360013429075E-13</v>
      </c>
      <c r="CV135" s="13">
        <f t="shared" si="149"/>
        <v>1.9329766731057041E-12</v>
      </c>
      <c r="CW135" s="20">
        <f t="shared" si="121"/>
        <v>3.5982663925596575E-12</v>
      </c>
      <c r="CX135" s="59">
        <f t="shared" si="122"/>
        <v>284.23438527370274</v>
      </c>
      <c r="CY135" s="59">
        <f ca="1">AVERAGE(OFFSET($CX$3,0,0,'Données projet'!$E$13+1,1))-AVERAGE(OFFSET($H$3,0,0,'Données projet'!$E$13+1,1))</f>
        <v>308.82719216177946</v>
      </c>
      <c r="CZ135" s="59">
        <f t="shared" si="150"/>
        <v>302.59481222418219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23.29952109823817</v>
      </c>
      <c r="DG135" s="21">
        <f>EXP(-LN(2)/25)*DG134+(1-EXP(-LN(2)/25))/(LN(2)/25)*Calculateur!DB135*Calculateur!DD135*VLOOKUP('Données projet'!$B$13,Paramètres!$A$1:$I$89,3,0)*0.475*44/12</f>
        <v>11.891853083076674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35.191374181314842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304.99999999999983</v>
      </c>
      <c r="DP135" s="17">
        <f>DO135*VLOOKUP('Données projet'!$B$14,Paramètres!$A$1:$I$89,3,0)*VLOOKUP('Données projet'!$B$14,Paramètres!$A$1:$I$89,5,0)</f>
        <v>275.96399999999983</v>
      </c>
      <c r="DQ135" s="13">
        <f t="shared" si="151"/>
        <v>66.113366665488854</v>
      </c>
      <c r="DR135" s="20">
        <f t="shared" si="124"/>
        <v>595.78474694239264</v>
      </c>
      <c r="DS135" s="59">
        <f t="shared" si="125"/>
        <v>880.01913221609175</v>
      </c>
      <c r="DT135" s="59">
        <f ca="1">AVERAGE(OFFSET($DS$3,0,0,'Données projet'!$E$14+1,1))-AVERAGE(OFFSET($H$3,0,0,'Données projet'!$E$14+1,1))</f>
        <v>376.51107072413777</v>
      </c>
      <c r="DU135" s="59">
        <f t="shared" si="152"/>
        <v>532.90758914457615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0.21440041317363209</v>
      </c>
      <c r="EB135" s="21">
        <f>EXP(-LN(2)/25)*EB134+(1-EXP(-LN(2)/25))/(LN(2)/25)*Calculateur!DW135*Calculateur!DY135*VLOOKUP('Données projet'!$B$14,Paramètres!$A$1:$I$89,3,0)*0.475*44/12</f>
        <v>0.43654673282807371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0.65094714600170578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-1.7053025658242404E-13</v>
      </c>
      <c r="EK135" s="17">
        <f>EJ135*VLOOKUP('Données projet'!$B$15,Paramètres!$A$1:$I$89,3,0)*VLOOKUP('Données projet'!$B$15,Paramètres!$A$1:$I$89,5,0)</f>
        <v>-1.0197709343628959E-13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337.99164391755608</v>
      </c>
      <c r="EP135" s="59">
        <f t="shared" si="154"/>
        <v>421.45428231923393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36.15073264273115</v>
      </c>
      <c r="EW135" s="21">
        <f>EXP(-LN(2)/25)*EW134+(1-EXP(-LN(2)/25))/(LN(2)/25)*Calculateur!ER135*Calculateur!ET135*VLOOKUP('Données projet'!$B$15,Paramètres!$A$1:$I$89,3,0)*0.475*44/12</f>
        <v>5.3739888093024701</v>
      </c>
      <c r="EX135" s="21">
        <f>EXP(-LN(2)/2)*EX134+(1-EXP(-LN(2)/2))/(LN(2)/2)*ER135*EU135*VLOOKUP('Données projet'!$B$15,Paramètres!$A$1:$I$89,3,0)*0.475*44/12</f>
        <v>1.4699752116142747E-10</v>
      </c>
      <c r="EY135" s="22">
        <f t="shared" si="129"/>
        <v>41.524721452180614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5.2446581196581219</v>
      </c>
      <c r="N136" s="13">
        <f>IF('Données projet'!$A$36&gt;35,N135+M136-V135,IF(A136&lt;'Données projet'!$A$36,$K$205^A136,IF(A136='Données projet'!$A$36,'Données projet'!$B$36,N135+M136-V135)))</f>
        <v>272.09188034187991</v>
      </c>
      <c r="O136" s="13">
        <f>N136*VLOOKUP('Données projet'!$B$9,Paramètres!$A$1:$I$89,3,0)*VLOOKUP('Données projet'!$B$9,Paramètres!$A$1:$I$89,5,0)</f>
        <v>246.18873333333292</v>
      </c>
      <c r="P136" s="13">
        <f t="shared" si="141"/>
        <v>59.769087198438612</v>
      </c>
      <c r="Q136" s="20">
        <f t="shared" si="108"/>
        <v>532.87653742616862</v>
      </c>
      <c r="R136" s="59">
        <f t="shared" si="109"/>
        <v>817.26876910650208</v>
      </c>
      <c r="S136" s="59">
        <f ca="1">AVERAGE(OFFSET($R$3,0,0,'Données projet'!$E$9+1,1))-AVERAGE(OFFSET($H$3,0,0,'Données projet'!$E$9+1,1))</f>
        <v>388.1278150896951</v>
      </c>
      <c r="T136" s="59">
        <f t="shared" si="142"/>
        <v>232.26614607059227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36.400435176669482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36.400435176669482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5.2446581196581219</v>
      </c>
      <c r="AI136" s="13">
        <f>IF('Données projet'!$A$62&gt;35,AI135+AH136-AQ135,IF(A136&lt;'Données projet'!$A$62,$AF$205^A136,IF(A136='Données projet'!$A$62,'Données projet'!$B$62,AI135+AH136-AQ135)))</f>
        <v>272.09188034187991</v>
      </c>
      <c r="AJ136" s="13">
        <f>AI136*VLOOKUP('Données projet'!$B$10,Paramètres!$A$1:$I$89,3,0)*VLOOKUP('Données projet'!$B$10,Paramètres!$A$1:$I$89,5,0)</f>
        <v>275.90116666666626</v>
      </c>
      <c r="AK136" s="13">
        <f t="shared" si="143"/>
        <v>66.100065539585671</v>
      </c>
      <c r="AL136" s="20">
        <f t="shared" si="112"/>
        <v>595.65214609255543</v>
      </c>
      <c r="AM136" s="59">
        <f t="shared" si="113"/>
        <v>880.04437777288877</v>
      </c>
      <c r="AN136" s="59">
        <f ca="1">AVERAGE(OFFSET($AM$3,0,0,'Données projet'!$E$10+1,1))-AVERAGE(OFFSET($H$3,0,0,'Données projet'!$E$10+1,1))</f>
        <v>424.89201140676084</v>
      </c>
      <c r="AO136" s="59">
        <f t="shared" si="144"/>
        <v>253.0016648946303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40.793591146267538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40.793591146267538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5.2446581196581219</v>
      </c>
      <c r="BD136" s="12">
        <f>IF('Données projet'!$A$88&gt;35,BD135+BC136-BL135,IF(A136&lt;'Données projet'!$A$88,$BA$205^A136,IF(A136='Données projet'!$A$88,'Données projet'!$B$88,BD135+BC136-BL135)))</f>
        <v>272.09188034187991</v>
      </c>
      <c r="BE136" s="13">
        <f>BD136*VLOOKUP('Données projet'!$B$11,Paramètres!$A$1:$I$89,3,0)*VLOOKUP('Données projet'!$B$11,Paramètres!$A$1:$I$89,5,0)</f>
        <v>258.92263333333295</v>
      </c>
      <c r="BF136" s="13">
        <f t="shared" si="145"/>
        <v>62.492671450961254</v>
      </c>
      <c r="BG136" s="20">
        <f t="shared" si="115"/>
        <v>559.79832249931235</v>
      </c>
      <c r="BH136" s="59">
        <f t="shared" si="116"/>
        <v>844.19055417964569</v>
      </c>
      <c r="BI136" s="59">
        <f ca="1">AVERAGE(OFFSET($BH$3,0,0,'Données projet'!$E$11+1,1))-AVERAGE(OFFSET($H$3,0,0,'Données projet'!$E$11+1,1))</f>
        <v>403.89478276355294</v>
      </c>
      <c r="BJ136" s="59">
        <f t="shared" si="146"/>
        <v>241.1593989733278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38.283216306497224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38.283216306497224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319</v>
      </c>
      <c r="BZ136" s="13">
        <f>BY136*VLOOKUP('Données projet'!$B$12,Paramètres!$A$1:$I$89,3,0)*VLOOKUP('Données projet'!$B$12,Paramètres!$A$1:$I$89,5,0)</f>
        <v>253.79640000000001</v>
      </c>
      <c r="CA136" s="13">
        <f t="shared" si="147"/>
        <v>61.39816832228076</v>
      </c>
      <c r="CB136" s="20">
        <f t="shared" si="118"/>
        <v>548.96387316130563</v>
      </c>
      <c r="CC136" s="59">
        <f t="shared" si="119"/>
        <v>833.35610484163908</v>
      </c>
      <c r="CD136" s="59">
        <f ca="1">AVERAGE(OFFSET($CC$3,0,0,'Données projet'!$E$12+1,1))-AVERAGE(OFFSET($H$3,0,0,'Données projet'!$E$12+1,1))</f>
        <v>377.27600411578322</v>
      </c>
      <c r="CE136" s="59">
        <f t="shared" si="148"/>
        <v>364.58250627635425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15.675710942996812</v>
      </c>
      <c r="CL136" s="21">
        <f>EXP(-LN(2)/25)*CL135+(1-EXP(-LN(2)/25))/(LN(2)/25)*Calculateur!CG136*Calculateur!CI136*VLOOKUP('Données projet'!$B$12,Paramètres!$A$1:$I$89,3,0)*0.475*44/12</f>
        <v>1.7357971341700131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17.411508077166825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1.7053025658242404E-13</v>
      </c>
      <c r="CU136" s="17">
        <f>CT136*VLOOKUP('Données projet'!$B$13,Paramètres!$A$1:$I$89,3,0)*VLOOKUP('Données projet'!$B$13,Paramètres!$A$1:$I$89,5,0)</f>
        <v>1.3301360013429075E-13</v>
      </c>
      <c r="CV136" s="13">
        <f t="shared" si="149"/>
        <v>1.9329766731057041E-12</v>
      </c>
      <c r="CW136" s="20">
        <f t="shared" si="121"/>
        <v>3.5982663925596575E-12</v>
      </c>
      <c r="CX136" s="59">
        <f t="shared" si="122"/>
        <v>284.39223168033698</v>
      </c>
      <c r="CY136" s="59">
        <f ca="1">AVERAGE(OFFSET($CX$3,0,0,'Données projet'!$E$13+1,1))-AVERAGE(OFFSET($H$3,0,0,'Données projet'!$E$13+1,1))</f>
        <v>308.82719216177946</v>
      </c>
      <c r="CZ136" s="59">
        <f t="shared" si="150"/>
        <v>302.59481222418219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22.84263170080634</v>
      </c>
      <c r="DG136" s="21">
        <f>EXP(-LN(2)/25)*DG135+(1-EXP(-LN(2)/25))/(LN(2)/25)*Calculateur!DB136*Calculateur!DD136*VLOOKUP('Données projet'!$B$13,Paramètres!$A$1:$I$89,3,0)*0.475*44/12</f>
        <v>11.566669735154568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34.409301435960906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304.99999999999983</v>
      </c>
      <c r="DP136" s="17">
        <f>DO136*VLOOKUP('Données projet'!$B$14,Paramètres!$A$1:$I$89,3,0)*VLOOKUP('Données projet'!$B$14,Paramètres!$A$1:$I$89,5,0)</f>
        <v>275.96399999999983</v>
      </c>
      <c r="DQ136" s="13">
        <f t="shared" si="151"/>
        <v>66.113366665488854</v>
      </c>
      <c r="DR136" s="20">
        <f t="shared" si="124"/>
        <v>595.78474694239264</v>
      </c>
      <c r="DS136" s="59">
        <f t="shared" si="125"/>
        <v>880.17697862272598</v>
      </c>
      <c r="DT136" s="59">
        <f ca="1">AVERAGE(OFFSET($DS$3,0,0,'Données projet'!$E$14+1,1))-AVERAGE(OFFSET($H$3,0,0,'Données projet'!$E$14+1,1))</f>
        <v>376.51107072413777</v>
      </c>
      <c r="DU136" s="59">
        <f t="shared" si="152"/>
        <v>532.90758914457615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0.2101961518426366</v>
      </c>
      <c r="EB136" s="21">
        <f>EXP(-LN(2)/25)*EB135+(1-EXP(-LN(2)/25))/(LN(2)/25)*Calculateur!DW136*Calculateur!DY136*VLOOKUP('Données projet'!$B$14,Paramètres!$A$1:$I$89,3,0)*0.475*44/12</f>
        <v>0.42460933946189511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0.63480549130453168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-1.7053025658242404E-13</v>
      </c>
      <c r="EK136" s="17">
        <f>EJ136*VLOOKUP('Données projet'!$B$15,Paramètres!$A$1:$I$89,3,0)*VLOOKUP('Données projet'!$B$15,Paramètres!$A$1:$I$89,5,0)</f>
        <v>-1.0197709343628959E-13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337.99164391755608</v>
      </c>
      <c r="EP136" s="59">
        <f t="shared" si="154"/>
        <v>421.45428231923393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35.44183882537687</v>
      </c>
      <c r="EW136" s="21">
        <f>EXP(-LN(2)/25)*EW135+(1-EXP(-LN(2)/25))/(LN(2)/25)*Calculateur!ER136*Calculateur!ET136*VLOOKUP('Données projet'!$B$15,Paramètres!$A$1:$I$89,3,0)*0.475*44/12</f>
        <v>5.227036802706305</v>
      </c>
      <c r="EX136" s="21">
        <f>EXP(-LN(2)/2)*EX135+(1-EXP(-LN(2)/2))/(LN(2)/2)*ER136*EU136*VLOOKUP('Données projet'!$B$15,Paramètres!$A$1:$I$89,3,0)*0.475*44/12</f>
        <v>1.0394294403085838E-10</v>
      </c>
      <c r="EY136" s="22">
        <f t="shared" si="129"/>
        <v>40.668875628187116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5.2446581196581219</v>
      </c>
      <c r="N137" s="13">
        <f>IF('Données projet'!$A$36&gt;35,N136+M137-V136,IF(A137&lt;'Données projet'!$A$36,$K$205^A137,IF(A137='Données projet'!$A$36,'Données projet'!$B$36,N136+M137-V136)))</f>
        <v>277.33653846153805</v>
      </c>
      <c r="O137" s="13">
        <f>N137*VLOOKUP('Données projet'!$B$9,Paramètres!$A$1:$I$89,3,0)*VLOOKUP('Données projet'!$B$9,Paramètres!$A$1:$I$89,5,0)</f>
        <v>250.9340999999996</v>
      </c>
      <c r="P137" s="13">
        <f t="shared" si="141"/>
        <v>60.785920872094742</v>
      </c>
      <c r="Q137" s="20">
        <f t="shared" si="108"/>
        <v>542.91236968556427</v>
      </c>
      <c r="R137" s="59">
        <f t="shared" si="109"/>
        <v>827.45970949026855</v>
      </c>
      <c r="S137" s="59">
        <f ca="1">AVERAGE(OFFSET($R$3,0,0,'Données projet'!$E$9+1,1))-AVERAGE(OFFSET($H$3,0,0,'Données projet'!$E$9+1,1))</f>
        <v>388.1278150896951</v>
      </c>
      <c r="T137" s="59">
        <f t="shared" si="142"/>
        <v>232.26614607059227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35.686644844928182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35.686644844928182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5.2446581196581219</v>
      </c>
      <c r="AI137" s="13">
        <f>IF('Données projet'!$A$62&gt;35,AI136+AH137-AQ136,IF(A137&lt;'Données projet'!$A$62,$AF$205^A137,IF(A137='Données projet'!$A$62,'Données projet'!$B$62,AI136+AH137-AQ136)))</f>
        <v>277.33653846153805</v>
      </c>
      <c r="AJ137" s="13">
        <f>AI137*VLOOKUP('Données projet'!$B$10,Paramètres!$A$1:$I$89,3,0)*VLOOKUP('Données projet'!$B$10,Paramètres!$A$1:$I$89,5,0)</f>
        <v>281.21924999999965</v>
      </c>
      <c r="AK137" s="13">
        <f t="shared" si="143"/>
        <v>67.224606261587638</v>
      </c>
      <c r="AL137" s="20">
        <f t="shared" si="112"/>
        <v>606.87304965559781</v>
      </c>
      <c r="AM137" s="59">
        <f t="shared" si="113"/>
        <v>891.42038946030209</v>
      </c>
      <c r="AN137" s="59">
        <f ca="1">AVERAGE(OFFSET($AM$3,0,0,'Données projet'!$E$10+1,1))-AVERAGE(OFFSET($H$3,0,0,'Données projet'!$E$10+1,1))</f>
        <v>424.89201140676084</v>
      </c>
      <c r="AO137" s="59">
        <f t="shared" si="144"/>
        <v>253.0016648946303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39.993653705522973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39.993653705522973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5.2446581196581219</v>
      </c>
      <c r="BD137" s="12">
        <f>IF('Données projet'!$A$88&gt;35,BD136+BC137-BL136,IF(A137&lt;'Données projet'!$A$88,$BA$205^A137,IF(A137='Données projet'!$A$88,'Données projet'!$B$88,BD136+BC137-BL136)))</f>
        <v>277.33653846153805</v>
      </c>
      <c r="BE137" s="13">
        <f>BD137*VLOOKUP('Données projet'!$B$11,Paramètres!$A$1:$I$89,3,0)*VLOOKUP('Données projet'!$B$11,Paramètres!$A$1:$I$89,5,0)</f>
        <v>263.91344999999961</v>
      </c>
      <c r="BF137" s="13">
        <f t="shared" si="145"/>
        <v>63.555840652075076</v>
      </c>
      <c r="BG137" s="20">
        <f t="shared" si="115"/>
        <v>570.34234788569677</v>
      </c>
      <c r="BH137" s="59">
        <f t="shared" si="116"/>
        <v>854.88968769040105</v>
      </c>
      <c r="BI137" s="59">
        <f ca="1">AVERAGE(OFFSET($BH$3,0,0,'Données projet'!$E$11+1,1))-AVERAGE(OFFSET($H$3,0,0,'Données projet'!$E$11+1,1))</f>
        <v>403.89478276355294</v>
      </c>
      <c r="BJ137" s="59">
        <f t="shared" si="146"/>
        <v>241.1593989733278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37.532505785183091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37.532505785183091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319</v>
      </c>
      <c r="BZ137" s="13">
        <f>BY137*VLOOKUP('Données projet'!$B$12,Paramètres!$A$1:$I$89,3,0)*VLOOKUP('Données projet'!$B$12,Paramètres!$A$1:$I$89,5,0)</f>
        <v>253.79640000000001</v>
      </c>
      <c r="CA137" s="13">
        <f t="shared" si="147"/>
        <v>61.39816832228076</v>
      </c>
      <c r="CB137" s="20">
        <f t="shared" si="118"/>
        <v>548.96387316130563</v>
      </c>
      <c r="CC137" s="59">
        <f t="shared" si="119"/>
        <v>833.51121296600991</v>
      </c>
      <c r="CD137" s="59">
        <f ca="1">AVERAGE(OFFSET($CC$3,0,0,'Données projet'!$E$12+1,1))-AVERAGE(OFFSET($H$3,0,0,'Données projet'!$E$12+1,1))</f>
        <v>377.27600411578322</v>
      </c>
      <c r="CE137" s="59">
        <f t="shared" si="148"/>
        <v>364.58250627635425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15.368319812644225</v>
      </c>
      <c r="CL137" s="21">
        <f>EXP(-LN(2)/25)*CL136+(1-EXP(-LN(2)/25))/(LN(2)/25)*Calculateur!CG137*Calculateur!CI137*VLOOKUP('Données projet'!$B$12,Paramètres!$A$1:$I$89,3,0)*0.475*44/12</f>
        <v>1.6883316702545301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17.056651482898754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1.7053025658242404E-13</v>
      </c>
      <c r="CU137" s="17">
        <f>CT137*VLOOKUP('Données projet'!$B$13,Paramètres!$A$1:$I$89,3,0)*VLOOKUP('Données projet'!$B$13,Paramètres!$A$1:$I$89,5,0)</f>
        <v>1.3301360013429075E-13</v>
      </c>
      <c r="CV137" s="13">
        <f t="shared" si="149"/>
        <v>1.9329766731057041E-12</v>
      </c>
      <c r="CW137" s="20">
        <f t="shared" si="121"/>
        <v>3.5982663925596575E-12</v>
      </c>
      <c r="CX137" s="59">
        <f t="shared" si="122"/>
        <v>284.54733980470786</v>
      </c>
      <c r="CY137" s="59">
        <f ca="1">AVERAGE(OFFSET($CX$3,0,0,'Données projet'!$E$13+1,1))-AVERAGE(OFFSET($H$3,0,0,'Données projet'!$E$13+1,1))</f>
        <v>308.82719216177946</v>
      </c>
      <c r="CZ137" s="59">
        <f t="shared" si="150"/>
        <v>302.59481222418219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22.394701625783132</v>
      </c>
      <c r="DG137" s="21">
        <f>EXP(-LN(2)/25)*DG136+(1-EXP(-LN(2)/25))/(LN(2)/25)*Calculateur!DB137*Calculateur!DD137*VLOOKUP('Données projet'!$B$13,Paramètres!$A$1:$I$89,3,0)*0.475*44/12</f>
        <v>11.250378542982041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33.645080168765176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304.99999999999983</v>
      </c>
      <c r="DP137" s="17">
        <f>DO137*VLOOKUP('Données projet'!$B$14,Paramètres!$A$1:$I$89,3,0)*VLOOKUP('Données projet'!$B$14,Paramètres!$A$1:$I$89,5,0)</f>
        <v>275.96399999999983</v>
      </c>
      <c r="DQ137" s="13">
        <f t="shared" si="151"/>
        <v>66.113366665488854</v>
      </c>
      <c r="DR137" s="20">
        <f t="shared" si="124"/>
        <v>595.78474694239264</v>
      </c>
      <c r="DS137" s="59">
        <f t="shared" si="125"/>
        <v>880.33208674709692</v>
      </c>
      <c r="DT137" s="59">
        <f ca="1">AVERAGE(OFFSET($DS$3,0,0,'Données projet'!$E$14+1,1))-AVERAGE(OFFSET($H$3,0,0,'Données projet'!$E$14+1,1))</f>
        <v>376.51107072413777</v>
      </c>
      <c r="DU137" s="59">
        <f t="shared" si="152"/>
        <v>532.90758914457615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0.20607433351199572</v>
      </c>
      <c r="EB137" s="21">
        <f>EXP(-LN(2)/25)*EB136+(1-EXP(-LN(2)/25))/(LN(2)/25)*Calculateur!DW137*Calculateur!DY137*VLOOKUP('Données projet'!$B$14,Paramètres!$A$1:$I$89,3,0)*0.475*44/12</f>
        <v>0.41299837474507489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0.61907270825707061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-1.7053025658242404E-13</v>
      </c>
      <c r="EK137" s="17">
        <f>EJ137*VLOOKUP('Données projet'!$B$15,Paramètres!$A$1:$I$89,3,0)*VLOOKUP('Données projet'!$B$15,Paramètres!$A$1:$I$89,5,0)</f>
        <v>-1.0197709343628959E-13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337.99164391755608</v>
      </c>
      <c r="EP137" s="59">
        <f t="shared" si="154"/>
        <v>421.45428231923393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34.746845983398373</v>
      </c>
      <c r="EW137" s="21">
        <f>EXP(-LN(2)/25)*EW136+(1-EXP(-LN(2)/25))/(LN(2)/25)*Calculateur!ER137*Calculateur!ET137*VLOOKUP('Données projet'!$B$15,Paramètres!$A$1:$I$89,3,0)*0.475*44/12</f>
        <v>5.0841032064583818</v>
      </c>
      <c r="EX137" s="21">
        <f>EXP(-LN(2)/2)*EX136+(1-EXP(-LN(2)/2))/(LN(2)/2)*ER137*EU137*VLOOKUP('Données projet'!$B$15,Paramètres!$A$1:$I$89,3,0)*0.475*44/12</f>
        <v>7.3498760580713735E-11</v>
      </c>
      <c r="EY137" s="22">
        <f t="shared" si="129"/>
        <v>39.830949189930251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5.2446581196581219</v>
      </c>
      <c r="N138" s="13">
        <f>IF('Données projet'!$A$36&gt;35,N137+M138-V137,IF(A138&lt;'Données projet'!$A$36,$K$205^A138,IF(A138='Données projet'!$A$36,'Données projet'!$B$36,N137+M138-V137)))</f>
        <v>282.5811965811962</v>
      </c>
      <c r="O138" s="13">
        <f>N138*VLOOKUP('Données projet'!$B$9,Paramètres!$A$1:$I$89,3,0)*VLOOKUP('Données projet'!$B$9,Paramètres!$A$1:$I$89,5,0)</f>
        <v>255.67946666666631</v>
      </c>
      <c r="P138" s="13">
        <f t="shared" si="141"/>
        <v>61.800518593848722</v>
      </c>
      <c r="Q138" s="20">
        <f t="shared" si="108"/>
        <v>552.94430766206358</v>
      </c>
      <c r="R138" s="59">
        <f t="shared" si="109"/>
        <v>837.64406481195078</v>
      </c>
      <c r="S138" s="59">
        <f ca="1">AVERAGE(OFFSET($R$3,0,0,'Données projet'!$E$9+1,1))-AVERAGE(OFFSET($H$3,0,0,'Données projet'!$E$9+1,1))</f>
        <v>388.1278150896951</v>
      </c>
      <c r="T138" s="59">
        <f t="shared" si="142"/>
        <v>232.26614607059227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34.986851506223211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34.986851506223211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5.2446581196581219</v>
      </c>
      <c r="AI138" s="13">
        <f>IF('Données projet'!$A$62&gt;35,AI137+AH138-AQ137,IF(A138&lt;'Données projet'!$A$62,$AF$205^A138,IF(A138='Données projet'!$A$62,'Données projet'!$B$62,AI137+AH138-AQ137)))</f>
        <v>282.5811965811962</v>
      </c>
      <c r="AJ138" s="13">
        <f>AI138*VLOOKUP('Données projet'!$B$10,Paramètres!$A$1:$I$89,3,0)*VLOOKUP('Données projet'!$B$10,Paramètres!$A$1:$I$89,5,0)</f>
        <v>286.53733333333292</v>
      </c>
      <c r="AK138" s="13">
        <f t="shared" si="143"/>
        <v>68.346674190809836</v>
      </c>
      <c r="AL138" s="20">
        <f t="shared" si="112"/>
        <v>618.08964643788192</v>
      </c>
      <c r="AM138" s="59">
        <f t="shared" si="113"/>
        <v>902.78940358776913</v>
      </c>
      <c r="AN138" s="59">
        <f ca="1">AVERAGE(OFFSET($AM$3,0,0,'Données projet'!$E$10+1,1))-AVERAGE(OFFSET($H$3,0,0,'Données projet'!$E$10+1,1))</f>
        <v>424.89201140676084</v>
      </c>
      <c r="AO138" s="59">
        <f t="shared" si="144"/>
        <v>253.0016648946303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39.209402550077748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39.209402550077748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5.2446581196581219</v>
      </c>
      <c r="BD138" s="12">
        <f>IF('Données projet'!$A$88&gt;35,BD137+BC138-BL137,IF(A138&lt;'Données projet'!$A$88,$BA$205^A138,IF(A138='Données projet'!$A$88,'Données projet'!$B$88,BD137+BC138-BL137)))</f>
        <v>282.5811965811962</v>
      </c>
      <c r="BE138" s="13">
        <f>BD138*VLOOKUP('Données projet'!$B$11,Paramètres!$A$1:$I$89,3,0)*VLOOKUP('Données projet'!$B$11,Paramètres!$A$1:$I$89,5,0)</f>
        <v>268.90426666666633</v>
      </c>
      <c r="BF138" s="13">
        <f t="shared" si="145"/>
        <v>64.616672012439665</v>
      </c>
      <c r="BG138" s="20">
        <f t="shared" si="115"/>
        <v>580.8823015327763</v>
      </c>
      <c r="BH138" s="59">
        <f t="shared" si="116"/>
        <v>865.5820586826635</v>
      </c>
      <c r="BI138" s="59">
        <f ca="1">AVERAGE(OFFSET($BH$3,0,0,'Données projet'!$E$11+1,1))-AVERAGE(OFFSET($H$3,0,0,'Données projet'!$E$11+1,1))</f>
        <v>403.89478276355294</v>
      </c>
      <c r="BJ138" s="59">
        <f t="shared" si="146"/>
        <v>241.1593989733278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36.796516239303728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36.796516239303728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319</v>
      </c>
      <c r="BZ138" s="13">
        <f>BY138*VLOOKUP('Données projet'!$B$12,Paramètres!$A$1:$I$89,3,0)*VLOOKUP('Données projet'!$B$12,Paramètres!$A$1:$I$89,5,0)</f>
        <v>253.79640000000001</v>
      </c>
      <c r="CA138" s="13">
        <f t="shared" si="147"/>
        <v>61.39816832228076</v>
      </c>
      <c r="CB138" s="20">
        <f t="shared" si="118"/>
        <v>548.96387316130563</v>
      </c>
      <c r="CC138" s="59">
        <f t="shared" si="119"/>
        <v>833.66363031119272</v>
      </c>
      <c r="CD138" s="59">
        <f ca="1">AVERAGE(OFFSET($CC$3,0,0,'Données projet'!$E$12+1,1))-AVERAGE(OFFSET($H$3,0,0,'Données projet'!$E$12+1,1))</f>
        <v>377.27600411578322</v>
      </c>
      <c r="CE138" s="59">
        <f t="shared" si="148"/>
        <v>364.58250627635425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15.066956434867777</v>
      </c>
      <c r="CL138" s="21">
        <f>EXP(-LN(2)/25)*CL137+(1-EXP(-LN(2)/25))/(LN(2)/25)*Calculateur!CG138*Calculateur!CI138*VLOOKUP('Données projet'!$B$12,Paramètres!$A$1:$I$89,3,0)*0.475*44/12</f>
        <v>1.6421641519459163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16.709120586813693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1.7053025658242404E-13</v>
      </c>
      <c r="CU138" s="17">
        <f>CT138*VLOOKUP('Données projet'!$B$13,Paramètres!$A$1:$I$89,3,0)*VLOOKUP('Données projet'!$B$13,Paramètres!$A$1:$I$89,5,0)</f>
        <v>1.3301360013429075E-13</v>
      </c>
      <c r="CV138" s="13">
        <f t="shared" si="149"/>
        <v>1.9329766731057041E-12</v>
      </c>
      <c r="CW138" s="20">
        <f t="shared" si="121"/>
        <v>3.5982663925596575E-12</v>
      </c>
      <c r="CX138" s="59">
        <f t="shared" si="122"/>
        <v>284.69975714989073</v>
      </c>
      <c r="CY138" s="59">
        <f ca="1">AVERAGE(OFFSET($CX$3,0,0,'Données projet'!$E$13+1,1))-AVERAGE(OFFSET($H$3,0,0,'Données projet'!$E$13+1,1))</f>
        <v>308.82719216177946</v>
      </c>
      <c r="CZ138" s="59">
        <f t="shared" si="150"/>
        <v>302.59481222418219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21.955555186320762</v>
      </c>
      <c r="DG138" s="21">
        <f>EXP(-LN(2)/25)*DG137+(1-EXP(-LN(2)/25))/(LN(2)/25)*Calculateur!DB138*Calculateur!DD138*VLOOKUP('Données projet'!$B$13,Paramètres!$A$1:$I$89,3,0)*0.475*44/12</f>
        <v>10.942736350092503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32.898291536413268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304.99999999999983</v>
      </c>
      <c r="DP138" s="17">
        <f>DO138*VLOOKUP('Données projet'!$B$14,Paramètres!$A$1:$I$89,3,0)*VLOOKUP('Données projet'!$B$14,Paramètres!$A$1:$I$89,5,0)</f>
        <v>275.96399999999983</v>
      </c>
      <c r="DQ138" s="13">
        <f t="shared" si="151"/>
        <v>66.113366665488854</v>
      </c>
      <c r="DR138" s="20">
        <f t="shared" si="124"/>
        <v>595.78474694239264</v>
      </c>
      <c r="DS138" s="59">
        <f t="shared" si="125"/>
        <v>880.48450409227985</v>
      </c>
      <c r="DT138" s="59">
        <f ca="1">AVERAGE(OFFSET($DS$3,0,0,'Données projet'!$E$14+1,1))-AVERAGE(OFFSET($H$3,0,0,'Données projet'!$E$14+1,1))</f>
        <v>376.51107072413777</v>
      </c>
      <c r="DU138" s="59">
        <f t="shared" si="152"/>
        <v>532.90758914457615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0.20203334152475777</v>
      </c>
      <c r="EB138" s="21">
        <f>EXP(-LN(2)/25)*EB137+(1-EXP(-LN(2)/25))/(LN(2)/25)*Calculateur!DW138*Calculateur!DY138*VLOOKUP('Données projet'!$B$14,Paramètres!$A$1:$I$89,3,0)*0.475*44/12</f>
        <v>0.40170491246903023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0.603738253993788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-1.7053025658242404E-13</v>
      </c>
      <c r="EK138" s="17">
        <f>EJ138*VLOOKUP('Données projet'!$B$15,Paramètres!$A$1:$I$89,3,0)*VLOOKUP('Données projet'!$B$15,Paramètres!$A$1:$I$89,5,0)</f>
        <v>-1.0197709343628959E-13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337.99164391755608</v>
      </c>
      <c r="EP138" s="59">
        <f t="shared" si="154"/>
        <v>421.45428231923393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34.065481527147298</v>
      </c>
      <c r="EW138" s="21">
        <f>EXP(-LN(2)/25)*EW137+(1-EXP(-LN(2)/25))/(LN(2)/25)*Calculateur!ER138*Calculateur!ET138*VLOOKUP('Données projet'!$B$15,Paramètres!$A$1:$I$89,3,0)*0.475*44/12</f>
        <v>4.9450781369164094</v>
      </c>
      <c r="EX138" s="21">
        <f>EXP(-LN(2)/2)*EX137+(1-EXP(-LN(2)/2))/(LN(2)/2)*ER138*EU138*VLOOKUP('Données projet'!$B$15,Paramètres!$A$1:$I$89,3,0)*0.475*44/12</f>
        <v>5.1971472015429192E-11</v>
      </c>
      <c r="EY138" s="22">
        <f t="shared" si="129"/>
        <v>39.010559664115675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5.2446581196581219</v>
      </c>
      <c r="N139" s="13">
        <f>IF('Données projet'!$A$36&gt;35,N138+M139-V138,IF(A139&lt;'Données projet'!$A$36,$K$205^A139,IF(A139='Données projet'!$A$36,'Données projet'!$B$36,N138+M139-V138)))</f>
        <v>287.82585470085434</v>
      </c>
      <c r="O139" s="13">
        <f>N139*VLOOKUP('Données projet'!$B$9,Paramètres!$A$1:$I$89,3,0)*VLOOKUP('Données projet'!$B$9,Paramètres!$A$1:$I$89,5,0)</f>
        <v>260.42483333333297</v>
      </c>
      <c r="P139" s="13">
        <f t="shared" si="141"/>
        <v>62.81292664840214</v>
      </c>
      <c r="Q139" s="20">
        <f t="shared" si="108"/>
        <v>562.97243196818863</v>
      </c>
      <c r="R139" s="59">
        <f t="shared" si="109"/>
        <v>847.82196236307391</v>
      </c>
      <c r="S139" s="59">
        <f ca="1">AVERAGE(OFFSET($R$3,0,0,'Données projet'!$E$9+1,1))-AVERAGE(OFFSET($H$3,0,0,'Données projet'!$E$9+1,1))</f>
        <v>388.1278150896951</v>
      </c>
      <c r="T139" s="59">
        <f t="shared" si="142"/>
        <v>232.26614607059227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34.300780688058452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34.300780688058452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5.2446581196581219</v>
      </c>
      <c r="AI139" s="13">
        <f>IF('Données projet'!$A$62&gt;35,AI138+AH139-AQ138,IF(A139&lt;'Données projet'!$A$62,$AF$205^A139,IF(A139='Données projet'!$A$62,'Données projet'!$B$62,AI138+AH139-AQ138)))</f>
        <v>287.82585470085434</v>
      </c>
      <c r="AJ139" s="13">
        <f>AI139*VLOOKUP('Données projet'!$B$10,Paramètres!$A$1:$I$89,3,0)*VLOOKUP('Données projet'!$B$10,Paramètres!$A$1:$I$89,5,0)</f>
        <v>291.85541666666631</v>
      </c>
      <c r="AK139" s="13">
        <f t="shared" si="143"/>
        <v>69.466320514612647</v>
      </c>
      <c r="AL139" s="20">
        <f t="shared" si="112"/>
        <v>629.30202559072757</v>
      </c>
      <c r="AM139" s="59">
        <f t="shared" si="113"/>
        <v>914.15155598561273</v>
      </c>
      <c r="AN139" s="59">
        <f ca="1">AVERAGE(OFFSET($AM$3,0,0,'Données projet'!$E$10+1,1))-AVERAGE(OFFSET($H$3,0,0,'Données projet'!$E$10+1,1))</f>
        <v>424.89201140676084</v>
      </c>
      <c r="AO139" s="59">
        <f t="shared" si="144"/>
        <v>253.0016648946303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38.440530081444834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38.440530081444834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5.2446581196581219</v>
      </c>
      <c r="BD139" s="12">
        <f>IF('Données projet'!$A$88&gt;35,BD138+BC139-BL138,IF(A139&lt;'Données projet'!$A$88,$BA$205^A139,IF(A139='Données projet'!$A$88,'Données projet'!$B$88,BD138+BC139-BL138)))</f>
        <v>287.82585470085434</v>
      </c>
      <c r="BE139" s="13">
        <f>BD139*VLOOKUP('Données projet'!$B$11,Paramètres!$A$1:$I$89,3,0)*VLOOKUP('Données projet'!$B$11,Paramètres!$A$1:$I$89,5,0)</f>
        <v>273.89508333333299</v>
      </c>
      <c r="BF139" s="13">
        <f t="shared" si="145"/>
        <v>65.67521392587814</v>
      </c>
      <c r="BG139" s="20">
        <f t="shared" si="115"/>
        <v>591.41826772645936</v>
      </c>
      <c r="BH139" s="59">
        <f t="shared" si="116"/>
        <v>876.26779812134464</v>
      </c>
      <c r="BI139" s="59">
        <f ca="1">AVERAGE(OFFSET($BH$3,0,0,'Données projet'!$E$11+1,1))-AVERAGE(OFFSET($H$3,0,0,'Données projet'!$E$11+1,1))</f>
        <v>403.89478276355294</v>
      </c>
      <c r="BJ139" s="59">
        <f t="shared" si="146"/>
        <v>241.1593989733278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36.074958999509761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36.074958999509761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319</v>
      </c>
      <c r="BZ139" s="13">
        <f>BY139*VLOOKUP('Données projet'!$B$12,Paramètres!$A$1:$I$89,3,0)*VLOOKUP('Données projet'!$B$12,Paramètres!$A$1:$I$89,5,0)</f>
        <v>253.79640000000001</v>
      </c>
      <c r="CA139" s="13">
        <f t="shared" si="147"/>
        <v>61.39816832228076</v>
      </c>
      <c r="CB139" s="20">
        <f t="shared" si="118"/>
        <v>548.96387316130563</v>
      </c>
      <c r="CC139" s="59">
        <f t="shared" si="119"/>
        <v>833.81340355619091</v>
      </c>
      <c r="CD139" s="59">
        <f ca="1">AVERAGE(OFFSET($CC$3,0,0,'Données projet'!$E$12+1,1))-AVERAGE(OFFSET($H$3,0,0,'Données projet'!$E$12+1,1))</f>
        <v>377.27600411578322</v>
      </c>
      <c r="CE139" s="59">
        <f t="shared" si="148"/>
        <v>364.58250627635425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14.771502609116014</v>
      </c>
      <c r="CL139" s="21">
        <f>EXP(-LN(2)/25)*CL138+(1-EXP(-LN(2)/25))/(LN(2)/25)*Calculateur!CG139*Calculateur!CI139*VLOOKUP('Données projet'!$B$12,Paramètres!$A$1:$I$89,3,0)*0.475*44/12</f>
        <v>1.5972590868532957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16.368761695969312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1.7053025658242404E-13</v>
      </c>
      <c r="CU139" s="17">
        <f>CT139*VLOOKUP('Données projet'!$B$13,Paramètres!$A$1:$I$89,3,0)*VLOOKUP('Données projet'!$B$13,Paramètres!$A$1:$I$89,5,0)</f>
        <v>1.3301360013429075E-13</v>
      </c>
      <c r="CV139" s="13">
        <f t="shared" si="149"/>
        <v>1.9329766731057041E-12</v>
      </c>
      <c r="CW139" s="20">
        <f t="shared" si="121"/>
        <v>3.5982663925596575E-12</v>
      </c>
      <c r="CX139" s="59">
        <f t="shared" si="122"/>
        <v>284.8495303948888</v>
      </c>
      <c r="CY139" s="59">
        <f ca="1">AVERAGE(OFFSET($CX$3,0,0,'Données projet'!$E$13+1,1))-AVERAGE(OFFSET($H$3,0,0,'Données projet'!$E$13+1,1))</f>
        <v>308.82719216177946</v>
      </c>
      <c r="CZ139" s="59">
        <f t="shared" si="150"/>
        <v>302.59481222418219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21.525020140683367</v>
      </c>
      <c r="DG139" s="21">
        <f>EXP(-LN(2)/25)*DG138+(1-EXP(-LN(2)/25))/(LN(2)/25)*Calculateur!DB139*Calculateur!DD139*VLOOKUP('Données projet'!$B$13,Paramètres!$A$1:$I$89,3,0)*0.475*44/12</f>
        <v>10.643506649145728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32.168526789829095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304.99999999999983</v>
      </c>
      <c r="DP139" s="17">
        <f>DO139*VLOOKUP('Données projet'!$B$14,Paramètres!$A$1:$I$89,3,0)*VLOOKUP('Données projet'!$B$14,Paramètres!$A$1:$I$89,5,0)</f>
        <v>275.96399999999983</v>
      </c>
      <c r="DQ139" s="13">
        <f t="shared" si="151"/>
        <v>66.113366665488854</v>
      </c>
      <c r="DR139" s="20">
        <f t="shared" si="124"/>
        <v>595.78474694239264</v>
      </c>
      <c r="DS139" s="59">
        <f t="shared" si="125"/>
        <v>880.63427733727781</v>
      </c>
      <c r="DT139" s="59">
        <f ca="1">AVERAGE(OFFSET($DS$3,0,0,'Données projet'!$E$14+1,1))-AVERAGE(OFFSET($H$3,0,0,'Données projet'!$E$14+1,1))</f>
        <v>376.51107072413777</v>
      </c>
      <c r="DU139" s="59">
        <f t="shared" si="152"/>
        <v>532.90758914457615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0.19807159092562782</v>
      </c>
      <c r="EB139" s="21">
        <f>EXP(-LN(2)/25)*EB138+(1-EXP(-LN(2)/25))/(LN(2)/25)*Calculateur!DW139*Calculateur!DY139*VLOOKUP('Données projet'!$B$14,Paramètres!$A$1:$I$89,3,0)*0.475*44/12</f>
        <v>0.39072027051282138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0.58879186143844919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-1.7053025658242404E-13</v>
      </c>
      <c r="EK139" s="17">
        <f>EJ139*VLOOKUP('Données projet'!$B$15,Paramètres!$A$1:$I$89,3,0)*VLOOKUP('Données projet'!$B$15,Paramètres!$A$1:$I$89,5,0)</f>
        <v>-1.0197709343628959E-13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337.99164391755608</v>
      </c>
      <c r="EP139" s="59">
        <f t="shared" si="154"/>
        <v>421.45428231923393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33.397478212292022</v>
      </c>
      <c r="EW139" s="21">
        <f>EXP(-LN(2)/25)*EW138+(1-EXP(-LN(2)/25))/(LN(2)/25)*Calculateur!ER139*Calculateur!ET139*VLOOKUP('Données projet'!$B$15,Paramètres!$A$1:$I$89,3,0)*0.475*44/12</f>
        <v>4.8098547152120732</v>
      </c>
      <c r="EX139" s="21">
        <f>EXP(-LN(2)/2)*EX138+(1-EXP(-LN(2)/2))/(LN(2)/2)*ER139*EU139*VLOOKUP('Données projet'!$B$15,Paramètres!$A$1:$I$89,3,0)*0.475*44/12</f>
        <v>3.6749380290356867E-11</v>
      </c>
      <c r="EY139" s="22">
        <f t="shared" si="129"/>
        <v>38.207332927540847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>
        <f>VLOOKUP(A140,'Données projet'!$A$35:$I$55,2,0)</f>
        <v>293.07051282051282</v>
      </c>
      <c r="L140" s="12">
        <f>VLOOKUP(A140,'Données projet'!$A$35:$I$55,9,0)</f>
        <v>5.2446581196581219</v>
      </c>
      <c r="M140" s="12">
        <f t="array" ref="M140">INDEX(L:L,MIN(IF(ISNUMBER(L140:L336),ROW(L140:L336),"")))</f>
        <v>5.2446581196581219</v>
      </c>
      <c r="N140" s="13">
        <f>IF('Données projet'!$A$36&gt;35,N139+M140-V139,IF(A140&lt;'Données projet'!$A$36,$K$205^A140,IF(A140='Données projet'!$A$36,'Données projet'!$B$36,N139+M140-V139)))</f>
        <v>293.07051282051248</v>
      </c>
      <c r="O140" s="13">
        <f>N140*VLOOKUP('Données projet'!$B$9,Paramètres!$A$1:$I$89,3,0)*VLOOKUP('Données projet'!$B$9,Paramètres!$A$1:$I$89,5,0)</f>
        <v>265.17019999999968</v>
      </c>
      <c r="P140" s="13">
        <f t="shared" si="141"/>
        <v>63.823189537116463</v>
      </c>
      <c r="Q140" s="20">
        <f t="shared" si="108"/>
        <v>572.9968201104773</v>
      </c>
      <c r="R140" s="59">
        <f t="shared" si="109"/>
        <v>857.99352551940274</v>
      </c>
      <c r="S140" s="59">
        <f ca="1">AVERAGE(OFFSET($R$3,0,0,'Données projet'!$E$9+1,1))-AVERAGE(OFFSET($H$3,0,0,'Données projet'!$E$9+1,1))</f>
        <v>388.1278150896951</v>
      </c>
      <c r="T140" s="59">
        <f t="shared" si="142"/>
        <v>232.26614607059227</v>
      </c>
      <c r="U140" s="15">
        <f>IF(ISNA(VLOOKUP(A140,'Données projet'!$A$35:$I$55,3,0)),0,VLOOKUP(A140,'Données projet'!$A$35:$I$55,3,0))</f>
        <v>11</v>
      </c>
      <c r="V140" s="15">
        <f>IF(ISNA(VLOOKUP(A140,'Données projet'!$A$35:$I$55,4,0)),0,VLOOKUP(A140,'Données projet'!$A$35:$I$55,4,0))</f>
        <v>51.160256410256409</v>
      </c>
      <c r="W140" s="16">
        <f>IF(ISNA(VLOOKUP(A140,'Données projet'!$A$35:$I$55,5,0)),0%,VLOOKUP(A140,'Données projet'!$A$35:$I$55,5,0)*VLOOKUP('Données projet'!$B$9,Paramètres!$A$1:$I$89,7,0))</f>
        <v>0.30099999999999999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49.030936135301836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49.030936135301836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>
        <f>VLOOKUP(A140,'Données projet'!$A$61:$I$81,2,0)</f>
        <v>293.07051282051282</v>
      </c>
      <c r="AG140" s="12">
        <f>VLOOKUP(A140,'Données projet'!$A$61:$I$81,9,0)</f>
        <v>5.2446581196581219</v>
      </c>
      <c r="AH140" s="12">
        <f t="array" ref="AH140">INDEX(AG:AG,MIN(IF(ISNUMBER(AG140:AG336),ROW(AG140:AG336),"")))</f>
        <v>5.2446581196581219</v>
      </c>
      <c r="AI140" s="13">
        <f>IF('Données projet'!$A$62&gt;35,AI139+AH140-AQ139,IF(A140&lt;'Données projet'!$A$62,$AF$205^A140,IF(A140='Données projet'!$A$62,'Données projet'!$B$62,AI139+AH140-AQ139)))</f>
        <v>293.07051282051248</v>
      </c>
      <c r="AJ140" s="13">
        <f>AI140*VLOOKUP('Données projet'!$B$10,Paramètres!$A$1:$I$89,3,0)*VLOOKUP('Données projet'!$B$10,Paramètres!$A$1:$I$89,5,0)</f>
        <v>297.17349999999965</v>
      </c>
      <c r="AK140" s="13">
        <f t="shared" si="143"/>
        <v>70.583594448118191</v>
      </c>
      <c r="AL140" s="20">
        <f t="shared" si="112"/>
        <v>640.51027283047199</v>
      </c>
      <c r="AM140" s="59">
        <f t="shared" si="113"/>
        <v>925.50697823939731</v>
      </c>
      <c r="AN140" s="59">
        <f ca="1">AVERAGE(OFFSET($AM$3,0,0,'Données projet'!$E$10+1,1))-AVERAGE(OFFSET($H$3,0,0,'Données projet'!$E$10+1,1))</f>
        <v>424.89201140676084</v>
      </c>
      <c r="AO140" s="59">
        <f t="shared" si="144"/>
        <v>253.0016648946303</v>
      </c>
      <c r="AP140" s="15">
        <f>IF(ISNA(VLOOKUP(A140,'Données projet'!$A$61:$I$81,3,0)),0,VLOOKUP(A140,'Données projet'!$A$61:$I$81,3,0))</f>
        <v>11</v>
      </c>
      <c r="AQ140" s="15">
        <f>IF(ISNA(VLOOKUP(A140,'Données projet'!$A$61:$I$81,4,0)),0,VLOOKUP(A140,'Données projet'!$A$61:$I$81,4,0))</f>
        <v>51.160256410256409</v>
      </c>
      <c r="AR140" s="16">
        <f>IF(ISNA(VLOOKUP(A140,'Données projet'!$A$61:$I$81,5,0)),0%,VLOOKUP(A140,'Données projet'!$A$61:$I$81,5,0)*VLOOKUP('Données projet'!$B$10,Paramètres!$A$1:$I$89,7,0))</f>
        <v>0.30099999999999999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54.948462910252076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54.948462910252076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>
        <f>VLOOKUP(A140,'Données projet'!$A$87:$I$107,2,0)</f>
        <v>293.07051282051282</v>
      </c>
      <c r="BB140" s="12">
        <f>VLOOKUP(A140,'Données projet'!$A$87:$I$107,9,0)</f>
        <v>5.2446581196581219</v>
      </c>
      <c r="BC140" s="12">
        <f t="array" ref="BC140">INDEX(BB:BB,MIN(IF(ISNUMBER(BB140:BB336),ROW(BB140:BB336),"")))</f>
        <v>5.2446581196581219</v>
      </c>
      <c r="BD140" s="12">
        <f>IF('Données projet'!$A$88&gt;35,BD139+BC140-BL139,IF(A140&lt;'Données projet'!$A$88,$BA$205^A140,IF(A140='Données projet'!$A$88,'Données projet'!$B$88,BD139+BC140-BL139)))</f>
        <v>293.07051282051248</v>
      </c>
      <c r="BE140" s="13">
        <f>BD140*VLOOKUP('Données projet'!$B$11,Paramètres!$A$1:$I$89,3,0)*VLOOKUP('Données projet'!$B$11,Paramètres!$A$1:$I$89,5,0)</f>
        <v>278.88589999999965</v>
      </c>
      <c r="BF140" s="13">
        <f t="shared" si="145"/>
        <v>66.731512921610161</v>
      </c>
      <c r="BG140" s="20">
        <f t="shared" si="115"/>
        <v>601.95032750513701</v>
      </c>
      <c r="BH140" s="59">
        <f t="shared" si="116"/>
        <v>886.94703291406245</v>
      </c>
      <c r="BI140" s="59">
        <f ca="1">AVERAGE(OFFSET($BH$3,0,0,'Données projet'!$E$11+1,1))-AVERAGE(OFFSET($H$3,0,0,'Données projet'!$E$11+1,1))</f>
        <v>403.89478276355294</v>
      </c>
      <c r="BJ140" s="59">
        <f t="shared" si="146"/>
        <v>241.1593989733278</v>
      </c>
      <c r="BK140" s="15">
        <f>IF(ISNA(VLOOKUP(A140,'Données projet'!$A$87:$I$107,3,0)),0,VLOOKUP(A140,'Données projet'!$A$87:$I$107,3,0))</f>
        <v>11</v>
      </c>
      <c r="BL140" s="15">
        <f>IF(ISNA(VLOOKUP(A140,'Données projet'!$A$87:$I$107,4,0)),0,VLOOKUP(A140,'Données projet'!$A$87:$I$107,4,0))</f>
        <v>51.160256410256409</v>
      </c>
      <c r="BM140" s="16">
        <f>IF(ISNA(VLOOKUP(A140,'Données projet'!$A$87:$I$107,5,0)),0%,VLOOKUP(A140,'Données projet'!$A$87:$I$107,5,0)*VLOOKUP('Données projet'!$B$11,Paramètres!$A$1:$I$89,7,0))</f>
        <v>0.30099999999999999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51.567019038851939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51.567019038851939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319</v>
      </c>
      <c r="BZ140" s="13">
        <f>BY140*VLOOKUP('Données projet'!$B$12,Paramètres!$A$1:$I$89,3,0)*VLOOKUP('Données projet'!$B$12,Paramètres!$A$1:$I$89,5,0)</f>
        <v>253.79640000000001</v>
      </c>
      <c r="CA140" s="13">
        <f t="shared" si="147"/>
        <v>61.39816832228076</v>
      </c>
      <c r="CB140" s="20">
        <f t="shared" si="118"/>
        <v>548.96387316130563</v>
      </c>
      <c r="CC140" s="59">
        <f t="shared" si="119"/>
        <v>833.96057857023106</v>
      </c>
      <c r="CD140" s="59">
        <f ca="1">AVERAGE(OFFSET($CC$3,0,0,'Données projet'!$E$12+1,1))-AVERAGE(OFFSET($H$3,0,0,'Données projet'!$E$12+1,1))</f>
        <v>377.27600411578322</v>
      </c>
      <c r="CE140" s="59">
        <f t="shared" si="148"/>
        <v>364.58250627635425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14.481842452678205</v>
      </c>
      <c r="CL140" s="21">
        <f>EXP(-LN(2)/25)*CL139+(1-EXP(-LN(2)/25))/(LN(2)/25)*Calculateur!CG140*Calculateur!CI140*VLOOKUP('Données projet'!$B$12,Paramètres!$A$1:$I$89,3,0)*0.475*44/12</f>
        <v>1.5535819531270876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16.035424405805291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1.7053025658242404E-13</v>
      </c>
      <c r="CU140" s="17">
        <f>CT140*VLOOKUP('Données projet'!$B$13,Paramètres!$A$1:$I$89,3,0)*VLOOKUP('Données projet'!$B$13,Paramètres!$A$1:$I$89,5,0)</f>
        <v>1.3301360013429075E-13</v>
      </c>
      <c r="CV140" s="13">
        <f t="shared" si="149"/>
        <v>1.9329766731057041E-12</v>
      </c>
      <c r="CW140" s="20">
        <f t="shared" si="121"/>
        <v>3.5982663925596575E-12</v>
      </c>
      <c r="CX140" s="59">
        <f t="shared" si="122"/>
        <v>284.99670540892896</v>
      </c>
      <c r="CY140" s="59">
        <f ca="1">AVERAGE(OFFSET($CX$3,0,0,'Données projet'!$E$13+1,1))-AVERAGE(OFFSET($H$3,0,0,'Données projet'!$E$13+1,1))</f>
        <v>308.82719216177946</v>
      </c>
      <c r="CZ140" s="59">
        <f t="shared" si="150"/>
        <v>302.59481222418219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21.102927624690473</v>
      </c>
      <c r="DG140" s="21">
        <f>EXP(-LN(2)/25)*DG139+(1-EXP(-LN(2)/25))/(LN(2)/25)*Calculateur!DB140*Calculateur!DD140*VLOOKUP('Données projet'!$B$13,Paramètres!$A$1:$I$89,3,0)*0.475*44/12</f>
        <v>10.352459400107149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31.455387024797623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304.99999999999983</v>
      </c>
      <c r="DP140" s="17">
        <f>DO140*VLOOKUP('Données projet'!$B$14,Paramètres!$A$1:$I$89,3,0)*VLOOKUP('Données projet'!$B$14,Paramètres!$A$1:$I$89,5,0)</f>
        <v>275.96399999999983</v>
      </c>
      <c r="DQ140" s="13">
        <f t="shared" si="151"/>
        <v>66.113366665488854</v>
      </c>
      <c r="DR140" s="20">
        <f t="shared" si="124"/>
        <v>595.78474694239264</v>
      </c>
      <c r="DS140" s="59">
        <f t="shared" si="125"/>
        <v>880.78145235131797</v>
      </c>
      <c r="DT140" s="59">
        <f ca="1">AVERAGE(OFFSET($DS$3,0,0,'Données projet'!$E$14+1,1))-AVERAGE(OFFSET($H$3,0,0,'Données projet'!$E$14+1,1))</f>
        <v>376.51107072413777</v>
      </c>
      <c r="DU140" s="59">
        <f t="shared" si="152"/>
        <v>532.90758914457615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0.19418752783931756</v>
      </c>
      <c r="EB140" s="21">
        <f>EXP(-LN(2)/25)*EB139+(1-EXP(-LN(2)/25))/(LN(2)/25)*Calculateur!DW140*Calculateur!DY140*VLOOKUP('Données projet'!$B$14,Paramètres!$A$1:$I$89,3,0)*0.475*44/12</f>
        <v>0.38003600416856226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0.57422353200787979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-1.7053025658242404E-13</v>
      </c>
      <c r="EK140" s="17">
        <f>EJ140*VLOOKUP('Données projet'!$B$15,Paramètres!$A$1:$I$89,3,0)*VLOOKUP('Données projet'!$B$15,Paramètres!$A$1:$I$89,5,0)</f>
        <v>-1.0197709343628959E-13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337.99164391755608</v>
      </c>
      <c r="EP140" s="59">
        <f t="shared" si="154"/>
        <v>421.45428231923393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32.742574034999272</v>
      </c>
      <c r="EW140" s="21">
        <f>EXP(-LN(2)/25)*EW139+(1-EXP(-LN(2)/25))/(LN(2)/25)*Calculateur!ER140*Calculateur!ET140*VLOOKUP('Données projet'!$B$15,Paramètres!$A$1:$I$89,3,0)*0.475*44/12</f>
        <v>4.6783289850853329</v>
      </c>
      <c r="EX140" s="21">
        <f>EXP(-LN(2)/2)*EX139+(1-EXP(-LN(2)/2))/(LN(2)/2)*ER140*EU140*VLOOKUP('Données projet'!$B$15,Paramètres!$A$1:$I$89,3,0)*0.475*44/12</f>
        <v>2.5985736007714596E-11</v>
      </c>
      <c r="EY140" s="22">
        <f t="shared" si="129"/>
        <v>37.420903020110593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5.1063034188034209</v>
      </c>
      <c r="N141" s="13">
        <f>IF('Données projet'!$A$36&gt;35,N140+M141-V140,IF(A141&lt;'Données projet'!$A$36,$K$205^A141,IF(A141='Données projet'!$A$36,'Données projet'!$B$36,N140+M141-V140)))</f>
        <v>247.01655982905947</v>
      </c>
      <c r="O141" s="13">
        <f>N141*VLOOKUP('Données projet'!$B$9,Paramètres!$A$1:$I$89,3,0)*VLOOKUP('Données projet'!$B$9,Paramètres!$A$1:$I$89,5,0)</f>
        <v>223.500583333333</v>
      </c>
      <c r="P141" s="13">
        <f t="shared" si="141"/>
        <v>54.875019768659023</v>
      </c>
      <c r="Q141" s="20">
        <f t="shared" si="108"/>
        <v>484.83750873596932</v>
      </c>
      <c r="R141" s="59">
        <f t="shared" si="109"/>
        <v>769.9788360014752</v>
      </c>
      <c r="S141" s="59">
        <f ca="1">AVERAGE(OFFSET($R$3,0,0,'Données projet'!$E$9+1,1))-AVERAGE(OFFSET($H$3,0,0,'Données projet'!$E$9+1,1))</f>
        <v>388.1278150896951</v>
      </c>
      <c r="T141" s="59">
        <f t="shared" si="142"/>
        <v>232.26614607059227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48.069469383606645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48.069469383606645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5.1063034188034209</v>
      </c>
      <c r="AI141" s="13">
        <f>IF('Données projet'!$A$62&gt;35,AI140+AH141-AQ140,IF(A141&lt;'Données projet'!$A$62,$AF$205^A141,IF(A141='Données projet'!$A$62,'Données projet'!$B$62,AI140+AH141-AQ140)))</f>
        <v>247.01655982905947</v>
      </c>
      <c r="AJ141" s="13">
        <f>AI141*VLOOKUP('Données projet'!$B$10,Paramètres!$A$1:$I$89,3,0)*VLOOKUP('Données projet'!$B$10,Paramètres!$A$1:$I$89,5,0)</f>
        <v>250.47479166666631</v>
      </c>
      <c r="AK141" s="13">
        <f t="shared" si="143"/>
        <v>60.687599112090453</v>
      </c>
      <c r="AL141" s="20">
        <f t="shared" si="112"/>
        <v>541.94116393966794</v>
      </c>
      <c r="AM141" s="59">
        <f t="shared" si="113"/>
        <v>827.08249120517394</v>
      </c>
      <c r="AN141" s="59">
        <f ca="1">AVERAGE(OFFSET($AM$3,0,0,'Données projet'!$E$10+1,1))-AVERAGE(OFFSET($H$3,0,0,'Données projet'!$E$10+1,1))</f>
        <v>424.89201140676084</v>
      </c>
      <c r="AO141" s="59">
        <f t="shared" si="144"/>
        <v>253.0016648946303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53.87095706783505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53.87095706783505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5.1063034188034209</v>
      </c>
      <c r="BD141" s="12">
        <f>IF('Données projet'!$A$88&gt;35,BD140+BC141-BL140,IF(A141&lt;'Données projet'!$A$88,$BA$205^A141,IF(A141='Données projet'!$A$88,'Données projet'!$B$88,BD140+BC141-BL140)))</f>
        <v>247.01655982905947</v>
      </c>
      <c r="BE141" s="13">
        <f>BD141*VLOOKUP('Données projet'!$B$11,Paramètres!$A$1:$I$89,3,0)*VLOOKUP('Données projet'!$B$11,Paramètres!$A$1:$I$89,5,0)</f>
        <v>235.06095833333299</v>
      </c>
      <c r="BF141" s="13">
        <f t="shared" si="145"/>
        <v>57.375588987703289</v>
      </c>
      <c r="BG141" s="20">
        <f t="shared" si="115"/>
        <v>509.32698658413818</v>
      </c>
      <c r="BH141" s="59">
        <f t="shared" si="116"/>
        <v>794.46831384964412</v>
      </c>
      <c r="BI141" s="59">
        <f ca="1">AVERAGE(OFFSET($BH$3,0,0,'Données projet'!$E$11+1,1))-AVERAGE(OFFSET($H$3,0,0,'Données projet'!$E$11+1,1))</f>
        <v>403.89478276355294</v>
      </c>
      <c r="BJ141" s="59">
        <f t="shared" si="146"/>
        <v>241.1593989733278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50.555821248275961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50.555821248275961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319</v>
      </c>
      <c r="BZ141" s="13">
        <f>BY141*VLOOKUP('Données projet'!$B$12,Paramètres!$A$1:$I$89,3,0)*VLOOKUP('Données projet'!$B$12,Paramètres!$A$1:$I$89,5,0)</f>
        <v>253.79640000000001</v>
      </c>
      <c r="CA141" s="13">
        <f t="shared" si="147"/>
        <v>61.39816832228076</v>
      </c>
      <c r="CB141" s="20">
        <f t="shared" si="118"/>
        <v>548.96387316130563</v>
      </c>
      <c r="CC141" s="59">
        <f t="shared" si="119"/>
        <v>834.10520042681151</v>
      </c>
      <c r="CD141" s="59">
        <f ca="1">AVERAGE(OFFSET($CC$3,0,0,'Données projet'!$E$12+1,1))-AVERAGE(OFFSET($H$3,0,0,'Données projet'!$E$12+1,1))</f>
        <v>377.27600411578322</v>
      </c>
      <c r="CE141" s="59">
        <f t="shared" si="148"/>
        <v>364.58250627635425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14.197862355232889</v>
      </c>
      <c r="CL141" s="21">
        <f>EXP(-LN(2)/25)*CL140+(1-EXP(-LN(2)/25))/(LN(2)/25)*Calculateur!CG141*Calculateur!CI141*VLOOKUP('Données projet'!$B$12,Paramètres!$A$1:$I$89,3,0)*0.475*44/12</f>
        <v>1.5110991729195031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15.708961528152392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1.7053025658242404E-13</v>
      </c>
      <c r="CU141" s="17">
        <f>CT141*VLOOKUP('Données projet'!$B$13,Paramètres!$A$1:$I$89,3,0)*VLOOKUP('Données projet'!$B$13,Paramètres!$A$1:$I$89,5,0)</f>
        <v>1.3301360013429075E-13</v>
      </c>
      <c r="CV141" s="13">
        <f t="shared" si="149"/>
        <v>1.9329766731057041E-12</v>
      </c>
      <c r="CW141" s="20">
        <f t="shared" si="121"/>
        <v>3.5982663925596575E-12</v>
      </c>
      <c r="CX141" s="59">
        <f t="shared" si="122"/>
        <v>285.14132726550952</v>
      </c>
      <c r="CY141" s="59">
        <f ca="1">AVERAGE(OFFSET($CX$3,0,0,'Données projet'!$E$13+1,1))-AVERAGE(OFFSET($H$3,0,0,'Données projet'!$E$13+1,1))</f>
        <v>308.82719216177946</v>
      </c>
      <c r="CZ141" s="59">
        <f t="shared" si="150"/>
        <v>302.59481222418219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20.689112085485188</v>
      </c>
      <c r="DG141" s="21">
        <f>EXP(-LN(2)/25)*DG140+(1-EXP(-LN(2)/25))/(LN(2)/25)*Calculateur!DB141*Calculateur!DD141*VLOOKUP('Données projet'!$B$13,Paramètres!$A$1:$I$89,3,0)*0.475*44/12</f>
        <v>10.06937085339904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30.758482938884228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304.99999999999983</v>
      </c>
      <c r="DP141" s="17">
        <f>DO141*VLOOKUP('Données projet'!$B$14,Paramètres!$A$1:$I$89,3,0)*VLOOKUP('Données projet'!$B$14,Paramètres!$A$1:$I$89,5,0)</f>
        <v>275.96399999999983</v>
      </c>
      <c r="DQ141" s="13">
        <f t="shared" si="151"/>
        <v>66.113366665488854</v>
      </c>
      <c r="DR141" s="20">
        <f t="shared" si="124"/>
        <v>595.78474694239264</v>
      </c>
      <c r="DS141" s="59">
        <f t="shared" si="125"/>
        <v>880.92607420789864</v>
      </c>
      <c r="DT141" s="59">
        <f ca="1">AVERAGE(OFFSET($DS$3,0,0,'Données projet'!$E$14+1,1))-AVERAGE(OFFSET($H$3,0,0,'Données projet'!$E$14+1,1))</f>
        <v>376.51107072413777</v>
      </c>
      <c r="DU141" s="59">
        <f t="shared" si="152"/>
        <v>532.90758914457615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0.19037962886108528</v>
      </c>
      <c r="EB141" s="21">
        <f>EXP(-LN(2)/25)*EB140+(1-EXP(-LN(2)/25))/(LN(2)/25)*Calculateur!DW141*Calculateur!DY141*VLOOKUP('Données projet'!$B$14,Paramètres!$A$1:$I$89,3,0)*0.475*44/12</f>
        <v>0.36964389964934807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0.56002352851043335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-1.7053025658242404E-13</v>
      </c>
      <c r="EK141" s="17">
        <f>EJ141*VLOOKUP('Données projet'!$B$15,Paramètres!$A$1:$I$89,3,0)*VLOOKUP('Données projet'!$B$15,Paramètres!$A$1:$I$89,5,0)</f>
        <v>-1.0197709343628959E-13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337.99164391755608</v>
      </c>
      <c r="EP141" s="59">
        <f t="shared" si="154"/>
        <v>421.45428231923393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32.100512129171129</v>
      </c>
      <c r="EW141" s="21">
        <f>EXP(-LN(2)/25)*EW140+(1-EXP(-LN(2)/25))/(LN(2)/25)*Calculateur!ER141*Calculateur!ET141*VLOOKUP('Données projet'!$B$15,Paramètres!$A$1:$I$89,3,0)*0.475*44/12</f>
        <v>4.550399832965546</v>
      </c>
      <c r="EX141" s="21">
        <f>EXP(-LN(2)/2)*EX140+(1-EXP(-LN(2)/2))/(LN(2)/2)*ER141*EU141*VLOOKUP('Données projet'!$B$15,Paramètres!$A$1:$I$89,3,0)*0.475*44/12</f>
        <v>1.8374690145178434E-11</v>
      </c>
      <c r="EY141" s="22">
        <f t="shared" si="129"/>
        <v>36.65091196215505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5.1063034188034209</v>
      </c>
      <c r="N142" s="13">
        <f>IF('Données projet'!$A$36&gt;35,N141+M142-V141,IF(A142&lt;'Données projet'!$A$36,$K$205^A142,IF(A142='Données projet'!$A$36,'Données projet'!$B$36,N141+M142-V141)))</f>
        <v>252.12286324786288</v>
      </c>
      <c r="O142" s="13">
        <f>N142*VLOOKUP('Données projet'!$B$9,Paramètres!$A$1:$I$89,3,0)*VLOOKUP('Données projet'!$B$9,Paramètres!$A$1:$I$89,5,0)</f>
        <v>228.12076666666633</v>
      </c>
      <c r="P142" s="13">
        <f t="shared" si="141"/>
        <v>55.876153534759418</v>
      </c>
      <c r="Q142" s="20">
        <f t="shared" si="108"/>
        <v>494.62796935081639</v>
      </c>
      <c r="R142" s="59">
        <f t="shared" si="109"/>
        <v>779.91140960701728</v>
      </c>
      <c r="S142" s="59">
        <f ca="1">AVERAGE(OFFSET($R$3,0,0,'Données projet'!$E$9+1,1))-AVERAGE(OFFSET($H$3,0,0,'Données projet'!$E$9+1,1))</f>
        <v>388.1278150896951</v>
      </c>
      <c r="T142" s="59">
        <f t="shared" si="142"/>
        <v>232.26614607059227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47.126856408475383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47.126856408475383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5.1063034188034209</v>
      </c>
      <c r="AI142" s="13">
        <f>IF('Données projet'!$A$62&gt;35,AI141+AH142-AQ141,IF(A142&lt;'Données projet'!$A$62,$AF$205^A142,IF(A142='Données projet'!$A$62,'Données projet'!$B$62,AI141+AH142-AQ141)))</f>
        <v>252.12286324786288</v>
      </c>
      <c r="AJ142" s="13">
        <f>AI142*VLOOKUP('Données projet'!$B$10,Paramètres!$A$1:$I$89,3,0)*VLOOKUP('Données projet'!$B$10,Paramètres!$A$1:$I$89,5,0)</f>
        <v>255.65258333333296</v>
      </c>
      <c r="AK142" s="13">
        <f t="shared" si="143"/>
        <v>61.794776930172596</v>
      </c>
      <c r="AL142" s="20">
        <f t="shared" si="112"/>
        <v>552.88748579227229</v>
      </c>
      <c r="AM142" s="59">
        <f t="shared" si="113"/>
        <v>838.17092604847312</v>
      </c>
      <c r="AN142" s="59">
        <f ca="1">AVERAGE(OFFSET($AM$3,0,0,'Données projet'!$E$10+1,1))-AVERAGE(OFFSET($H$3,0,0,'Données projet'!$E$10+1,1))</f>
        <v>424.89201140676084</v>
      </c>
      <c r="AO142" s="59">
        <f t="shared" si="144"/>
        <v>253.0016648946303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52.814580457774156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52.814580457774156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5.1063034188034209</v>
      </c>
      <c r="BD142" s="12">
        <f>IF('Données projet'!$A$88&gt;35,BD141+BC142-BL141,IF(A142&lt;'Données projet'!$A$88,$BA$205^A142,IF(A142='Données projet'!$A$88,'Données projet'!$B$88,BD141+BC142-BL141)))</f>
        <v>252.12286324786288</v>
      </c>
      <c r="BE142" s="13">
        <f>BD142*VLOOKUP('Données projet'!$B$11,Paramètres!$A$1:$I$89,3,0)*VLOOKUP('Données projet'!$B$11,Paramètres!$A$1:$I$89,5,0)</f>
        <v>239.9201166666663</v>
      </c>
      <c r="BF142" s="13">
        <f t="shared" si="145"/>
        <v>58.422342860916359</v>
      </c>
      <c r="BG142" s="20">
        <f t="shared" si="115"/>
        <v>519.6131170105399</v>
      </c>
      <c r="BH142" s="59">
        <f t="shared" si="116"/>
        <v>804.89655726674073</v>
      </c>
      <c r="BI142" s="59">
        <f ca="1">AVERAGE(OFFSET($BH$3,0,0,'Données projet'!$E$11+1,1))-AVERAGE(OFFSET($H$3,0,0,'Données projet'!$E$11+1,1))</f>
        <v>403.89478276355294</v>
      </c>
      <c r="BJ142" s="59">
        <f t="shared" si="146"/>
        <v>241.1593989733278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49.564452429603428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49.564452429603428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319</v>
      </c>
      <c r="BZ142" s="13">
        <f>BY142*VLOOKUP('Données projet'!$B$12,Paramètres!$A$1:$I$89,3,0)*VLOOKUP('Données projet'!$B$12,Paramètres!$A$1:$I$89,5,0)</f>
        <v>253.79640000000001</v>
      </c>
      <c r="CA142" s="13">
        <f t="shared" si="147"/>
        <v>61.39816832228076</v>
      </c>
      <c r="CB142" s="20">
        <f t="shared" si="118"/>
        <v>548.96387316130563</v>
      </c>
      <c r="CC142" s="59">
        <f t="shared" si="119"/>
        <v>834.24731341750658</v>
      </c>
      <c r="CD142" s="59">
        <f ca="1">AVERAGE(OFFSET($CC$3,0,0,'Données projet'!$E$12+1,1))-AVERAGE(OFFSET($H$3,0,0,'Données projet'!$E$12+1,1))</f>
        <v>377.27600411578322</v>
      </c>
      <c r="CE142" s="59">
        <f t="shared" si="148"/>
        <v>364.58250627635425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13.91945093428772</v>
      </c>
      <c r="CL142" s="21">
        <f>EXP(-LN(2)/25)*CL141+(1-EXP(-LN(2)/25))/(LN(2)/25)*Calculateur!CG142*Calculateur!CI142*VLOOKUP('Données projet'!$B$12,Paramètres!$A$1:$I$89,3,0)*0.475*44/12</f>
        <v>1.4697780865707675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15.389229020858489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1.7053025658242404E-13</v>
      </c>
      <c r="CU142" s="17">
        <f>CT142*VLOOKUP('Données projet'!$B$13,Paramètres!$A$1:$I$89,3,0)*VLOOKUP('Données projet'!$B$13,Paramètres!$A$1:$I$89,5,0)</f>
        <v>1.3301360013429075E-13</v>
      </c>
      <c r="CV142" s="13">
        <f t="shared" si="149"/>
        <v>1.9329766731057041E-12</v>
      </c>
      <c r="CW142" s="20">
        <f t="shared" si="121"/>
        <v>3.5982663925596575E-12</v>
      </c>
      <c r="CX142" s="59">
        <f t="shared" si="122"/>
        <v>285.28344025620447</v>
      </c>
      <c r="CY142" s="59">
        <f ca="1">AVERAGE(OFFSET($CX$3,0,0,'Données projet'!$E$13+1,1))-AVERAGE(OFFSET($H$3,0,0,'Données projet'!$E$13+1,1))</f>
        <v>308.82719216177946</v>
      </c>
      <c r="CZ142" s="59">
        <f t="shared" si="150"/>
        <v>302.59481222418219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20.283411216601163</v>
      </c>
      <c r="DG142" s="21">
        <f>EXP(-LN(2)/25)*DG141+(1-EXP(-LN(2)/25))/(LN(2)/25)*Calculateur!DB142*Calculateur!DD142*VLOOKUP('Données projet'!$B$13,Paramètres!$A$1:$I$89,3,0)*0.475*44/12</f>
        <v>9.794023377887644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30.077434594488807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304.99999999999983</v>
      </c>
      <c r="DP142" s="17">
        <f>DO142*VLOOKUP('Données projet'!$B$14,Paramètres!$A$1:$I$89,3,0)*VLOOKUP('Données projet'!$B$14,Paramètres!$A$1:$I$89,5,0)</f>
        <v>275.96399999999983</v>
      </c>
      <c r="DQ142" s="13">
        <f t="shared" si="151"/>
        <v>66.113366665488854</v>
      </c>
      <c r="DR142" s="20">
        <f t="shared" si="124"/>
        <v>595.78474694239264</v>
      </c>
      <c r="DS142" s="59">
        <f t="shared" si="125"/>
        <v>881.06818719859348</v>
      </c>
      <c r="DT142" s="59">
        <f ca="1">AVERAGE(OFFSET($DS$3,0,0,'Données projet'!$E$14+1,1))-AVERAGE(OFFSET($H$3,0,0,'Données projet'!$E$14+1,1))</f>
        <v>376.51107072413777</v>
      </c>
      <c r="DU142" s="59">
        <f t="shared" si="152"/>
        <v>532.90758914457615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0.18664640045922709</v>
      </c>
      <c r="EB142" s="21">
        <f>EXP(-LN(2)/25)*EB141+(1-EXP(-LN(2)/25))/(LN(2)/25)*Calculateur!DW142*Calculateur!DY142*VLOOKUP('Données projet'!$B$14,Paramètres!$A$1:$I$89,3,0)*0.475*44/12</f>
        <v>0.35953596777470881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0.54618236823393596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-1.7053025658242404E-13</v>
      </c>
      <c r="EK142" s="17">
        <f>EJ142*VLOOKUP('Données projet'!$B$15,Paramètres!$A$1:$I$89,3,0)*VLOOKUP('Données projet'!$B$15,Paramètres!$A$1:$I$89,5,0)</f>
        <v>-1.0197709343628959E-13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337.99164391755608</v>
      </c>
      <c r="EP142" s="59">
        <f t="shared" si="154"/>
        <v>421.45428231923393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31.471040665697178</v>
      </c>
      <c r="EW142" s="21">
        <f>EXP(-LN(2)/25)*EW141+(1-EXP(-LN(2)/25))/(LN(2)/25)*Calculateur!ER142*Calculateur!ET142*VLOOKUP('Données projet'!$B$15,Paramètres!$A$1:$I$89,3,0)*0.475*44/12</f>
        <v>4.4259689102379758</v>
      </c>
      <c r="EX142" s="21">
        <f>EXP(-LN(2)/2)*EX141+(1-EXP(-LN(2)/2))/(LN(2)/2)*ER142*EU142*VLOOKUP('Données projet'!$B$15,Paramètres!$A$1:$I$89,3,0)*0.475*44/12</f>
        <v>1.2992868003857298E-11</v>
      </c>
      <c r="EY142" s="22">
        <f t="shared" si="129"/>
        <v>35.897009575948147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5.1063034188034209</v>
      </c>
      <c r="N143" s="13">
        <f>IF('Données projet'!$A$36&gt;35,N142+M143-V142,IF(A143&lt;'Données projet'!$A$36,$K$205^A143,IF(A143='Données projet'!$A$36,'Données projet'!$B$36,N142+M143-V142)))</f>
        <v>257.22916666666629</v>
      </c>
      <c r="O143" s="13">
        <f>N143*VLOOKUP('Données projet'!$B$9,Paramètres!$A$1:$I$89,3,0)*VLOOKUP('Données projet'!$B$9,Paramètres!$A$1:$I$89,5,0)</f>
        <v>232.74094999999966</v>
      </c>
      <c r="P143" s="13">
        <f t="shared" si="141"/>
        <v>56.874929761004168</v>
      </c>
      <c r="Q143" s="20">
        <f t="shared" si="108"/>
        <v>504.41432391708167</v>
      </c>
      <c r="R143" s="59">
        <f t="shared" si="109"/>
        <v>789.83741182130598</v>
      </c>
      <c r="S143" s="59">
        <f ca="1">AVERAGE(OFFSET($R$3,0,0,'Données projet'!$E$9+1,1))-AVERAGE(OFFSET($H$3,0,0,'Données projet'!$E$9+1,1))</f>
        <v>388.1278150896951</v>
      </c>
      <c r="T143" s="59">
        <f t="shared" si="142"/>
        <v>232.26614607059227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46.202727498849299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46.202727498849299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5.1063034188034209</v>
      </c>
      <c r="AI143" s="13">
        <f>IF('Données projet'!$A$62&gt;35,AI142+AH143-AQ142,IF(A143&lt;'Données projet'!$A$62,$AF$205^A143,IF(A143='Données projet'!$A$62,'Données projet'!$B$62,AI142+AH143-AQ142)))</f>
        <v>257.22916666666629</v>
      </c>
      <c r="AJ143" s="13">
        <f>AI143*VLOOKUP('Données projet'!$B$10,Paramètres!$A$1:$I$89,3,0)*VLOOKUP('Données projet'!$B$10,Paramètres!$A$1:$I$89,5,0)</f>
        <v>260.83037499999961</v>
      </c>
      <c r="AK143" s="13">
        <f t="shared" si="143"/>
        <v>62.899347488444107</v>
      </c>
      <c r="AL143" s="20">
        <f t="shared" si="112"/>
        <v>563.82926666737285</v>
      </c>
      <c r="AM143" s="59">
        <f t="shared" si="113"/>
        <v>849.25235457159715</v>
      </c>
      <c r="AN143" s="59">
        <f ca="1">AVERAGE(OFFSET($AM$3,0,0,'Données projet'!$E$10+1,1))-AVERAGE(OFFSET($H$3,0,0,'Données projet'!$E$10+1,1))</f>
        <v>424.89201140676084</v>
      </c>
      <c r="AO143" s="59">
        <f t="shared" si="144"/>
        <v>253.0016648946303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51.778918748710446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51.778918748710446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5.1063034188034209</v>
      </c>
      <c r="BD143" s="12">
        <f>IF('Données projet'!$A$88&gt;35,BD142+BC143-BL142,IF(A143&lt;'Données projet'!$A$88,$BA$205^A143,IF(A143='Données projet'!$A$88,'Données projet'!$B$88,BD142+BC143-BL142)))</f>
        <v>257.22916666666629</v>
      </c>
      <c r="BE143" s="13">
        <f>BD143*VLOOKUP('Données projet'!$B$11,Paramètres!$A$1:$I$89,3,0)*VLOOKUP('Données projet'!$B$11,Paramètres!$A$1:$I$89,5,0)</f>
        <v>244.77927499999961</v>
      </c>
      <c r="BF143" s="13">
        <f t="shared" si="145"/>
        <v>59.466631764852885</v>
      </c>
      <c r="BG143" s="20">
        <f t="shared" si="115"/>
        <v>529.89495428211808</v>
      </c>
      <c r="BH143" s="59">
        <f t="shared" si="116"/>
        <v>815.31804218634238</v>
      </c>
      <c r="BI143" s="59">
        <f ca="1">AVERAGE(OFFSET($BH$3,0,0,'Données projet'!$E$11+1,1))-AVERAGE(OFFSET($H$3,0,0,'Données projet'!$E$11+1,1))</f>
        <v>403.89478276355294</v>
      </c>
      <c r="BJ143" s="59">
        <f t="shared" si="146"/>
        <v>241.1593989733278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48.592523748789787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48.592523748789787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319</v>
      </c>
      <c r="BZ143" s="13">
        <f>BY143*VLOOKUP('Données projet'!$B$12,Paramètres!$A$1:$I$89,3,0)*VLOOKUP('Données projet'!$B$12,Paramètres!$A$1:$I$89,5,0)</f>
        <v>253.79640000000001</v>
      </c>
      <c r="CA143" s="13">
        <f t="shared" si="147"/>
        <v>61.39816832228076</v>
      </c>
      <c r="CB143" s="20">
        <f t="shared" si="118"/>
        <v>548.96387316130563</v>
      </c>
      <c r="CC143" s="59">
        <f t="shared" si="119"/>
        <v>834.38696106552993</v>
      </c>
      <c r="CD143" s="59">
        <f ca="1">AVERAGE(OFFSET($CC$3,0,0,'Données projet'!$E$12+1,1))-AVERAGE(OFFSET($H$3,0,0,'Données projet'!$E$12+1,1))</f>
        <v>377.27600411578322</v>
      </c>
      <c r="CE143" s="59">
        <f t="shared" si="148"/>
        <v>364.58250627635425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13.646498991493088</v>
      </c>
      <c r="CL143" s="21">
        <f>EXP(-LN(2)/25)*CL142+(1-EXP(-LN(2)/25))/(LN(2)/25)*Calculateur!CG143*Calculateur!CI143*VLOOKUP('Données projet'!$B$12,Paramètres!$A$1:$I$89,3,0)*0.475*44/12</f>
        <v>1.4295869275012194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15.076085918994307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1.7053025658242404E-13</v>
      </c>
      <c r="CU143" s="17">
        <f>CT143*VLOOKUP('Données projet'!$B$13,Paramètres!$A$1:$I$89,3,0)*VLOOKUP('Données projet'!$B$13,Paramètres!$A$1:$I$89,5,0)</f>
        <v>1.3301360013429075E-13</v>
      </c>
      <c r="CV143" s="13">
        <f t="shared" si="149"/>
        <v>1.9329766731057041E-12</v>
      </c>
      <c r="CW143" s="20">
        <f t="shared" si="121"/>
        <v>3.5982663925596575E-12</v>
      </c>
      <c r="CX143" s="59">
        <f t="shared" si="122"/>
        <v>285.42308790422794</v>
      </c>
      <c r="CY143" s="59">
        <f ca="1">AVERAGE(OFFSET($CX$3,0,0,'Données projet'!$E$13+1,1))-AVERAGE(OFFSET($H$3,0,0,'Données projet'!$E$13+1,1))</f>
        <v>308.82719216177946</v>
      </c>
      <c r="CZ143" s="59">
        <f t="shared" si="150"/>
        <v>302.59481222418219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19.885665894302857</v>
      </c>
      <c r="DG143" s="21">
        <f>EXP(-LN(2)/25)*DG142+(1-EXP(-LN(2)/25))/(LN(2)/25)*Calculateur!DB143*Calculateur!DD143*VLOOKUP('Données projet'!$B$13,Paramètres!$A$1:$I$89,3,0)*0.475*44/12</f>
        <v>9.5262052935740016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29.411871187876859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304.99999999999983</v>
      </c>
      <c r="DP143" s="17">
        <f>DO143*VLOOKUP('Données projet'!$B$14,Paramètres!$A$1:$I$89,3,0)*VLOOKUP('Données projet'!$B$14,Paramètres!$A$1:$I$89,5,0)</f>
        <v>275.96399999999983</v>
      </c>
      <c r="DQ143" s="13">
        <f t="shared" si="151"/>
        <v>66.113366665488854</v>
      </c>
      <c r="DR143" s="20">
        <f t="shared" si="124"/>
        <v>595.78474694239264</v>
      </c>
      <c r="DS143" s="59">
        <f t="shared" si="125"/>
        <v>881.20783484661706</v>
      </c>
      <c r="DT143" s="59">
        <f ca="1">AVERAGE(OFFSET($DS$3,0,0,'Données projet'!$E$14+1,1))-AVERAGE(OFFSET($H$3,0,0,'Données projet'!$E$14+1,1))</f>
        <v>376.51107072413777</v>
      </c>
      <c r="DU143" s="59">
        <f t="shared" si="152"/>
        <v>532.90758914457615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0.18298637838928486</v>
      </c>
      <c r="EB143" s="21">
        <f>EXP(-LN(2)/25)*EB142+(1-EXP(-LN(2)/25))/(LN(2)/25)*Calculateur!DW143*Calculateur!DY143*VLOOKUP('Données projet'!$B$14,Paramètres!$A$1:$I$89,3,0)*0.475*44/12</f>
        <v>0.34970443782873456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0.53269081621801939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-1.7053025658242404E-13</v>
      </c>
      <c r="EK143" s="17">
        <f>EJ143*VLOOKUP('Données projet'!$B$15,Paramètres!$A$1:$I$89,3,0)*VLOOKUP('Données projet'!$B$15,Paramètres!$A$1:$I$89,5,0)</f>
        <v>-1.0197709343628959E-13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337.99164391755608</v>
      </c>
      <c r="EP143" s="59">
        <f t="shared" si="154"/>
        <v>421.45428231923393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30.85391275368227</v>
      </c>
      <c r="EW143" s="21">
        <f>EXP(-LN(2)/25)*EW142+(1-EXP(-LN(2)/25))/(LN(2)/25)*Calculateur!ER143*Calculateur!ET143*VLOOKUP('Données projet'!$B$15,Paramètres!$A$1:$I$89,3,0)*0.475*44/12</f>
        <v>4.3049405576359288</v>
      </c>
      <c r="EX143" s="21">
        <f>EXP(-LN(2)/2)*EX142+(1-EXP(-LN(2)/2))/(LN(2)/2)*ER143*EU143*VLOOKUP('Données projet'!$B$15,Paramètres!$A$1:$I$89,3,0)*0.475*44/12</f>
        <v>9.1873450725892168E-12</v>
      </c>
      <c r="EY143" s="22">
        <f t="shared" si="129"/>
        <v>35.158853311327384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5.1063034188034209</v>
      </c>
      <c r="N144" s="13">
        <f>IF('Données projet'!$A$36&gt;35,N143+M144-V143,IF(A144&lt;'Données projet'!$A$36,$K$205^A144,IF(A144='Données projet'!$A$36,'Données projet'!$B$36,N143+M144-V143)))</f>
        <v>262.33547008546969</v>
      </c>
      <c r="O144" s="13">
        <f>N144*VLOOKUP('Données projet'!$B$9,Paramètres!$A$1:$I$89,3,0)*VLOOKUP('Données projet'!$B$9,Paramètres!$A$1:$I$89,5,0)</f>
        <v>237.36113333333296</v>
      </c>
      <c r="P144" s="13">
        <f t="shared" si="141"/>
        <v>57.871400641465833</v>
      </c>
      <c r="Q144" s="20">
        <f t="shared" si="108"/>
        <v>514.19666333944122</v>
      </c>
      <c r="R144" s="59">
        <f t="shared" si="109"/>
        <v>799.75697631720118</v>
      </c>
      <c r="S144" s="59">
        <f ca="1">AVERAGE(OFFSET($R$3,0,0,'Données projet'!$E$9+1,1))-AVERAGE(OFFSET($H$3,0,0,'Données projet'!$E$9+1,1))</f>
        <v>388.1278150896951</v>
      </c>
      <c r="T144" s="59">
        <f t="shared" si="142"/>
        <v>232.26614607059227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45.296720193478009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45.296720193478009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5.1063034188034209</v>
      </c>
      <c r="AI144" s="13">
        <f>IF('Données projet'!$A$62&gt;35,AI143+AH144-AQ143,IF(A144&lt;'Données projet'!$A$62,$AF$205^A144,IF(A144='Données projet'!$A$62,'Données projet'!$B$62,AI143+AH144-AQ143)))</f>
        <v>262.33547008546969</v>
      </c>
      <c r="AJ144" s="13">
        <f>AI144*VLOOKUP('Données projet'!$B$10,Paramètres!$A$1:$I$89,3,0)*VLOOKUP('Données projet'!$B$10,Paramètres!$A$1:$I$89,5,0)</f>
        <v>266.00816666666628</v>
      </c>
      <c r="AK144" s="13">
        <f t="shared" si="143"/>
        <v>64.00136850958036</v>
      </c>
      <c r="AL144" s="20">
        <f t="shared" si="112"/>
        <v>574.76660709862961</v>
      </c>
      <c r="AM144" s="59">
        <f t="shared" si="113"/>
        <v>860.32692007638957</v>
      </c>
      <c r="AN144" s="59">
        <f ca="1">AVERAGE(OFFSET($AM$3,0,0,'Données projet'!$E$10+1,1))-AVERAGE(OFFSET($H$3,0,0,'Données projet'!$E$10+1,1))</f>
        <v>424.89201140676084</v>
      </c>
      <c r="AO144" s="59">
        <f t="shared" si="144"/>
        <v>253.0016648946303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50.763565734070205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50.763565734070205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5.1063034188034209</v>
      </c>
      <c r="BD144" s="12">
        <f>IF('Données projet'!$A$88&gt;35,BD143+BC144-BL143,IF(A144&lt;'Données projet'!$A$88,$BA$205^A144,IF(A144='Données projet'!$A$88,'Données projet'!$B$88,BD143+BC144-BL143)))</f>
        <v>262.33547008546969</v>
      </c>
      <c r="BE144" s="13">
        <f>BD144*VLOOKUP('Données projet'!$B$11,Paramètres!$A$1:$I$89,3,0)*VLOOKUP('Données projet'!$B$11,Paramètres!$A$1:$I$89,5,0)</f>
        <v>249.63843333333296</v>
      </c>
      <c r="BF144" s="13">
        <f t="shared" si="145"/>
        <v>60.508510271988001</v>
      </c>
      <c r="BG144" s="20">
        <f t="shared" si="115"/>
        <v>540.17259344593401</v>
      </c>
      <c r="BH144" s="59">
        <f t="shared" si="116"/>
        <v>825.73290642369398</v>
      </c>
      <c r="BI144" s="59">
        <f ca="1">AVERAGE(OFFSET($BH$3,0,0,'Données projet'!$E$11+1,1))-AVERAGE(OFFSET($H$3,0,0,'Données projet'!$E$11+1,1))</f>
        <v>403.89478276355294</v>
      </c>
      <c r="BJ144" s="59">
        <f t="shared" si="146"/>
        <v>241.1593989733278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47.639653996588947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47.639653996588947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319</v>
      </c>
      <c r="BZ144" s="13">
        <f>BY144*VLOOKUP('Données projet'!$B$12,Paramètres!$A$1:$I$89,3,0)*VLOOKUP('Données projet'!$B$12,Paramètres!$A$1:$I$89,5,0)</f>
        <v>253.79640000000001</v>
      </c>
      <c r="CA144" s="13">
        <f t="shared" si="147"/>
        <v>61.39816832228076</v>
      </c>
      <c r="CB144" s="20">
        <f t="shared" si="118"/>
        <v>548.96387316130563</v>
      </c>
      <c r="CC144" s="59">
        <f t="shared" si="119"/>
        <v>834.5241861390657</v>
      </c>
      <c r="CD144" s="59">
        <f ca="1">AVERAGE(OFFSET($CC$3,0,0,'Données projet'!$E$12+1,1))-AVERAGE(OFFSET($H$3,0,0,'Données projet'!$E$12+1,1))</f>
        <v>377.27600411578322</v>
      </c>
      <c r="CE144" s="59">
        <f t="shared" si="148"/>
        <v>364.58250627635425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13.378899469812412</v>
      </c>
      <c r="CL144" s="21">
        <f>EXP(-LN(2)/25)*CL143+(1-EXP(-LN(2)/25))/(LN(2)/25)*Calculateur!CG144*Calculateur!CI144*VLOOKUP('Données projet'!$B$12,Paramètres!$A$1:$I$89,3,0)*0.475*44/12</f>
        <v>1.3904947977899893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14.769394267602401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1.7053025658242404E-13</v>
      </c>
      <c r="CU144" s="17">
        <f>CT144*VLOOKUP('Données projet'!$B$13,Paramètres!$A$1:$I$89,3,0)*VLOOKUP('Données projet'!$B$13,Paramètres!$A$1:$I$89,5,0)</f>
        <v>1.3301360013429075E-13</v>
      </c>
      <c r="CV144" s="13">
        <f t="shared" si="149"/>
        <v>1.9329766731057041E-12</v>
      </c>
      <c r="CW144" s="20">
        <f t="shared" si="121"/>
        <v>3.5982663925596575E-12</v>
      </c>
      <c r="CX144" s="59">
        <f t="shared" si="122"/>
        <v>285.5603129777636</v>
      </c>
      <c r="CY144" s="59">
        <f ca="1">AVERAGE(OFFSET($CX$3,0,0,'Données projet'!$E$13+1,1))-AVERAGE(OFFSET($H$3,0,0,'Données projet'!$E$13+1,1))</f>
        <v>308.82719216177946</v>
      </c>
      <c r="CZ144" s="59">
        <f t="shared" si="150"/>
        <v>302.59481222418219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19.49572011517413</v>
      </c>
      <c r="DG144" s="21">
        <f>EXP(-LN(2)/25)*DG143+(1-EXP(-LN(2)/25))/(LN(2)/25)*Calculateur!DB144*Calculateur!DD144*VLOOKUP('Données projet'!$B$13,Paramètres!$A$1:$I$89,3,0)*0.475*44/12</f>
        <v>9.2657107088598565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28.761430824033987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304.99999999999983</v>
      </c>
      <c r="DP144" s="17">
        <f>DO144*VLOOKUP('Données projet'!$B$14,Paramètres!$A$1:$I$89,3,0)*VLOOKUP('Données projet'!$B$14,Paramètres!$A$1:$I$89,5,0)</f>
        <v>275.96399999999983</v>
      </c>
      <c r="DQ144" s="13">
        <f t="shared" si="151"/>
        <v>66.113366665488854</v>
      </c>
      <c r="DR144" s="20">
        <f t="shared" si="124"/>
        <v>595.78474694239264</v>
      </c>
      <c r="DS144" s="59">
        <f t="shared" si="125"/>
        <v>881.34505992015261</v>
      </c>
      <c r="DT144" s="59">
        <f ca="1">AVERAGE(OFFSET($DS$3,0,0,'Données projet'!$E$14+1,1))-AVERAGE(OFFSET($H$3,0,0,'Données projet'!$E$14+1,1))</f>
        <v>376.51107072413777</v>
      </c>
      <c r="DU144" s="59">
        <f t="shared" si="152"/>
        <v>532.90758914457615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0.17939812711974115</v>
      </c>
      <c r="EB144" s="21">
        <f>EXP(-LN(2)/25)*EB143+(1-EXP(-LN(2)/25))/(LN(2)/25)*Calculateur!DW144*Calculateur!DY144*VLOOKUP('Données projet'!$B$14,Paramètres!$A$1:$I$89,3,0)*0.475*44/12</f>
        <v>0.34014175158615068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0.5195398787058918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-1.7053025658242404E-13</v>
      </c>
      <c r="EK144" s="17">
        <f>EJ144*VLOOKUP('Données projet'!$B$15,Paramètres!$A$1:$I$89,3,0)*VLOOKUP('Données projet'!$B$15,Paramètres!$A$1:$I$89,5,0)</f>
        <v>-1.0197709343628959E-13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337.99164391755608</v>
      </c>
      <c r="EP144" s="59">
        <f t="shared" si="154"/>
        <v>421.45428231923393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30.248886343611115</v>
      </c>
      <c r="EW144" s="21">
        <f>EXP(-LN(2)/25)*EW143+(1-EXP(-LN(2)/25))/(LN(2)/25)*Calculateur!ER144*Calculateur!ET144*VLOOKUP('Données projet'!$B$15,Paramètres!$A$1:$I$89,3,0)*0.475*44/12</f>
        <v>4.1872217317003892</v>
      </c>
      <c r="EX144" s="21">
        <f>EXP(-LN(2)/2)*EX143+(1-EXP(-LN(2)/2))/(LN(2)/2)*ER144*EU144*VLOOKUP('Données projet'!$B$15,Paramètres!$A$1:$I$89,3,0)*0.475*44/12</f>
        <v>6.496434001928649E-12</v>
      </c>
      <c r="EY144" s="22">
        <f t="shared" si="129"/>
        <v>34.436108075317996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5.1063034188034209</v>
      </c>
      <c r="N145" s="13">
        <f>IF('Données projet'!$A$36&gt;35,N144+M145-V144,IF(A145&lt;'Données projet'!$A$36,$K$205^A145,IF(A145='Données projet'!$A$36,'Données projet'!$B$36,N144+M145-V144)))</f>
        <v>267.4417735042731</v>
      </c>
      <c r="O145" s="13">
        <f>N145*VLOOKUP('Données projet'!$B$9,Paramètres!$A$1:$I$89,3,0)*VLOOKUP('Données projet'!$B$9,Paramètres!$A$1:$I$89,5,0)</f>
        <v>241.98131666666632</v>
      </c>
      <c r="P145" s="13">
        <f t="shared" si="141"/>
        <v>58.865616222095206</v>
      </c>
      <c r="Q145" s="20">
        <f t="shared" si="108"/>
        <v>523.97507478125954</v>
      </c>
      <c r="R145" s="59">
        <f t="shared" si="109"/>
        <v>809.67023228431867</v>
      </c>
      <c r="S145" s="59">
        <f ca="1">AVERAGE(OFFSET($R$3,0,0,'Données projet'!$E$9+1,1))-AVERAGE(OFFSET($H$3,0,0,'Données projet'!$E$9+1,1))</f>
        <v>388.1278150896951</v>
      </c>
      <c r="T145" s="59">
        <f t="shared" si="142"/>
        <v>232.26614607059227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44.408479138755162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44.408479138755162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5.1063034188034209</v>
      </c>
      <c r="AI145" s="13">
        <f>IF('Données projet'!$A$62&gt;35,AI144+AH145-AQ144,IF(A145&lt;'Données projet'!$A$62,$AF$205^A145,IF(A145='Données projet'!$A$62,'Données projet'!$B$62,AI144+AH145-AQ144)))</f>
        <v>267.4417735042731</v>
      </c>
      <c r="AJ145" s="13">
        <f>AI145*VLOOKUP('Données projet'!$B$10,Paramètres!$A$1:$I$89,3,0)*VLOOKUP('Données projet'!$B$10,Paramètres!$A$1:$I$89,5,0)</f>
        <v>271.18595833333296</v>
      </c>
      <c r="AK145" s="13">
        <f t="shared" si="143"/>
        <v>65.100895340597489</v>
      </c>
      <c r="AL145" s="20">
        <f t="shared" si="112"/>
        <v>585.69960348209554</v>
      </c>
      <c r="AM145" s="59">
        <f t="shared" si="113"/>
        <v>871.39476098515456</v>
      </c>
      <c r="AN145" s="59">
        <f ca="1">AVERAGE(OFFSET($AM$3,0,0,'Données projet'!$E$10+1,1))-AVERAGE(OFFSET($H$3,0,0,'Données projet'!$E$10+1,1))</f>
        <v>424.89201140676084</v>
      </c>
      <c r="AO145" s="59">
        <f t="shared" si="144"/>
        <v>253.0016648946303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49.768123172742875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49.768123172742875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5.1063034188034209</v>
      </c>
      <c r="BD145" s="12">
        <f>IF('Données projet'!$A$88&gt;35,BD144+BC145-BL144,IF(A145&lt;'Données projet'!$A$88,$BA$205^A145,IF(A145='Données projet'!$A$88,'Données projet'!$B$88,BD144+BC145-BL144)))</f>
        <v>267.4417735042731</v>
      </c>
      <c r="BE145" s="13">
        <f>BD145*VLOOKUP('Données projet'!$B$11,Paramètres!$A$1:$I$89,3,0)*VLOOKUP('Données projet'!$B$11,Paramètres!$A$1:$I$89,5,0)</f>
        <v>254.49759166666627</v>
      </c>
      <c r="BF145" s="13">
        <f t="shared" si="145"/>
        <v>61.548030708788779</v>
      </c>
      <c r="BG145" s="20">
        <f t="shared" si="115"/>
        <v>550.4461256372507</v>
      </c>
      <c r="BH145" s="59">
        <f t="shared" si="116"/>
        <v>836.14128314030972</v>
      </c>
      <c r="BI145" s="59">
        <f ca="1">AVERAGE(OFFSET($BH$3,0,0,'Données projet'!$E$11+1,1))-AVERAGE(OFFSET($H$3,0,0,'Données projet'!$E$11+1,1))</f>
        <v>403.89478276355294</v>
      </c>
      <c r="BJ145" s="59">
        <f t="shared" si="146"/>
        <v>241.1593989733278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46.705469439035603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46.705469439035603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319</v>
      </c>
      <c r="BZ145" s="13">
        <f>BY145*VLOOKUP('Données projet'!$B$12,Paramètres!$A$1:$I$89,3,0)*VLOOKUP('Données projet'!$B$12,Paramètres!$A$1:$I$89,5,0)</f>
        <v>253.79640000000001</v>
      </c>
      <c r="CA145" s="13">
        <f t="shared" si="147"/>
        <v>61.39816832228076</v>
      </c>
      <c r="CB145" s="20">
        <f t="shared" si="118"/>
        <v>548.96387316130563</v>
      </c>
      <c r="CC145" s="59">
        <f t="shared" si="119"/>
        <v>834.65903066436476</v>
      </c>
      <c r="CD145" s="59">
        <f ca="1">AVERAGE(OFFSET($CC$3,0,0,'Données projet'!$E$12+1,1))-AVERAGE(OFFSET($H$3,0,0,'Données projet'!$E$12+1,1))</f>
        <v>377.27600411578322</v>
      </c>
      <c r="CE145" s="59">
        <f t="shared" si="148"/>
        <v>364.58250627635425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13.116547411532302</v>
      </c>
      <c r="CL145" s="21">
        <f>EXP(-LN(2)/25)*CL144+(1-EXP(-LN(2)/25))/(LN(2)/25)*Calculateur!CG145*Calculateur!CI145*VLOOKUP('Données projet'!$B$12,Paramètres!$A$1:$I$89,3,0)*0.475*44/12</f>
        <v>1.3524716444214786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14.469019055953781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1.7053025658242404E-13</v>
      </c>
      <c r="CU145" s="17">
        <f>CT145*VLOOKUP('Données projet'!$B$13,Paramètres!$A$1:$I$89,3,0)*VLOOKUP('Données projet'!$B$13,Paramètres!$A$1:$I$89,5,0)</f>
        <v>1.3301360013429075E-13</v>
      </c>
      <c r="CV145" s="13">
        <f t="shared" si="149"/>
        <v>1.9329766731057041E-12</v>
      </c>
      <c r="CW145" s="20">
        <f t="shared" si="121"/>
        <v>3.5982663925596575E-12</v>
      </c>
      <c r="CX145" s="59">
        <f t="shared" si="122"/>
        <v>285.69515750306266</v>
      </c>
      <c r="CY145" s="59">
        <f ca="1">AVERAGE(OFFSET($CX$3,0,0,'Données projet'!$E$13+1,1))-AVERAGE(OFFSET($H$3,0,0,'Données projet'!$E$13+1,1))</f>
        <v>308.82719216177946</v>
      </c>
      <c r="CZ145" s="59">
        <f t="shared" si="150"/>
        <v>302.59481222418219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19.113420934930677</v>
      </c>
      <c r="DG145" s="21">
        <f>EXP(-LN(2)/25)*DG144+(1-EXP(-LN(2)/25))/(LN(2)/25)*Calculateur!DB145*Calculateur!DD145*VLOOKUP('Données projet'!$B$13,Paramètres!$A$1:$I$89,3,0)*0.475*44/12</f>
        <v>9.0123393622635337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28.125760297194212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304.99999999999983</v>
      </c>
      <c r="DP145" s="17">
        <f>DO145*VLOOKUP('Données projet'!$B$14,Paramètres!$A$1:$I$89,3,0)*VLOOKUP('Données projet'!$B$14,Paramètres!$A$1:$I$89,5,0)</f>
        <v>275.96399999999983</v>
      </c>
      <c r="DQ145" s="13">
        <f t="shared" si="151"/>
        <v>66.113366665488854</v>
      </c>
      <c r="DR145" s="20">
        <f t="shared" si="124"/>
        <v>595.78474694239264</v>
      </c>
      <c r="DS145" s="59">
        <f t="shared" si="125"/>
        <v>881.47990444545167</v>
      </c>
      <c r="DT145" s="59">
        <f ca="1">AVERAGE(OFFSET($DS$3,0,0,'Données projet'!$E$14+1,1))-AVERAGE(OFFSET($H$3,0,0,'Données projet'!$E$14+1,1))</f>
        <v>376.51107072413777</v>
      </c>
      <c r="DU145" s="59">
        <f t="shared" si="152"/>
        <v>532.90758914457615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0.17588023926897603</v>
      </c>
      <c r="EB145" s="21">
        <f>EXP(-LN(2)/25)*EB144+(1-EXP(-LN(2)/25))/(LN(2)/25)*Calculateur!DW145*Calculateur!DY145*VLOOKUP('Données projet'!$B$14,Paramètres!$A$1:$I$89,3,0)*0.475*44/12</f>
        <v>0.33084055750175007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0.50672079677072612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-1.7053025658242404E-13</v>
      </c>
      <c r="EK145" s="17">
        <f>EJ145*VLOOKUP('Données projet'!$B$15,Paramètres!$A$1:$I$89,3,0)*VLOOKUP('Données projet'!$B$15,Paramètres!$A$1:$I$89,5,0)</f>
        <v>-1.0197709343628959E-13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337.99164391755608</v>
      </c>
      <c r="EP145" s="59">
        <f t="shared" si="154"/>
        <v>421.45428231923393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29.655724132411784</v>
      </c>
      <c r="EW145" s="21">
        <f>EXP(-LN(2)/25)*EW144+(1-EXP(-LN(2)/25))/(LN(2)/25)*Calculateur!ER145*Calculateur!ET145*VLOOKUP('Données projet'!$B$15,Paramètres!$A$1:$I$89,3,0)*0.475*44/12</f>
        <v>4.0727219332506213</v>
      </c>
      <c r="EX145" s="21">
        <f>EXP(-LN(2)/2)*EX144+(1-EXP(-LN(2)/2))/(LN(2)/2)*ER145*EU145*VLOOKUP('Données projet'!$B$15,Paramètres!$A$1:$I$89,3,0)*0.475*44/12</f>
        <v>4.5936725362946084E-12</v>
      </c>
      <c r="EY145" s="22">
        <f t="shared" si="129"/>
        <v>33.728446065667001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5.1063034188034209</v>
      </c>
      <c r="N146" s="13">
        <f>IF('Données projet'!$A$36&gt;35,N145+M146-V145,IF(A146&lt;'Données projet'!$A$36,$K$205^A146,IF(A146='Données projet'!$A$36,'Données projet'!$B$36,N145+M146-V145)))</f>
        <v>272.54807692307651</v>
      </c>
      <c r="O146" s="13">
        <f>N146*VLOOKUP('Données projet'!$B$9,Paramètres!$A$1:$I$89,3,0)*VLOOKUP('Données projet'!$B$9,Paramètres!$A$1:$I$89,5,0)</f>
        <v>246.60149999999962</v>
      </c>
      <c r="P146" s="13">
        <f t="shared" si="141"/>
        <v>59.857624528428133</v>
      </c>
      <c r="Q146" s="20">
        <f t="shared" si="108"/>
        <v>533.74964188701165</v>
      </c>
      <c r="R146" s="59">
        <f t="shared" si="109"/>
        <v>819.57730466432304</v>
      </c>
      <c r="S146" s="59">
        <f ca="1">AVERAGE(OFFSET($R$3,0,0,'Données projet'!$E$9+1,1))-AVERAGE(OFFSET($H$3,0,0,'Données projet'!$E$9+1,1))</f>
        <v>388.1278150896951</v>
      </c>
      <c r="T146" s="59">
        <f t="shared" si="142"/>
        <v>232.26614607059227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43.537655949341875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43.537655949341875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5.1063034188034209</v>
      </c>
      <c r="AI146" s="13">
        <f>IF('Données projet'!$A$62&gt;35,AI145+AH146-AQ145,IF(A146&lt;'Données projet'!$A$62,$AF$205^A146,IF(A146='Données projet'!$A$62,'Données projet'!$B$62,AI145+AH146-AQ145)))</f>
        <v>272.54807692307651</v>
      </c>
      <c r="AJ146" s="13">
        <f>AI146*VLOOKUP('Données projet'!$B$10,Paramètres!$A$1:$I$89,3,0)*VLOOKUP('Données projet'!$B$10,Paramètres!$A$1:$I$89,5,0)</f>
        <v>276.36374999999958</v>
      </c>
      <c r="AK146" s="13">
        <f t="shared" si="143"/>
        <v>66.19798109408589</v>
      </c>
      <c r="AL146" s="20">
        <f t="shared" si="112"/>
        <v>596.6283483221988</v>
      </c>
      <c r="AM146" s="59">
        <f t="shared" si="113"/>
        <v>882.45601109951031</v>
      </c>
      <c r="AN146" s="59">
        <f ca="1">AVERAGE(OFFSET($AM$3,0,0,'Données projet'!$E$10+1,1))-AVERAGE(OFFSET($H$3,0,0,'Données projet'!$E$10+1,1))</f>
        <v>424.89201140676084</v>
      </c>
      <c r="AO146" s="59">
        <f t="shared" si="144"/>
        <v>253.0016648946303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48.792200632883159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48.792200632883159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5.1063034188034209</v>
      </c>
      <c r="BD146" s="12">
        <f>IF('Données projet'!$A$88&gt;35,BD145+BC146-BL145,IF(A146&lt;'Données projet'!$A$88,$BA$205^A146,IF(A146='Données projet'!$A$88,'Données projet'!$B$88,BD145+BC146-BL145)))</f>
        <v>272.54807692307651</v>
      </c>
      <c r="BE146" s="13">
        <f>BD146*VLOOKUP('Données projet'!$B$11,Paramètres!$A$1:$I$89,3,0)*VLOOKUP('Données projet'!$B$11,Paramètres!$A$1:$I$89,5,0)</f>
        <v>259.35674999999958</v>
      </c>
      <c r="BF146" s="13">
        <f t="shared" si="145"/>
        <v>62.585243289239635</v>
      </c>
      <c r="BG146" s="20">
        <f t="shared" si="115"/>
        <v>560.71563831209176</v>
      </c>
      <c r="BH146" s="59">
        <f t="shared" si="116"/>
        <v>846.54330108940326</v>
      </c>
      <c r="BI146" s="59">
        <f ca="1">AVERAGE(OFFSET($BH$3,0,0,'Données projet'!$E$11+1,1))-AVERAGE(OFFSET($H$3,0,0,'Données projet'!$E$11+1,1))</f>
        <v>403.89478276355294</v>
      </c>
      <c r="BJ146" s="59">
        <f t="shared" si="146"/>
        <v>241.1593989733278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45.789603670859563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45.789603670859563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319</v>
      </c>
      <c r="BZ146" s="13">
        <f>BY146*VLOOKUP('Données projet'!$B$12,Paramètres!$A$1:$I$89,3,0)*VLOOKUP('Données projet'!$B$12,Paramètres!$A$1:$I$89,5,0)</f>
        <v>253.79640000000001</v>
      </c>
      <c r="CA146" s="13">
        <f t="shared" si="147"/>
        <v>61.39816832228076</v>
      </c>
      <c r="CB146" s="20">
        <f t="shared" si="118"/>
        <v>548.96387316130563</v>
      </c>
      <c r="CC146" s="59">
        <f t="shared" si="119"/>
        <v>834.79153593861702</v>
      </c>
      <c r="CD146" s="59">
        <f ca="1">AVERAGE(OFFSET($CC$3,0,0,'Données projet'!$E$12+1,1))-AVERAGE(OFFSET($H$3,0,0,'Données projet'!$E$12+1,1))</f>
        <v>377.27600411578322</v>
      </c>
      <c r="CE146" s="59">
        <f t="shared" si="148"/>
        <v>364.58250627635425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12.85933991709611</v>
      </c>
      <c r="CL146" s="21">
        <f>EXP(-LN(2)/25)*CL145+(1-EXP(-LN(2)/25))/(LN(2)/25)*Calculateur!CG146*Calculateur!CI146*VLOOKUP('Données projet'!$B$12,Paramètres!$A$1:$I$89,3,0)*0.475*44/12</f>
        <v>1.3154882361813807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14.17482815327749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1.7053025658242404E-13</v>
      </c>
      <c r="CU146" s="17">
        <f>CT146*VLOOKUP('Données projet'!$B$13,Paramètres!$A$1:$I$89,3,0)*VLOOKUP('Données projet'!$B$13,Paramètres!$A$1:$I$89,5,0)</f>
        <v>1.3301360013429075E-13</v>
      </c>
      <c r="CV146" s="13">
        <f t="shared" si="149"/>
        <v>1.9329766731057041E-12</v>
      </c>
      <c r="CW146" s="20">
        <f t="shared" si="121"/>
        <v>3.5982663925596575E-12</v>
      </c>
      <c r="CX146" s="59">
        <f t="shared" si="122"/>
        <v>285.82766277731503</v>
      </c>
      <c r="CY146" s="59">
        <f ca="1">AVERAGE(OFFSET($CX$3,0,0,'Données projet'!$E$13+1,1))-AVERAGE(OFFSET($H$3,0,0,'Données projet'!$E$13+1,1))</f>
        <v>308.82719216177946</v>
      </c>
      <c r="CZ146" s="59">
        <f t="shared" si="150"/>
        <v>302.59481222418219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18.73861840843232</v>
      </c>
      <c r="DG146" s="21">
        <f>EXP(-LN(2)/25)*DG145+(1-EXP(-LN(2)/25))/(LN(2)/25)*Calculateur!DB146*Calculateur!DD146*VLOOKUP('Données projet'!$B$13,Paramètres!$A$1:$I$89,3,0)*0.475*44/12</f>
        <v>8.7658964684641081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27.50451487689643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304.99999999999983</v>
      </c>
      <c r="DP146" s="17">
        <f>DO146*VLOOKUP('Données projet'!$B$14,Paramètres!$A$1:$I$89,3,0)*VLOOKUP('Données projet'!$B$14,Paramètres!$A$1:$I$89,5,0)</f>
        <v>275.96399999999983</v>
      </c>
      <c r="DQ146" s="13">
        <f t="shared" si="151"/>
        <v>66.113366665488854</v>
      </c>
      <c r="DR146" s="20">
        <f t="shared" si="124"/>
        <v>595.78474694239264</v>
      </c>
      <c r="DS146" s="59">
        <f t="shared" si="125"/>
        <v>881.61240971970415</v>
      </c>
      <c r="DT146" s="59">
        <f ca="1">AVERAGE(OFFSET($DS$3,0,0,'Données projet'!$E$14+1,1))-AVERAGE(OFFSET($H$3,0,0,'Données projet'!$E$14+1,1))</f>
        <v>376.51107072413777</v>
      </c>
      <c r="DU146" s="59">
        <f t="shared" si="152"/>
        <v>532.90758914457615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0.17243133505326472</v>
      </c>
      <c r="EB146" s="21">
        <f>EXP(-LN(2)/25)*EB145+(1-EXP(-LN(2)/25))/(LN(2)/25)*Calculateur!DW146*Calculateur!DY146*VLOOKUP('Données projet'!$B$14,Paramètres!$A$1:$I$89,3,0)*0.475*44/12</f>
        <v>0.32179370505871596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0.49422504011198065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-1.7053025658242404E-13</v>
      </c>
      <c r="EK146" s="17">
        <f>EJ146*VLOOKUP('Données projet'!$B$15,Paramètres!$A$1:$I$89,3,0)*VLOOKUP('Données projet'!$B$15,Paramètres!$A$1:$I$89,5,0)</f>
        <v>-1.0197709343628959E-13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337.99164391755608</v>
      </c>
      <c r="EP146" s="59">
        <f t="shared" si="154"/>
        <v>421.45428231923393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29.074193470380848</v>
      </c>
      <c r="EW146" s="21">
        <f>EXP(-LN(2)/25)*EW145+(1-EXP(-LN(2)/25))/(LN(2)/25)*Calculateur!ER146*Calculateur!ET146*VLOOKUP('Données projet'!$B$15,Paramètres!$A$1:$I$89,3,0)*0.475*44/12</f>
        <v>3.9613531378107449</v>
      </c>
      <c r="EX146" s="21">
        <f>EXP(-LN(2)/2)*EX145+(1-EXP(-LN(2)/2))/(LN(2)/2)*ER146*EU146*VLOOKUP('Données projet'!$B$15,Paramètres!$A$1:$I$89,3,0)*0.475*44/12</f>
        <v>3.2482170009643245E-12</v>
      </c>
      <c r="EY146" s="22">
        <f t="shared" si="129"/>
        <v>33.035546608194842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5.1063034188034209</v>
      </c>
      <c r="N147" s="13">
        <f>IF('Données projet'!$A$36&gt;35,N146+M147-V146,IF(A147&lt;'Données projet'!$A$36,$K$205^A147,IF(A147='Données projet'!$A$36,'Données projet'!$B$36,N146+M147-V146)))</f>
        <v>277.65438034187991</v>
      </c>
      <c r="O147" s="13">
        <f>N147*VLOOKUP('Données projet'!$B$9,Paramètres!$A$1:$I$89,3,0)*VLOOKUP('Données projet'!$B$9,Paramètres!$A$1:$I$89,5,0)</f>
        <v>251.22168333333292</v>
      </c>
      <c r="P147" s="13">
        <f t="shared" si="141"/>
        <v>60.847471683449903</v>
      </c>
      <c r="Q147" s="20">
        <f t="shared" si="108"/>
        <v>543.52044498756334</v>
      </c>
      <c r="R147" s="59">
        <f t="shared" si="109"/>
        <v>829.47831436885622</v>
      </c>
      <c r="S147" s="59">
        <f ca="1">AVERAGE(OFFSET($R$3,0,0,'Données projet'!$E$9+1,1))-AVERAGE(OFFSET($H$3,0,0,'Données projet'!$E$9+1,1))</f>
        <v>388.1278150896951</v>
      </c>
      <c r="T147" s="59">
        <f t="shared" si="142"/>
        <v>232.26614607059227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42.683909071523289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42.683909071523289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5.1063034188034209</v>
      </c>
      <c r="AI147" s="13">
        <f>IF('Données projet'!$A$62&gt;35,AI146+AH147-AQ146,IF(A147&lt;'Données projet'!$A$62,$AF$205^A147,IF(A147='Données projet'!$A$62,'Données projet'!$B$62,AI146+AH147-AQ146)))</f>
        <v>277.65438034187991</v>
      </c>
      <c r="AJ147" s="13">
        <f>AI147*VLOOKUP('Données projet'!$B$10,Paramètres!$A$1:$I$89,3,0)*VLOOKUP('Données projet'!$B$10,Paramètres!$A$1:$I$89,5,0)</f>
        <v>281.54154166666626</v>
      </c>
      <c r="AK147" s="13">
        <f t="shared" si="143"/>
        <v>67.292676778560462</v>
      </c>
      <c r="AL147" s="20">
        <f t="shared" si="112"/>
        <v>607.55293045876988</v>
      </c>
      <c r="AM147" s="59">
        <f t="shared" si="113"/>
        <v>893.51079984006276</v>
      </c>
      <c r="AN147" s="59">
        <f ca="1">AVERAGE(OFFSET($AM$3,0,0,'Données projet'!$E$10+1,1))-AVERAGE(OFFSET($H$3,0,0,'Données projet'!$E$10+1,1))</f>
        <v>424.89201140676084</v>
      </c>
      <c r="AO147" s="59">
        <f t="shared" si="144"/>
        <v>253.0016648946303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47.835415338776123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47.835415338776123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5.1063034188034209</v>
      </c>
      <c r="BD147" s="12">
        <f>IF('Données projet'!$A$88&gt;35,BD146+BC147-BL146,IF(A147&lt;'Données projet'!$A$88,$BA$205^A147,IF(A147='Données projet'!$A$88,'Données projet'!$B$88,BD146+BC147-BL146)))</f>
        <v>277.65438034187991</v>
      </c>
      <c r="BE147" s="13">
        <f>BD147*VLOOKUP('Données projet'!$B$11,Paramètres!$A$1:$I$89,3,0)*VLOOKUP('Données projet'!$B$11,Paramètres!$A$1:$I$89,5,0)</f>
        <v>264.21590833333295</v>
      </c>
      <c r="BF147" s="13">
        <f t="shared" si="145"/>
        <v>63.620196238078719</v>
      </c>
      <c r="BG147" s="20">
        <f t="shared" si="115"/>
        <v>570.98121546187531</v>
      </c>
      <c r="BH147" s="59">
        <f t="shared" si="116"/>
        <v>856.93908484316819</v>
      </c>
      <c r="BI147" s="59">
        <f ca="1">AVERAGE(OFFSET($BH$3,0,0,'Données projet'!$E$11+1,1))-AVERAGE(OFFSET($H$3,0,0,'Données projet'!$E$11+1,1))</f>
        <v>403.89478276355294</v>
      </c>
      <c r="BJ147" s="59">
        <f t="shared" si="146"/>
        <v>241.1593989733278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44.891697471774499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44.891697471774499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319</v>
      </c>
      <c r="BZ147" s="13">
        <f>BY147*VLOOKUP('Données projet'!$B$12,Paramètres!$A$1:$I$89,3,0)*VLOOKUP('Données projet'!$B$12,Paramètres!$A$1:$I$89,5,0)</f>
        <v>253.79640000000001</v>
      </c>
      <c r="CA147" s="13">
        <f t="shared" si="147"/>
        <v>61.39816832228076</v>
      </c>
      <c r="CB147" s="20">
        <f t="shared" si="118"/>
        <v>548.96387316130563</v>
      </c>
      <c r="CC147" s="59">
        <f t="shared" si="119"/>
        <v>834.92174254259851</v>
      </c>
      <c r="CD147" s="59">
        <f ca="1">AVERAGE(OFFSET($CC$3,0,0,'Données projet'!$E$12+1,1))-AVERAGE(OFFSET($H$3,0,0,'Données projet'!$E$12+1,1))</f>
        <v>377.27600411578322</v>
      </c>
      <c r="CE147" s="59">
        <f t="shared" si="148"/>
        <v>364.58250627635425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12.607176104744731</v>
      </c>
      <c r="CL147" s="21">
        <f>EXP(-LN(2)/25)*CL146+(1-EXP(-LN(2)/25))/(LN(2)/25)*Calculateur!CG147*Calculateur!CI147*VLOOKUP('Données projet'!$B$12,Paramètres!$A$1:$I$89,3,0)*0.475*44/12</f>
        <v>1.2795161411844811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13.886692245929211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1.7053025658242404E-13</v>
      </c>
      <c r="CU147" s="17">
        <f>CT147*VLOOKUP('Données projet'!$B$13,Paramètres!$A$1:$I$89,3,0)*VLOOKUP('Données projet'!$B$13,Paramètres!$A$1:$I$89,5,0)</f>
        <v>1.3301360013429075E-13</v>
      </c>
      <c r="CV147" s="13">
        <f t="shared" si="149"/>
        <v>1.9329766731057041E-12</v>
      </c>
      <c r="CW147" s="20">
        <f t="shared" si="121"/>
        <v>3.5982663925596575E-12</v>
      </c>
      <c r="CX147" s="59">
        <f t="shared" si="122"/>
        <v>285.95786938129646</v>
      </c>
      <c r="CY147" s="59">
        <f ca="1">AVERAGE(OFFSET($CX$3,0,0,'Données projet'!$E$13+1,1))-AVERAGE(OFFSET($H$3,0,0,'Données projet'!$E$13+1,1))</f>
        <v>308.82719216177946</v>
      </c>
      <c r="CZ147" s="59">
        <f t="shared" si="150"/>
        <v>302.59481222418219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18.371165530871629</v>
      </c>
      <c r="DG147" s="21">
        <f>EXP(-LN(2)/25)*DG146+(1-EXP(-LN(2)/25))/(LN(2)/25)*Calculateur!DB147*Calculateur!DD147*VLOOKUP('Données projet'!$B$13,Paramètres!$A$1:$I$89,3,0)*0.475*44/12</f>
        <v>8.526192568555496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26.897358099427123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304.99999999999983</v>
      </c>
      <c r="DP147" s="17">
        <f>DO147*VLOOKUP('Données projet'!$B$14,Paramètres!$A$1:$I$89,3,0)*VLOOKUP('Données projet'!$B$14,Paramètres!$A$1:$I$89,5,0)</f>
        <v>275.96399999999983</v>
      </c>
      <c r="DQ147" s="13">
        <f t="shared" si="151"/>
        <v>66.113366665488854</v>
      </c>
      <c r="DR147" s="20">
        <f t="shared" si="124"/>
        <v>595.78474694239264</v>
      </c>
      <c r="DS147" s="59">
        <f t="shared" si="125"/>
        <v>881.74261632368552</v>
      </c>
      <c r="DT147" s="59">
        <f ca="1">AVERAGE(OFFSET($DS$3,0,0,'Données projet'!$E$14+1,1))-AVERAGE(OFFSET($H$3,0,0,'Données projet'!$E$14+1,1))</f>
        <v>376.51107072413777</v>
      </c>
      <c r="DU147" s="59">
        <f t="shared" si="152"/>
        <v>532.90758914457615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0.16905006174559964</v>
      </c>
      <c r="EB147" s="21">
        <f>EXP(-LN(2)/25)*EB146+(1-EXP(-LN(2)/25))/(LN(2)/25)*Calculateur!DW147*Calculateur!DY147*VLOOKUP('Données projet'!$B$14,Paramètres!$A$1:$I$89,3,0)*0.475*44/12</f>
        <v>0.31299423927148989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0.4820443010170895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-1.7053025658242404E-13</v>
      </c>
      <c r="EK147" s="17">
        <f>EJ147*VLOOKUP('Données projet'!$B$15,Paramètres!$A$1:$I$89,3,0)*VLOOKUP('Données projet'!$B$15,Paramètres!$A$1:$I$89,5,0)</f>
        <v>-1.0197709343628959E-13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337.99164391755608</v>
      </c>
      <c r="EP147" s="59">
        <f t="shared" si="154"/>
        <v>421.45428231923393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28.504066269933659</v>
      </c>
      <c r="EW147" s="21">
        <f>EXP(-LN(2)/25)*EW146+(1-EXP(-LN(2)/25))/(LN(2)/25)*Calculateur!ER147*Calculateur!ET147*VLOOKUP('Données projet'!$B$15,Paramètres!$A$1:$I$89,3,0)*0.475*44/12</f>
        <v>3.8530297279388024</v>
      </c>
      <c r="EX147" s="21">
        <f>EXP(-LN(2)/2)*EX146+(1-EXP(-LN(2)/2))/(LN(2)/2)*ER147*EU147*VLOOKUP('Données projet'!$B$15,Paramètres!$A$1:$I$89,3,0)*0.475*44/12</f>
        <v>2.2968362681473042E-12</v>
      </c>
      <c r="EY147" s="22">
        <f t="shared" si="129"/>
        <v>32.357095997874758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5.1063034188034209</v>
      </c>
      <c r="N148" s="13">
        <f>IF('Données projet'!$A$36&gt;35,N147+M148-V147,IF(A148&lt;'Données projet'!$A$36,$K$205^A148,IF(A148='Données projet'!$A$36,'Données projet'!$B$36,N147+M148-V147)))</f>
        <v>282.76068376068332</v>
      </c>
      <c r="O148" s="13">
        <f>N148*VLOOKUP('Données projet'!$B$9,Paramètres!$A$1:$I$89,3,0)*VLOOKUP('Données projet'!$B$9,Paramètres!$A$1:$I$89,5,0)</f>
        <v>255.84186666666628</v>
      </c>
      <c r="P148" s="13">
        <f t="shared" si="141"/>
        <v>61.83520201654526</v>
      </c>
      <c r="Q148" s="20">
        <f t="shared" si="108"/>
        <v>553.28756128992666</v>
      </c>
      <c r="R148" s="59">
        <f t="shared" si="109"/>
        <v>839.37337848172024</v>
      </c>
      <c r="S148" s="59">
        <f ca="1">AVERAGE(OFFSET($R$3,0,0,'Données projet'!$E$9+1,1))-AVERAGE(OFFSET($H$3,0,0,'Données projet'!$E$9+1,1))</f>
        <v>388.1278150896951</v>
      </c>
      <c r="T148" s="59">
        <f t="shared" si="142"/>
        <v>232.26614607059227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41.846903649244545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41.846903649244545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5.1063034188034209</v>
      </c>
      <c r="AI148" s="13">
        <f>IF('Données projet'!$A$62&gt;35,AI147+AH148-AQ147,IF(A148&lt;'Données projet'!$A$62,$AF$205^A148,IF(A148='Données projet'!$A$62,'Données projet'!$B$62,AI147+AH148-AQ147)))</f>
        <v>282.76068376068332</v>
      </c>
      <c r="AJ148" s="13">
        <f>AI148*VLOOKUP('Données projet'!$B$10,Paramètres!$A$1:$I$89,3,0)*VLOOKUP('Données projet'!$B$10,Paramètres!$A$1:$I$89,5,0)</f>
        <v>286.71933333333288</v>
      </c>
      <c r="AK148" s="13">
        <f t="shared" si="143"/>
        <v>68.38503141894958</v>
      </c>
      <c r="AL148" s="20">
        <f t="shared" si="112"/>
        <v>618.47343527689191</v>
      </c>
      <c r="AM148" s="59">
        <f t="shared" si="113"/>
        <v>904.55925246868549</v>
      </c>
      <c r="AN148" s="59">
        <f ca="1">AVERAGE(OFFSET($AM$3,0,0,'Données projet'!$E$10+1,1))-AVERAGE(OFFSET($H$3,0,0,'Données projet'!$E$10+1,1))</f>
        <v>424.89201140676084</v>
      </c>
      <c r="AO148" s="59">
        <f t="shared" si="144"/>
        <v>253.0016648946303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46.897392020705119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46.897392020705119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5.1063034188034209</v>
      </c>
      <c r="BD148" s="12">
        <f>IF('Données projet'!$A$88&gt;35,BD147+BC148-BL147,IF(A148&lt;'Données projet'!$A$88,$BA$205^A148,IF(A148='Données projet'!$A$88,'Données projet'!$B$88,BD147+BC148-BL147)))</f>
        <v>282.76068376068332</v>
      </c>
      <c r="BE148" s="13">
        <f>BD148*VLOOKUP('Données projet'!$B$11,Paramètres!$A$1:$I$89,3,0)*VLOOKUP('Données projet'!$B$11,Paramètres!$A$1:$I$89,5,0)</f>
        <v>269.07506666666626</v>
      </c>
      <c r="BF148" s="13">
        <f t="shared" si="145"/>
        <v>64.652935904711711</v>
      </c>
      <c r="BG148" s="20">
        <f t="shared" si="115"/>
        <v>581.24293781181666</v>
      </c>
      <c r="BH148" s="59">
        <f t="shared" si="116"/>
        <v>867.32875500361024</v>
      </c>
      <c r="BI148" s="59">
        <f ca="1">AVERAGE(OFFSET($BH$3,0,0,'Données projet'!$E$11+1,1))-AVERAGE(OFFSET($H$3,0,0,'Données projet'!$E$11+1,1))</f>
        <v>403.89478276355294</v>
      </c>
      <c r="BJ148" s="59">
        <f t="shared" si="146"/>
        <v>241.1593989733278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44.011398665584785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44.011398665584785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319</v>
      </c>
      <c r="BZ148" s="13">
        <f>BY148*VLOOKUP('Données projet'!$B$12,Paramètres!$A$1:$I$89,3,0)*VLOOKUP('Données projet'!$B$12,Paramètres!$A$1:$I$89,5,0)</f>
        <v>253.79640000000001</v>
      </c>
      <c r="CA148" s="13">
        <f t="shared" si="147"/>
        <v>61.39816832228076</v>
      </c>
      <c r="CB148" s="20">
        <f t="shared" si="118"/>
        <v>548.96387316130563</v>
      </c>
      <c r="CC148" s="59">
        <f t="shared" si="119"/>
        <v>835.04969035309921</v>
      </c>
      <c r="CD148" s="59">
        <f ca="1">AVERAGE(OFFSET($CC$3,0,0,'Données projet'!$E$12+1,1))-AVERAGE(OFFSET($H$3,0,0,'Données projet'!$E$12+1,1))</f>
        <v>377.27600411578322</v>
      </c>
      <c r="CE148" s="59">
        <f t="shared" si="148"/>
        <v>364.58250627635425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12.359957070948823</v>
      </c>
      <c r="CL148" s="21">
        <f>EXP(-LN(2)/25)*CL147+(1-EXP(-LN(2)/25))/(LN(2)/25)*Calculateur!CG148*Calculateur!CI148*VLOOKUP('Données projet'!$B$12,Paramètres!$A$1:$I$89,3,0)*0.475*44/12</f>
        <v>1.2445277050169619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13.604484775965785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1.7053025658242404E-13</v>
      </c>
      <c r="CU148" s="17">
        <f>CT148*VLOOKUP('Données projet'!$B$13,Paramètres!$A$1:$I$89,3,0)*VLOOKUP('Données projet'!$B$13,Paramètres!$A$1:$I$89,5,0)</f>
        <v>1.3301360013429075E-13</v>
      </c>
      <c r="CV148" s="13">
        <f t="shared" si="149"/>
        <v>1.9329766731057041E-12</v>
      </c>
      <c r="CW148" s="20">
        <f t="shared" si="121"/>
        <v>3.5982663925596575E-12</v>
      </c>
      <c r="CX148" s="59">
        <f t="shared" si="122"/>
        <v>286.08581719179716</v>
      </c>
      <c r="CY148" s="59">
        <f ca="1">AVERAGE(OFFSET($CX$3,0,0,'Données projet'!$E$13+1,1))-AVERAGE(OFFSET($H$3,0,0,'Données projet'!$E$13+1,1))</f>
        <v>308.82719216177946</v>
      </c>
      <c r="CZ148" s="59">
        <f t="shared" si="150"/>
        <v>302.59481222418219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18.010918180115777</v>
      </c>
      <c r="DG148" s="21">
        <f>EXP(-LN(2)/25)*DG147+(1-EXP(-LN(2)/25))/(LN(2)/25)*Calculateur!DB148*Calculateur!DD148*VLOOKUP('Données projet'!$B$13,Paramètres!$A$1:$I$89,3,0)*0.475*44/12</f>
        <v>8.2930433843953661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26.303961564511141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304.99999999999983</v>
      </c>
      <c r="DP148" s="17">
        <f>DO148*VLOOKUP('Données projet'!$B$14,Paramètres!$A$1:$I$89,3,0)*VLOOKUP('Données projet'!$B$14,Paramètres!$A$1:$I$89,5,0)</f>
        <v>275.96399999999983</v>
      </c>
      <c r="DQ148" s="13">
        <f t="shared" si="151"/>
        <v>66.113366665488854</v>
      </c>
      <c r="DR148" s="20">
        <f t="shared" si="124"/>
        <v>595.78474694239264</v>
      </c>
      <c r="DS148" s="59">
        <f t="shared" si="125"/>
        <v>881.87056413418622</v>
      </c>
      <c r="DT148" s="59">
        <f ca="1">AVERAGE(OFFSET($DS$3,0,0,'Données projet'!$E$14+1,1))-AVERAGE(OFFSET($H$3,0,0,'Données projet'!$E$14+1,1))</f>
        <v>376.51107072413777</v>
      </c>
      <c r="DU148" s="59">
        <f t="shared" si="152"/>
        <v>532.90758914457615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0.1657350931451248</v>
      </c>
      <c r="EB148" s="21">
        <f>EXP(-LN(2)/25)*EB147+(1-EXP(-LN(2)/25))/(LN(2)/25)*Calculateur!DW148*Calculateur!DY148*VLOOKUP('Données projet'!$B$14,Paramètres!$A$1:$I$89,3,0)*0.475*44/12</f>
        <v>0.3044353953389593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0.4701704884840841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-1.7053025658242404E-13</v>
      </c>
      <c r="EK148" s="17">
        <f>EJ148*VLOOKUP('Données projet'!$B$15,Paramètres!$A$1:$I$89,3,0)*VLOOKUP('Données projet'!$B$15,Paramètres!$A$1:$I$89,5,0)</f>
        <v>-1.0197709343628959E-13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337.99164391755608</v>
      </c>
      <c r="EP148" s="59">
        <f t="shared" si="154"/>
        <v>421.45428231923393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27.945118916143983</v>
      </c>
      <c r="EW148" s="21">
        <f>EXP(-LN(2)/25)*EW147+(1-EXP(-LN(2)/25))/(LN(2)/25)*Calculateur!ER148*Calculateur!ET148*VLOOKUP('Données projet'!$B$15,Paramètres!$A$1:$I$89,3,0)*0.475*44/12</f>
        <v>3.7476684274062886</v>
      </c>
      <c r="EX148" s="21">
        <f>EXP(-LN(2)/2)*EX147+(1-EXP(-LN(2)/2))/(LN(2)/2)*ER148*EU148*VLOOKUP('Données projet'!$B$15,Paramètres!$A$1:$I$89,3,0)*0.475*44/12</f>
        <v>1.6241085004821623E-12</v>
      </c>
      <c r="EY148" s="22">
        <f t="shared" si="129"/>
        <v>31.692787343551895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5.1063034188034209</v>
      </c>
      <c r="N149" s="13">
        <f>IF('Données projet'!$A$36&gt;35,N148+M149-V148,IF(A149&lt;'Données projet'!$A$36,$K$205^A149,IF(A149='Données projet'!$A$36,'Données projet'!$B$36,N148+M149-V148)))</f>
        <v>287.86698717948673</v>
      </c>
      <c r="O149" s="13">
        <f>N149*VLOOKUP('Données projet'!$B$9,Paramètres!$A$1:$I$89,3,0)*VLOOKUP('Données projet'!$B$9,Paramètres!$A$1:$I$89,5,0)</f>
        <v>260.46204999999958</v>
      </c>
      <c r="P149" s="13">
        <f t="shared" si="141"/>
        <v>62.820858164354384</v>
      </c>
      <c r="Q149" s="20">
        <f t="shared" si="108"/>
        <v>563.05106505291644</v>
      </c>
      <c r="R149" s="59">
        <f t="shared" si="109"/>
        <v>849.26261044674709</v>
      </c>
      <c r="S149" s="59">
        <f ca="1">AVERAGE(OFFSET($R$3,0,0,'Données projet'!$E$9+1,1))-AVERAGE(OFFSET($H$3,0,0,'Données projet'!$E$9+1,1))</f>
        <v>388.1278150896951</v>
      </c>
      <c r="T149" s="59">
        <f t="shared" si="142"/>
        <v>232.26614607059227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41.026311392773792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41.026311392773792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5.1063034188034209</v>
      </c>
      <c r="AI149" s="13">
        <f>IF('Données projet'!$A$62&gt;35,AI148+AH149-AQ148,IF(A149&lt;'Données projet'!$A$62,$AF$205^A149,IF(A149='Données projet'!$A$62,'Données projet'!$B$62,AI148+AH149-AQ148)))</f>
        <v>287.86698717948673</v>
      </c>
      <c r="AJ149" s="13">
        <f>AI149*VLOOKUP('Données projet'!$B$10,Paramètres!$A$1:$I$89,3,0)*VLOOKUP('Données projet'!$B$10,Paramètres!$A$1:$I$89,5,0)</f>
        <v>291.89712499999956</v>
      </c>
      <c r="AK149" s="13">
        <f t="shared" si="143"/>
        <v>69.47509216813539</v>
      </c>
      <c r="AL149" s="20">
        <f t="shared" si="112"/>
        <v>629.38994490116841</v>
      </c>
      <c r="AM149" s="59">
        <f t="shared" si="113"/>
        <v>915.60149029499905</v>
      </c>
      <c r="AN149" s="59">
        <f ca="1">AVERAGE(OFFSET($AM$3,0,0,'Données projet'!$E$10+1,1))-AVERAGE(OFFSET($H$3,0,0,'Données projet'!$E$10+1,1))</f>
        <v>424.89201140676084</v>
      </c>
      <c r="AO149" s="59">
        <f t="shared" si="144"/>
        <v>253.0016648946303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45.977762767763757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45.977762767763757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5.1063034188034209</v>
      </c>
      <c r="BD149" s="12">
        <f>IF('Données projet'!$A$88&gt;35,BD148+BC149-BL148,IF(A149&lt;'Données projet'!$A$88,$BA$205^A149,IF(A149='Données projet'!$A$88,'Données projet'!$B$88,BD148+BC149-BL148)))</f>
        <v>287.86698717948673</v>
      </c>
      <c r="BE149" s="13">
        <f>BD149*VLOOKUP('Données projet'!$B$11,Paramètres!$A$1:$I$89,3,0)*VLOOKUP('Données projet'!$B$11,Paramètres!$A$1:$I$89,5,0)</f>
        <v>273.93422499999957</v>
      </c>
      <c r="BF149" s="13">
        <f t="shared" si="145"/>
        <v>65.683506868664253</v>
      </c>
      <c r="BG149" s="20">
        <f t="shared" si="115"/>
        <v>591.50088300458958</v>
      </c>
      <c r="BH149" s="59">
        <f t="shared" si="116"/>
        <v>877.71242839842023</v>
      </c>
      <c r="BI149" s="59">
        <f ca="1">AVERAGE(OFFSET($BH$3,0,0,'Données projet'!$E$11+1,1))-AVERAGE(OFFSET($H$3,0,0,'Données projet'!$E$11+1,1))</f>
        <v>403.89478276355294</v>
      </c>
      <c r="BJ149" s="59">
        <f t="shared" si="146"/>
        <v>241.1593989733278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43.148361982055199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43.148361982055199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319</v>
      </c>
      <c r="BZ149" s="13">
        <f>BY149*VLOOKUP('Données projet'!$B$12,Paramètres!$A$1:$I$89,3,0)*VLOOKUP('Données projet'!$B$12,Paramètres!$A$1:$I$89,5,0)</f>
        <v>253.79640000000001</v>
      </c>
      <c r="CA149" s="13">
        <f t="shared" si="147"/>
        <v>61.39816832228076</v>
      </c>
      <c r="CB149" s="20">
        <f t="shared" si="118"/>
        <v>548.96387316130563</v>
      </c>
      <c r="CC149" s="59">
        <f t="shared" si="119"/>
        <v>835.17541855513628</v>
      </c>
      <c r="CD149" s="59">
        <f ca="1">AVERAGE(OFFSET($CC$3,0,0,'Données projet'!$E$12+1,1))-AVERAGE(OFFSET($H$3,0,0,'Données projet'!$E$12+1,1))</f>
        <v>377.27600411578322</v>
      </c>
      <c r="CE149" s="59">
        <f t="shared" si="148"/>
        <v>364.58250627635425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12.117585851616933</v>
      </c>
      <c r="CL149" s="21">
        <f>EXP(-LN(2)/25)*CL148+(1-EXP(-LN(2)/25))/(LN(2)/25)*Calculateur!CG149*Calculateur!CI149*VLOOKUP('Données projet'!$B$12,Paramètres!$A$1:$I$89,3,0)*0.475*44/12</f>
        <v>1.2104960294764053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13.32808188109334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1.7053025658242404E-13</v>
      </c>
      <c r="CU149" s="17">
        <f>CT149*VLOOKUP('Données projet'!$B$13,Paramètres!$A$1:$I$89,3,0)*VLOOKUP('Données projet'!$B$13,Paramètres!$A$1:$I$89,5,0)</f>
        <v>1.3301360013429075E-13</v>
      </c>
      <c r="CV149" s="13">
        <f t="shared" si="149"/>
        <v>1.9329766731057041E-12</v>
      </c>
      <c r="CW149" s="20">
        <f t="shared" si="121"/>
        <v>3.5982663925596575E-12</v>
      </c>
      <c r="CX149" s="59">
        <f t="shared" si="122"/>
        <v>286.21154539383423</v>
      </c>
      <c r="CY149" s="59">
        <f ca="1">AVERAGE(OFFSET($CX$3,0,0,'Données projet'!$E$13+1,1))-AVERAGE(OFFSET($H$3,0,0,'Données projet'!$E$13+1,1))</f>
        <v>308.82719216177946</v>
      </c>
      <c r="CZ149" s="59">
        <f t="shared" si="150"/>
        <v>302.59481222418219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17.657735060179061</v>
      </c>
      <c r="DG149" s="21">
        <f>EXP(-LN(2)/25)*DG148+(1-EXP(-LN(2)/25))/(LN(2)/25)*Calculateur!DB149*Calculateur!DD149*VLOOKUP('Données projet'!$B$13,Paramètres!$A$1:$I$89,3,0)*0.475*44/12</f>
        <v>8.0662696769368765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25.724004737115937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304.99999999999983</v>
      </c>
      <c r="DP149" s="17">
        <f>DO149*VLOOKUP('Données projet'!$B$14,Paramètres!$A$1:$I$89,3,0)*VLOOKUP('Données projet'!$B$14,Paramètres!$A$1:$I$89,5,0)</f>
        <v>275.96399999999983</v>
      </c>
      <c r="DQ149" s="13">
        <f t="shared" si="151"/>
        <v>66.113366665488854</v>
      </c>
      <c r="DR149" s="20">
        <f t="shared" si="124"/>
        <v>595.78474694239264</v>
      </c>
      <c r="DS149" s="59">
        <f t="shared" si="125"/>
        <v>881.99629233622329</v>
      </c>
      <c r="DT149" s="59">
        <f ca="1">AVERAGE(OFFSET($DS$3,0,0,'Données projet'!$E$14+1,1))-AVERAGE(OFFSET($H$3,0,0,'Données projet'!$E$14+1,1))</f>
        <v>376.51107072413777</v>
      </c>
      <c r="DU149" s="59">
        <f t="shared" si="152"/>
        <v>532.90758914457615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0.16248512905697407</v>
      </c>
      <c r="EB149" s="21">
        <f>EXP(-LN(2)/25)*EB148+(1-EXP(-LN(2)/25))/(LN(2)/25)*Calculateur!DW149*Calculateur!DY149*VLOOKUP('Données projet'!$B$14,Paramètres!$A$1:$I$89,3,0)*0.475*44/12</f>
        <v>0.29611059344385382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0.45859572250082792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-1.7053025658242404E-13</v>
      </c>
      <c r="EK149" s="17">
        <f>EJ149*VLOOKUP('Données projet'!$B$15,Paramètres!$A$1:$I$89,3,0)*VLOOKUP('Données projet'!$B$15,Paramètres!$A$1:$I$89,5,0)</f>
        <v>-1.0197709343628959E-13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337.99164391755608</v>
      </c>
      <c r="EP149" s="59">
        <f t="shared" si="154"/>
        <v>421.45428231923393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27.3971321790379</v>
      </c>
      <c r="EW149" s="21">
        <f>EXP(-LN(2)/25)*EW148+(1-EXP(-LN(2)/25))/(LN(2)/25)*Calculateur!ER149*Calculateur!ET149*VLOOKUP('Données projet'!$B$15,Paramètres!$A$1:$I$89,3,0)*0.475*44/12</f>
        <v>3.6451882371775466</v>
      </c>
      <c r="EX149" s="21">
        <f>EXP(-LN(2)/2)*EX148+(1-EXP(-LN(2)/2))/(LN(2)/2)*ER149*EU149*VLOOKUP('Données projet'!$B$15,Paramètres!$A$1:$I$89,3,0)*0.475*44/12</f>
        <v>1.1484181340736521E-12</v>
      </c>
      <c r="EY149" s="22">
        <f t="shared" si="129"/>
        <v>31.042320416216594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5.1063034188034209</v>
      </c>
      <c r="N150" s="13">
        <f>IF('Données projet'!$A$36&gt;35,N149+M150-V149,IF(A150&lt;'Données projet'!$A$36,$K$205^A150,IF(A150='Données projet'!$A$36,'Données projet'!$B$36,N149+M150-V149)))</f>
        <v>292.97329059829013</v>
      </c>
      <c r="O150" s="13">
        <f>N150*VLOOKUP('Données projet'!$B$9,Paramètres!$A$1:$I$89,3,0)*VLOOKUP('Données projet'!$B$9,Paramètres!$A$1:$I$89,5,0)</f>
        <v>265.08223333333291</v>
      </c>
      <c r="P150" s="13">
        <f t="shared" si="141"/>
        <v>63.804481164271408</v>
      </c>
      <c r="Q150" s="20">
        <f t="shared" si="108"/>
        <v>572.8110277499942</v>
      </c>
      <c r="R150" s="59">
        <f t="shared" si="109"/>
        <v>859.14612024264261</v>
      </c>
      <c r="S150" s="59">
        <f ca="1">AVERAGE(OFFSET($R$3,0,0,'Données projet'!$E$9+1,1))-AVERAGE(OFFSET($H$3,0,0,'Données projet'!$E$9+1,1))</f>
        <v>388.1278150896951</v>
      </c>
      <c r="T150" s="59">
        <f t="shared" si="142"/>
        <v>232.26614607059227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40.221810449940577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40.221810449940577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5.1063034188034209</v>
      </c>
      <c r="AI150" s="13">
        <f>IF('Données projet'!$A$62&gt;35,AI149+AH150-AQ149,IF(A150&lt;'Données projet'!$A$62,$AF$205^A150,IF(A150='Données projet'!$A$62,'Données projet'!$B$62,AI149+AH150-AQ149)))</f>
        <v>292.97329059829013</v>
      </c>
      <c r="AJ150" s="13">
        <f>AI150*VLOOKUP('Données projet'!$B$10,Paramètres!$A$1:$I$89,3,0)*VLOOKUP('Données projet'!$B$10,Paramètres!$A$1:$I$89,5,0)</f>
        <v>297.07491666666618</v>
      </c>
      <c r="AK150" s="13">
        <f t="shared" si="143"/>
        <v>70.562904410355046</v>
      </c>
      <c r="AL150" s="20">
        <f t="shared" si="112"/>
        <v>640.30253837581188</v>
      </c>
      <c r="AM150" s="59">
        <f t="shared" si="113"/>
        <v>926.63763086846029</v>
      </c>
      <c r="AN150" s="59">
        <f ca="1">AVERAGE(OFFSET($AM$3,0,0,'Données projet'!$E$10+1,1))-AVERAGE(OFFSET($H$3,0,0,'Données projet'!$E$10+1,1))</f>
        <v>424.89201140676084</v>
      </c>
      <c r="AO150" s="59">
        <f t="shared" si="144"/>
        <v>253.0016648946303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45.076166883554116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45.076166883554116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5.1063034188034209</v>
      </c>
      <c r="BD150" s="12">
        <f>IF('Données projet'!$A$88&gt;35,BD149+BC150-BL149,IF(A150&lt;'Données projet'!$A$88,$BA$205^A150,IF(A150='Données projet'!$A$88,'Données projet'!$B$88,BD149+BC150-BL149)))</f>
        <v>292.97329059829013</v>
      </c>
      <c r="BE150" s="13">
        <f>BD150*VLOOKUP('Données projet'!$B$11,Paramètres!$A$1:$I$89,3,0)*VLOOKUP('Données projet'!$B$11,Paramètres!$A$1:$I$89,5,0)</f>
        <v>278.79338333333288</v>
      </c>
      <c r="BF150" s="13">
        <f t="shared" si="145"/>
        <v>66.711952037340495</v>
      </c>
      <c r="BG150" s="20">
        <f t="shared" si="115"/>
        <v>601.75512577058942</v>
      </c>
      <c r="BH150" s="59">
        <f t="shared" si="116"/>
        <v>888.09021826323783</v>
      </c>
      <c r="BI150" s="59">
        <f ca="1">AVERAGE(OFFSET($BH$3,0,0,'Données projet'!$E$11+1,1))-AVERAGE(OFFSET($H$3,0,0,'Données projet'!$E$11+1,1))</f>
        <v>403.89478276355294</v>
      </c>
      <c r="BJ150" s="59">
        <f t="shared" si="146"/>
        <v>241.1593989733278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42.30224892148923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42.30224892148923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319</v>
      </c>
      <c r="BZ150" s="13">
        <f>BY150*VLOOKUP('Données projet'!$B$12,Paramètres!$A$1:$I$89,3,0)*VLOOKUP('Données projet'!$B$12,Paramètres!$A$1:$I$89,5,0)</f>
        <v>253.79640000000001</v>
      </c>
      <c r="CA150" s="13">
        <f t="shared" si="147"/>
        <v>61.39816832228076</v>
      </c>
      <c r="CB150" s="20">
        <f t="shared" si="118"/>
        <v>548.96387316130563</v>
      </c>
      <c r="CC150" s="59">
        <f t="shared" si="119"/>
        <v>835.29896565395404</v>
      </c>
      <c r="CD150" s="59">
        <f ca="1">AVERAGE(OFFSET($CC$3,0,0,'Données projet'!$E$12+1,1))-AVERAGE(OFFSET($H$3,0,0,'Données projet'!$E$12+1,1))</f>
        <v>377.27600411578322</v>
      </c>
      <c r="CE150" s="59">
        <f t="shared" si="148"/>
        <v>364.58250627635425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11.879967384064294</v>
      </c>
      <c r="CL150" s="21">
        <f>EXP(-LN(2)/25)*CL149+(1-EXP(-LN(2)/25))/(LN(2)/25)*Calculateur!CG150*Calculateur!CI150*VLOOKUP('Données projet'!$B$12,Paramètres!$A$1:$I$89,3,0)*0.475*44/12</f>
        <v>1.1773949518931535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13.057362335957448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1.7053025658242404E-13</v>
      </c>
      <c r="CU150" s="17">
        <f>CT150*VLOOKUP('Données projet'!$B$13,Paramètres!$A$1:$I$89,3,0)*VLOOKUP('Données projet'!$B$13,Paramètres!$A$1:$I$89,5,0)</f>
        <v>1.3301360013429075E-13</v>
      </c>
      <c r="CV150" s="13">
        <f t="shared" si="149"/>
        <v>1.9329766731057041E-12</v>
      </c>
      <c r="CW150" s="20">
        <f t="shared" si="121"/>
        <v>3.5982663925596575E-12</v>
      </c>
      <c r="CX150" s="59">
        <f t="shared" si="122"/>
        <v>286.335092492652</v>
      </c>
      <c r="CY150" s="59">
        <f ca="1">AVERAGE(OFFSET($CX$3,0,0,'Données projet'!$E$13+1,1))-AVERAGE(OFFSET($H$3,0,0,'Données projet'!$E$13+1,1))</f>
        <v>308.82719216177946</v>
      </c>
      <c r="CZ150" s="59">
        <f t="shared" si="150"/>
        <v>302.59481222418219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17.311477645803873</v>
      </c>
      <c r="DG150" s="21">
        <f>EXP(-LN(2)/25)*DG149+(1-EXP(-LN(2)/25))/(LN(2)/25)*Calculateur!DB150*Calculateur!DD150*VLOOKUP('Données projet'!$B$13,Paramètres!$A$1:$I$89,3,0)*0.475*44/12</f>
        <v>7.8456971084343508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25.157174754238223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304.99999999999983</v>
      </c>
      <c r="DP150" s="17">
        <f>DO150*VLOOKUP('Données projet'!$B$14,Paramètres!$A$1:$I$89,3,0)*VLOOKUP('Données projet'!$B$14,Paramètres!$A$1:$I$89,5,0)</f>
        <v>275.96399999999983</v>
      </c>
      <c r="DQ150" s="13">
        <f t="shared" si="151"/>
        <v>66.113366665488854</v>
      </c>
      <c r="DR150" s="20">
        <f t="shared" si="124"/>
        <v>595.78474694239264</v>
      </c>
      <c r="DS150" s="59">
        <f t="shared" si="125"/>
        <v>882.11983943504106</v>
      </c>
      <c r="DT150" s="59">
        <f ca="1">AVERAGE(OFFSET($DS$3,0,0,'Données projet'!$E$14+1,1))-AVERAGE(OFFSET($H$3,0,0,'Données projet'!$E$14+1,1))</f>
        <v>376.51107072413777</v>
      </c>
      <c r="DU150" s="59">
        <f t="shared" si="152"/>
        <v>532.90758914457615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0.1592988947823096</v>
      </c>
      <c r="EB150" s="21">
        <f>EXP(-LN(2)/25)*EB149+(1-EXP(-LN(2)/25))/(LN(2)/25)*Calculateur!DW150*Calculateur!DY150*VLOOKUP('Données projet'!$B$14,Paramètres!$A$1:$I$89,3,0)*0.475*44/12</f>
        <v>0.28801343369435228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0.44731232847666191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-1.7053025658242404E-13</v>
      </c>
      <c r="EK150" s="17">
        <f>EJ150*VLOOKUP('Données projet'!$B$15,Paramètres!$A$1:$I$89,3,0)*VLOOKUP('Données projet'!$B$15,Paramètres!$A$1:$I$89,5,0)</f>
        <v>-1.0197709343628959E-13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337.99164391755608</v>
      </c>
      <c r="EP150" s="59">
        <f t="shared" si="154"/>
        <v>421.45428231923393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26.859891127607561</v>
      </c>
      <c r="EW150" s="21">
        <f>EXP(-LN(2)/25)*EW149+(1-EXP(-LN(2)/25))/(LN(2)/25)*Calculateur!ER150*Calculateur!ET150*VLOOKUP('Données projet'!$B$15,Paramètres!$A$1:$I$89,3,0)*0.475*44/12</f>
        <v>3.5455103731398085</v>
      </c>
      <c r="EX150" s="21">
        <f>EXP(-LN(2)/2)*EX149+(1-EXP(-LN(2)/2))/(LN(2)/2)*ER150*EU150*VLOOKUP('Données projet'!$B$15,Paramètres!$A$1:$I$89,3,0)*0.475*44/12</f>
        <v>8.1205425024108113E-13</v>
      </c>
      <c r="EY150" s="22">
        <f t="shared" si="129"/>
        <v>30.405401500748184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5.1063034188034209</v>
      </c>
      <c r="N151" s="13">
        <f>IF('Données projet'!$A$36&gt;35,N150+M151-V150,IF(A151&lt;'Données projet'!$A$36,$K$205^A151,IF(A151='Données projet'!$A$36,'Données projet'!$B$36,N150+M151-V150)))</f>
        <v>298.07959401709354</v>
      </c>
      <c r="O151" s="13">
        <f>N151*VLOOKUP('Données projet'!$B$9,Paramètres!$A$1:$I$89,3,0)*VLOOKUP('Données projet'!$B$9,Paramètres!$A$1:$I$89,5,0)</f>
        <v>269.70241666666624</v>
      </c>
      <c r="P151" s="13">
        <f t="shared" si="141"/>
        <v>64.786110541238813</v>
      </c>
      <c r="Q151" s="20">
        <f t="shared" si="108"/>
        <v>582.56751822043464</v>
      </c>
      <c r="R151" s="59">
        <f t="shared" si="109"/>
        <v>869.02401454594633</v>
      </c>
      <c r="S151" s="59">
        <f ca="1">AVERAGE(OFFSET($R$3,0,0,'Données projet'!$E$9+1,1))-AVERAGE(OFFSET($H$3,0,0,'Données projet'!$E$9+1,1))</f>
        <v>388.1278150896951</v>
      </c>
      <c r="T151" s="59">
        <f t="shared" si="142"/>
        <v>232.26614607059227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39.433085279899196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39.433085279899196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5.1063034188034209</v>
      </c>
      <c r="AI151" s="13">
        <f>IF('Données projet'!$A$62&gt;35,AI150+AH151-AQ150,IF(A151&lt;'Données projet'!$A$62,$AF$205^A151,IF(A151='Données projet'!$A$62,'Données projet'!$B$62,AI150+AH151-AQ150)))</f>
        <v>298.07959401709354</v>
      </c>
      <c r="AJ151" s="13">
        <f>AI151*VLOOKUP('Données projet'!$B$10,Paramètres!$A$1:$I$89,3,0)*VLOOKUP('Données projet'!$B$10,Paramètres!$A$1:$I$89,5,0)</f>
        <v>302.25270833333286</v>
      </c>
      <c r="AK151" s="13">
        <f t="shared" si="143"/>
        <v>71.648511857189575</v>
      </c>
      <c r="AL151" s="20">
        <f t="shared" si="112"/>
        <v>651.21129183182666</v>
      </c>
      <c r="AM151" s="59">
        <f t="shared" si="113"/>
        <v>937.66778815733835</v>
      </c>
      <c r="AN151" s="59">
        <f ca="1">AVERAGE(OFFSET($AM$3,0,0,'Données projet'!$E$10+1,1))-AVERAGE(OFFSET($H$3,0,0,'Données projet'!$E$10+1,1))</f>
        <v>424.89201140676084</v>
      </c>
      <c r="AO151" s="59">
        <f t="shared" si="144"/>
        <v>253.0016648946303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44.192250744714634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44.192250744714634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5.1063034188034209</v>
      </c>
      <c r="BD151" s="12">
        <f>IF('Données projet'!$A$88&gt;35,BD150+BC151-BL150,IF(A151&lt;'Données projet'!$A$88,$BA$205^A151,IF(A151='Données projet'!$A$88,'Données projet'!$B$88,BD150+BC151-BL150)))</f>
        <v>298.07959401709354</v>
      </c>
      <c r="BE151" s="13">
        <f>BD151*VLOOKUP('Données projet'!$B$11,Paramètres!$A$1:$I$89,3,0)*VLOOKUP('Données projet'!$B$11,Paramètres!$A$1:$I$89,5,0)</f>
        <v>283.6525416666662</v>
      </c>
      <c r="BF151" s="13">
        <f t="shared" si="145"/>
        <v>67.738312736773068</v>
      </c>
      <c r="BG151" s="20">
        <f t="shared" si="115"/>
        <v>612.00573808599006</v>
      </c>
      <c r="BH151" s="59">
        <f t="shared" si="116"/>
        <v>898.46223441150175</v>
      </c>
      <c r="BI151" s="59">
        <f ca="1">AVERAGE(OFFSET($BH$3,0,0,'Données projet'!$E$11+1,1))-AVERAGE(OFFSET($H$3,0,0,'Données projet'!$E$11+1,1))</f>
        <v>403.89478276355294</v>
      </c>
      <c r="BJ151" s="59">
        <f t="shared" si="146"/>
        <v>241.1593989733278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41.472727621962953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41.472727621962953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319</v>
      </c>
      <c r="BZ151" s="13">
        <f>BY151*VLOOKUP('Données projet'!$B$12,Paramètres!$A$1:$I$89,3,0)*VLOOKUP('Données projet'!$B$12,Paramètres!$A$1:$I$89,5,0)</f>
        <v>253.79640000000001</v>
      </c>
      <c r="CA151" s="13">
        <f t="shared" si="147"/>
        <v>61.39816832228076</v>
      </c>
      <c r="CB151" s="20">
        <f t="shared" si="118"/>
        <v>548.96387316130563</v>
      </c>
      <c r="CC151" s="59">
        <f t="shared" si="119"/>
        <v>835.42036948681732</v>
      </c>
      <c r="CD151" s="59">
        <f ca="1">AVERAGE(OFFSET($CC$3,0,0,'Données projet'!$E$12+1,1))-AVERAGE(OFFSET($H$3,0,0,'Données projet'!$E$12+1,1))</f>
        <v>377.27600411578322</v>
      </c>
      <c r="CE151" s="59">
        <f t="shared" si="148"/>
        <v>364.58250627635425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11.647008469727409</v>
      </c>
      <c r="CL151" s="21">
        <f>EXP(-LN(2)/25)*CL150+(1-EXP(-LN(2)/25))/(LN(2)/25)*Calculateur!CG151*Calculateur!CI151*VLOOKUP('Données projet'!$B$12,Paramètres!$A$1:$I$89,3,0)*0.475*44/12</f>
        <v>1.1451990250171256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12.792207494744535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1.7053025658242404E-13</v>
      </c>
      <c r="CU151" s="17">
        <f>CT151*VLOOKUP('Données projet'!$B$13,Paramètres!$A$1:$I$89,3,0)*VLOOKUP('Données projet'!$B$13,Paramètres!$A$1:$I$89,5,0)</f>
        <v>1.3301360013429075E-13</v>
      </c>
      <c r="CV151" s="13">
        <f t="shared" si="149"/>
        <v>1.9329766731057041E-12</v>
      </c>
      <c r="CW151" s="20">
        <f t="shared" si="121"/>
        <v>3.5982663925596575E-12</v>
      </c>
      <c r="CX151" s="59">
        <f t="shared" si="122"/>
        <v>286.45649632551527</v>
      </c>
      <c r="CY151" s="59">
        <f ca="1">AVERAGE(OFFSET($CX$3,0,0,'Données projet'!$E$13+1,1))-AVERAGE(OFFSET($H$3,0,0,'Données projet'!$E$13+1,1))</f>
        <v>308.82719216177946</v>
      </c>
      <c r="CZ151" s="59">
        <f t="shared" si="150"/>
        <v>302.59481222418219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16.972010128128414</v>
      </c>
      <c r="DG151" s="21">
        <f>EXP(-LN(2)/25)*DG150+(1-EXP(-LN(2)/25))/(LN(2)/25)*Calculateur!DB151*Calculateur!DD151*VLOOKUP('Données projet'!$B$13,Paramètres!$A$1:$I$89,3,0)*0.475*44/12</f>
        <v>7.6311561084169339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24.603166236545349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304.99999999999983</v>
      </c>
      <c r="DP151" s="17">
        <f>DO151*VLOOKUP('Données projet'!$B$14,Paramètres!$A$1:$I$89,3,0)*VLOOKUP('Données projet'!$B$14,Paramètres!$A$1:$I$89,5,0)</f>
        <v>275.96399999999983</v>
      </c>
      <c r="DQ151" s="13">
        <f t="shared" si="151"/>
        <v>66.113366665488854</v>
      </c>
      <c r="DR151" s="20">
        <f t="shared" si="124"/>
        <v>595.78474694239264</v>
      </c>
      <c r="DS151" s="59">
        <f t="shared" si="125"/>
        <v>882.24124326790434</v>
      </c>
      <c r="DT151" s="59">
        <f ca="1">AVERAGE(OFFSET($DS$3,0,0,'Données projet'!$E$14+1,1))-AVERAGE(OFFSET($H$3,0,0,'Données projet'!$E$14+1,1))</f>
        <v>376.51107072413777</v>
      </c>
      <c r="DU151" s="59">
        <f t="shared" si="152"/>
        <v>532.90758914457615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0.1561751406183603</v>
      </c>
      <c r="EB151" s="21">
        <f>EXP(-LN(2)/25)*EB150+(1-EXP(-LN(2)/25))/(LN(2)/25)*Calculateur!DW151*Calculateur!DY151*VLOOKUP('Données projet'!$B$14,Paramètres!$A$1:$I$89,3,0)*0.475*44/12</f>
        <v>0.280137691204012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0.43631283182237229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-1.7053025658242404E-13</v>
      </c>
      <c r="EK151" s="17">
        <f>EJ151*VLOOKUP('Données projet'!$B$15,Paramètres!$A$1:$I$89,3,0)*VLOOKUP('Données projet'!$B$15,Paramètres!$A$1:$I$89,5,0)</f>
        <v>-1.0197709343628959E-13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337.99164391755608</v>
      </c>
      <c r="EP151" s="59">
        <f t="shared" si="154"/>
        <v>421.45428231923393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26.333185045511087</v>
      </c>
      <c r="EW151" s="21">
        <f>EXP(-LN(2)/25)*EW150+(1-EXP(-LN(2)/25))/(LN(2)/25)*Calculateur!ER151*Calculateur!ET151*VLOOKUP('Données projet'!$B$15,Paramètres!$A$1:$I$89,3,0)*0.475*44/12</f>
        <v>3.4485582055360133</v>
      </c>
      <c r="EX151" s="21">
        <f>EXP(-LN(2)/2)*EX150+(1-EXP(-LN(2)/2))/(LN(2)/2)*ER151*EU151*VLOOKUP('Données projet'!$B$15,Paramètres!$A$1:$I$89,3,0)*0.475*44/12</f>
        <v>5.7420906703682605E-13</v>
      </c>
      <c r="EY151" s="22">
        <f t="shared" si="129"/>
        <v>29.781743251047676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>
        <f>VLOOKUP(A152,'Données projet'!$A$35:$I$55,2,0)</f>
        <v>303.18589743589746</v>
      </c>
      <c r="L152" s="12">
        <f>VLOOKUP(A152,'Données projet'!$A$35:$I$55,9,0)</f>
        <v>5.1063034188034209</v>
      </c>
      <c r="M152" s="12">
        <f t="array" ref="M152">INDEX(L:L,MIN(IF(ISNUMBER(L152:L348),ROW(L152:L348),"")))</f>
        <v>5.1063034188034209</v>
      </c>
      <c r="N152" s="13">
        <f>IF('Données projet'!$A$36&gt;35,N151+M152-V151,IF(A152&lt;'Données projet'!$A$36,$K$205^A152,IF(A152='Données projet'!$A$36,'Données projet'!$B$36,N151+M152-V151)))</f>
        <v>303.18589743589695</v>
      </c>
      <c r="O152" s="13">
        <f>N152*VLOOKUP('Données projet'!$B$9,Paramètres!$A$1:$I$89,3,0)*VLOOKUP('Données projet'!$B$9,Paramètres!$A$1:$I$89,5,0)</f>
        <v>274.32259999999957</v>
      </c>
      <c r="P152" s="13">
        <f t="shared" si="141"/>
        <v>65.765784388426695</v>
      </c>
      <c r="Q152" s="20">
        <f t="shared" si="108"/>
        <v>592.3206028098424</v>
      </c>
      <c r="R152" s="59">
        <f t="shared" si="109"/>
        <v>878.89639688313548</v>
      </c>
      <c r="S152" s="59">
        <f ca="1">AVERAGE(OFFSET($R$3,0,0,'Données projet'!$E$9+1,1))-AVERAGE(OFFSET($H$3,0,0,'Données projet'!$E$9+1,1))</f>
        <v>388.1278150896951</v>
      </c>
      <c r="T152" s="59">
        <f t="shared" si="142"/>
        <v>232.26614607059227</v>
      </c>
      <c r="U152" s="15">
        <f>IF(ISNA(VLOOKUP(A152,'Données projet'!$A$35:$I$55,3,0)),0,VLOOKUP(A152,'Données projet'!$A$35:$I$55,3,0))</f>
        <v>12</v>
      </c>
      <c r="V152" s="15">
        <f>IF(ISNA(VLOOKUP(A152,'Données projet'!$A$35:$I$55,4,0)),0,VLOOKUP(A152,'Données projet'!$A$35:$I$55,4,0))</f>
        <v>120.50641025641026</v>
      </c>
      <c r="W152" s="16">
        <f>IF(ISNA(VLOOKUP(A152,'Données projet'!$A$35:$I$55,5,0)),0%,VLOOKUP(A152,'Données projet'!$A$35:$I$55,5,0)*VLOOKUP('Données projet'!$B$9,Paramètres!$A$1:$I$89,7,0))</f>
        <v>0.38700000000000001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85.306514891867181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85.306514891867181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>
        <f>VLOOKUP(A152,'Données projet'!$A$61:$I$81,2,0)</f>
        <v>303.18589743589746</v>
      </c>
      <c r="AG152" s="12">
        <f>VLOOKUP(A152,'Données projet'!$A$61:$I$81,9,0)</f>
        <v>5.1063034188034209</v>
      </c>
      <c r="AH152" s="12">
        <f t="array" ref="AH152">INDEX(AG:AG,MIN(IF(ISNUMBER(AG152:AG348),ROW(AG152:AG348),"")))</f>
        <v>5.1063034188034209</v>
      </c>
      <c r="AI152" s="13">
        <f>IF('Données projet'!$A$62&gt;35,AI151+AH152-AQ151,IF(A152&lt;'Données projet'!$A$62,$AF$205^A152,IF(A152='Données projet'!$A$62,'Données projet'!$B$62,AI151+AH152-AQ151)))</f>
        <v>303.18589743589695</v>
      </c>
      <c r="AJ152" s="13">
        <f>AI152*VLOOKUP('Données projet'!$B$10,Paramètres!$A$1:$I$89,3,0)*VLOOKUP('Données projet'!$B$10,Paramètres!$A$1:$I$89,5,0)</f>
        <v>307.43049999999948</v>
      </c>
      <c r="AK152" s="13">
        <f t="shared" si="143"/>
        <v>72.731956636788439</v>
      </c>
      <c r="AL152" s="20">
        <f t="shared" si="112"/>
        <v>662.11627864240563</v>
      </c>
      <c r="AM152" s="59">
        <f t="shared" si="113"/>
        <v>948.69207271569871</v>
      </c>
      <c r="AN152" s="59">
        <f ca="1">AVERAGE(OFFSET($AM$3,0,0,'Données projet'!$E$10+1,1))-AVERAGE(OFFSET($H$3,0,0,'Données projet'!$E$10+1,1))</f>
        <v>424.89201140676084</v>
      </c>
      <c r="AO152" s="59">
        <f t="shared" si="144"/>
        <v>253.0016648946303</v>
      </c>
      <c r="AP152" s="15">
        <f>IF(ISNA(VLOOKUP(A152,'Données projet'!$A$61:$I$81,3,0)),0,VLOOKUP(A152,'Données projet'!$A$61:$I$81,3,0))</f>
        <v>12</v>
      </c>
      <c r="AQ152" s="15">
        <f>IF(ISNA(VLOOKUP(A152,'Données projet'!$A$61:$I$81,4,0)),0,VLOOKUP(A152,'Données projet'!$A$61:$I$81,4,0))</f>
        <v>120.50641025641026</v>
      </c>
      <c r="AR152" s="16">
        <f>IF(ISNA(VLOOKUP(A152,'Données projet'!$A$61:$I$81,5,0)),0%,VLOOKUP(A152,'Données projet'!$A$61:$I$81,5,0)*VLOOKUP('Données projet'!$B$10,Paramètres!$A$1:$I$89,7,0))</f>
        <v>0.38700000000000001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95.602128758127037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95.602128758127037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>
        <f>VLOOKUP(A152,'Données projet'!$A$87:$I$107,2,0)</f>
        <v>303.18589743589746</v>
      </c>
      <c r="BB152" s="12">
        <f>VLOOKUP(A152,'Données projet'!$A$87:$I$107,9,0)</f>
        <v>5.1063034188034209</v>
      </c>
      <c r="BC152" s="12">
        <f t="array" ref="BC152">INDEX(BB:BB,MIN(IF(ISNUMBER(BB152:BB348),ROW(BB152:BB348),"")))</f>
        <v>5.1063034188034209</v>
      </c>
      <c r="BD152" s="12">
        <f>IF('Données projet'!$A$88&gt;35,BD151+BC152-BL151,IF(A152&lt;'Données projet'!$A$88,$BA$205^A152,IF(A152='Données projet'!$A$88,'Données projet'!$B$88,BD151+BC152-BL151)))</f>
        <v>303.18589743589695</v>
      </c>
      <c r="BE152" s="13">
        <f>BD152*VLOOKUP('Données projet'!$B$11,Paramètres!$A$1:$I$89,3,0)*VLOOKUP('Données projet'!$B$11,Paramètres!$A$1:$I$89,5,0)</f>
        <v>288.51169999999956</v>
      </c>
      <c r="BF152" s="13">
        <f t="shared" si="145"/>
        <v>68.762628795978529</v>
      </c>
      <c r="BG152" s="20">
        <f t="shared" si="115"/>
        <v>622.25278931966182</v>
      </c>
      <c r="BH152" s="59">
        <f t="shared" si="116"/>
        <v>908.8285833929549</v>
      </c>
      <c r="BI152" s="59">
        <f ca="1">AVERAGE(OFFSET($BH$3,0,0,'Données projet'!$E$11+1,1))-AVERAGE(OFFSET($H$3,0,0,'Données projet'!$E$11+1,1))</f>
        <v>403.89478276355294</v>
      </c>
      <c r="BJ152" s="59">
        <f t="shared" si="146"/>
        <v>241.1593989733278</v>
      </c>
      <c r="BK152" s="15">
        <f>IF(ISNA(VLOOKUP(A152,'Données projet'!$A$87:$I$107,3,0)),0,VLOOKUP(A152,'Données projet'!$A$87:$I$107,3,0))</f>
        <v>12</v>
      </c>
      <c r="BL152" s="15">
        <f>IF(ISNA(VLOOKUP(A152,'Données projet'!$A$87:$I$107,4,0)),0,VLOOKUP(A152,'Données projet'!$A$87:$I$107,4,0))</f>
        <v>120.50641025641026</v>
      </c>
      <c r="BM152" s="16">
        <f>IF(ISNA(VLOOKUP(A152,'Données projet'!$A$87:$I$107,5,0)),0%,VLOOKUP(A152,'Données projet'!$A$87:$I$107,5,0)*VLOOKUP('Données projet'!$B$11,Paramètres!$A$1:$I$89,7,0))</f>
        <v>0.38700000000000001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89.718920834549976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89.718920834549976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319</v>
      </c>
      <c r="BZ152" s="13">
        <f>BY152*VLOOKUP('Données projet'!$B$12,Paramètres!$A$1:$I$89,3,0)*VLOOKUP('Données projet'!$B$12,Paramètres!$A$1:$I$89,5,0)</f>
        <v>253.79640000000001</v>
      </c>
      <c r="CA152" s="13">
        <f t="shared" si="147"/>
        <v>61.39816832228076</v>
      </c>
      <c r="CB152" s="20">
        <f t="shared" si="118"/>
        <v>548.96387316130563</v>
      </c>
      <c r="CC152" s="59">
        <f t="shared" si="119"/>
        <v>835.53966723459871</v>
      </c>
      <c r="CD152" s="59">
        <f ca="1">AVERAGE(OFFSET($CC$3,0,0,'Données projet'!$E$12+1,1))-AVERAGE(OFFSET($H$3,0,0,'Données projet'!$E$12+1,1))</f>
        <v>377.27600411578322</v>
      </c>
      <c r="CE152" s="59">
        <f t="shared" si="148"/>
        <v>364.58250627635425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11.418617737609761</v>
      </c>
      <c r="CL152" s="21">
        <f>EXP(-LN(2)/25)*CL151+(1-EXP(-LN(2)/25))/(LN(2)/25)*Calculateur!CG152*Calculateur!CI152*VLOOKUP('Données projet'!$B$12,Paramètres!$A$1:$I$89,3,0)*0.475*44/12</f>
        <v>1.113883497454633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12.532501235064395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1.7053025658242404E-13</v>
      </c>
      <c r="CU152" s="17">
        <f>CT152*VLOOKUP('Données projet'!$B$13,Paramètres!$A$1:$I$89,3,0)*VLOOKUP('Données projet'!$B$13,Paramètres!$A$1:$I$89,5,0)</f>
        <v>1.3301360013429075E-13</v>
      </c>
      <c r="CV152" s="13">
        <f t="shared" si="149"/>
        <v>1.9329766731057041E-12</v>
      </c>
      <c r="CW152" s="20">
        <f t="shared" si="121"/>
        <v>3.5982663925596575E-12</v>
      </c>
      <c r="CX152" s="59">
        <f t="shared" si="122"/>
        <v>286.57579407329666</v>
      </c>
      <c r="CY152" s="59">
        <f ca="1">AVERAGE(OFFSET($CX$3,0,0,'Données projet'!$E$13+1,1))-AVERAGE(OFFSET($H$3,0,0,'Données projet'!$E$13+1,1))</f>
        <v>308.82719216177946</v>
      </c>
      <c r="CZ152" s="59">
        <f t="shared" si="150"/>
        <v>302.59481222418219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16.639199361419827</v>
      </c>
      <c r="DG152" s="21">
        <f>EXP(-LN(2)/25)*DG151+(1-EXP(-LN(2)/25))/(LN(2)/25)*Calculateur!DB152*Calculateur!DD152*VLOOKUP('Données projet'!$B$13,Paramètres!$A$1:$I$89,3,0)*0.475*44/12</f>
        <v>7.4224817433272143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24.061681104747041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304.99999999999983</v>
      </c>
      <c r="DP152" s="17">
        <f>DO152*VLOOKUP('Données projet'!$B$14,Paramètres!$A$1:$I$89,3,0)*VLOOKUP('Données projet'!$B$14,Paramètres!$A$1:$I$89,5,0)</f>
        <v>275.96399999999983</v>
      </c>
      <c r="DQ152" s="13">
        <f t="shared" si="151"/>
        <v>66.113366665488854</v>
      </c>
      <c r="DR152" s="20">
        <f t="shared" si="124"/>
        <v>595.78474694239264</v>
      </c>
      <c r="DS152" s="59">
        <f t="shared" si="125"/>
        <v>882.36054101568573</v>
      </c>
      <c r="DT152" s="59">
        <f ca="1">AVERAGE(OFFSET($DS$3,0,0,'Données projet'!$E$14+1,1))-AVERAGE(OFFSET($H$3,0,0,'Données projet'!$E$14+1,1))</f>
        <v>376.51107072413777</v>
      </c>
      <c r="DU152" s="59">
        <f t="shared" si="152"/>
        <v>532.90758914457615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0.15311264136826414</v>
      </c>
      <c r="EB152" s="21">
        <f>EXP(-LN(2)/25)*EB151+(1-EXP(-LN(2)/25))/(LN(2)/25)*Calculateur!DW152*Calculateur!DY152*VLOOKUP('Données projet'!$B$14,Paramètres!$A$1:$I$89,3,0)*0.475*44/12</f>
        <v>0.27247731130623737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0.4255899526745015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-1.7053025658242404E-13</v>
      </c>
      <c r="EK152" s="17">
        <f>EJ152*VLOOKUP('Données projet'!$B$15,Paramètres!$A$1:$I$89,3,0)*VLOOKUP('Données projet'!$B$15,Paramètres!$A$1:$I$89,5,0)</f>
        <v>-1.0197709343628959E-13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337.99164391755608</v>
      </c>
      <c r="EP152" s="59">
        <f t="shared" si="154"/>
        <v>421.45428231923393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25.816807348425534</v>
      </c>
      <c r="EW152" s="21">
        <f>EXP(-LN(2)/25)*EW151+(1-EXP(-LN(2)/25))/(LN(2)/25)*Calculateur!ER152*Calculateur!ET152*VLOOKUP('Données projet'!$B$15,Paramètres!$A$1:$I$89,3,0)*0.475*44/12</f>
        <v>3.3542572000538367</v>
      </c>
      <c r="EX152" s="21">
        <f>EXP(-LN(2)/2)*EX151+(1-EXP(-LN(2)/2))/(LN(2)/2)*ER152*EU152*VLOOKUP('Données projet'!$B$15,Paramètres!$A$1:$I$89,3,0)*0.475*44/12</f>
        <v>4.0602712512054057E-13</v>
      </c>
      <c r="EY152" s="22">
        <f t="shared" si="129"/>
        <v>29.171064548479777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3.0945512820512704</v>
      </c>
      <c r="N153" s="13">
        <f>IF('Données projet'!$A$36&gt;35,N152+M153-V152,IF(A153&lt;'Données projet'!$A$36,$K$205^A153,IF(A153='Données projet'!$A$36,'Données projet'!$B$36,N152+M153-V152)))</f>
        <v>185.77403846153794</v>
      </c>
      <c r="O153" s="13">
        <f>N153*VLOOKUP('Données projet'!$B$9,Paramètres!$A$1:$I$89,3,0)*VLOOKUP('Données projet'!$B$9,Paramètres!$A$1:$I$89,5,0)</f>
        <v>168.08834999999954</v>
      </c>
      <c r="P153" s="13">
        <f t="shared" si="141"/>
        <v>42.661596193999998</v>
      </c>
      <c r="Q153" s="20">
        <f t="shared" si="108"/>
        <v>367.05615628788252</v>
      </c>
      <c r="R153" s="59">
        <f t="shared" si="109"/>
        <v>653.74917855974286</v>
      </c>
      <c r="S153" s="59">
        <f ca="1">AVERAGE(OFFSET($R$3,0,0,'Données projet'!$E$9+1,1))-AVERAGE(OFFSET($H$3,0,0,'Données projet'!$E$9+1,1))</f>
        <v>388.1278150896951</v>
      </c>
      <c r="T153" s="59">
        <f t="shared" si="142"/>
        <v>232.26614607059227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83.633706166674031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83.633706166674031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3.0945512820512704</v>
      </c>
      <c r="AI153" s="13">
        <f>IF('Données projet'!$A$62&gt;35,AI152+AH153-AQ152,IF(A153&lt;'Données projet'!$A$62,$AF$205^A153,IF(A153='Données projet'!$A$62,'Données projet'!$B$62,AI152+AH153-AQ152)))</f>
        <v>185.77403846153794</v>
      </c>
      <c r="AJ153" s="13">
        <f>AI153*VLOOKUP('Données projet'!$B$10,Paramètres!$A$1:$I$89,3,0)*VLOOKUP('Données projet'!$B$10,Paramètres!$A$1:$I$89,5,0)</f>
        <v>188.37487499999949</v>
      </c>
      <c r="AK153" s="13">
        <f t="shared" si="143"/>
        <v>47.180481359608336</v>
      </c>
      <c r="AL153" s="20">
        <f t="shared" si="112"/>
        <v>410.25891232631693</v>
      </c>
      <c r="AM153" s="59">
        <f t="shared" si="113"/>
        <v>696.95193459817733</v>
      </c>
      <c r="AN153" s="59">
        <f ca="1">AVERAGE(OFFSET($AM$3,0,0,'Données projet'!$E$10+1,1))-AVERAGE(OFFSET($H$3,0,0,'Données projet'!$E$10+1,1))</f>
        <v>424.89201140676084</v>
      </c>
      <c r="AO153" s="59">
        <f t="shared" si="144"/>
        <v>253.0016648946303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93.727429324720916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93.727429324720916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3.0945512820512704</v>
      </c>
      <c r="BD153" s="12">
        <f>IF('Données projet'!$A$88&gt;35,BD152+BC153-BL152,IF(A153&lt;'Données projet'!$A$88,$BA$205^A153,IF(A153='Données projet'!$A$88,'Données projet'!$B$88,BD152+BC153-BL152)))</f>
        <v>185.77403846153794</v>
      </c>
      <c r="BE153" s="13">
        <f>BD153*VLOOKUP('Données projet'!$B$11,Paramètres!$A$1:$I$89,3,0)*VLOOKUP('Données projet'!$B$11,Paramètres!$A$1:$I$89,5,0)</f>
        <v>176.7825749999995</v>
      </c>
      <c r="BF153" s="13">
        <f t="shared" si="145"/>
        <v>44.605618715135201</v>
      </c>
      <c r="BG153" s="20">
        <f t="shared" si="115"/>
        <v>385.58443738719296</v>
      </c>
      <c r="BH153" s="59">
        <f t="shared" si="116"/>
        <v>672.27745965905331</v>
      </c>
      <c r="BI153" s="59">
        <f ca="1">AVERAGE(OFFSET($BH$3,0,0,'Données projet'!$E$11+1,1))-AVERAGE(OFFSET($H$3,0,0,'Données projet'!$E$11+1,1))</f>
        <v>403.89478276355294</v>
      </c>
      <c r="BJ153" s="59">
        <f t="shared" si="146"/>
        <v>241.1593989733278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87.959587520122696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87.959587520122696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319</v>
      </c>
      <c r="BZ153" s="13">
        <f>BY153*VLOOKUP('Données projet'!$B$12,Paramètres!$A$1:$I$89,3,0)*VLOOKUP('Données projet'!$B$12,Paramètres!$A$1:$I$89,5,0)</f>
        <v>253.79640000000001</v>
      </c>
      <c r="CA153" s="13">
        <f t="shared" si="147"/>
        <v>61.39816832228076</v>
      </c>
      <c r="CB153" s="20">
        <f t="shared" si="118"/>
        <v>548.96387316130563</v>
      </c>
      <c r="CC153" s="59">
        <f t="shared" si="119"/>
        <v>835.65689543316603</v>
      </c>
      <c r="CD153" s="59">
        <f ca="1">AVERAGE(OFFSET($CC$3,0,0,'Données projet'!$E$12+1,1))-AVERAGE(OFFSET($H$3,0,0,'Données projet'!$E$12+1,1))</f>
        <v>377.27600411578322</v>
      </c>
      <c r="CE153" s="59">
        <f t="shared" si="148"/>
        <v>364.58250627635425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11.19470560844435</v>
      </c>
      <c r="CL153" s="21">
        <f>EXP(-LN(2)/25)*CL152+(1-EXP(-LN(2)/25))/(LN(2)/25)*Calculateur!CG153*Calculateur!CI153*VLOOKUP('Données projet'!$B$12,Paramètres!$A$1:$I$89,3,0)*0.475*44/12</f>
        <v>1.0834242946401487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12.278129903084498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1.7053025658242404E-13</v>
      </c>
      <c r="CU153" s="17">
        <f>CT153*VLOOKUP('Données projet'!$B$13,Paramètres!$A$1:$I$89,3,0)*VLOOKUP('Données projet'!$B$13,Paramètres!$A$1:$I$89,5,0)</f>
        <v>1.3301360013429075E-13</v>
      </c>
      <c r="CV153" s="13">
        <f t="shared" si="149"/>
        <v>1.9329766731057041E-12</v>
      </c>
      <c r="CW153" s="20">
        <f t="shared" si="121"/>
        <v>3.5982663925596575E-12</v>
      </c>
      <c r="CX153" s="59">
        <f t="shared" si="122"/>
        <v>286.69302227186392</v>
      </c>
      <c r="CY153" s="59">
        <f ca="1">AVERAGE(OFFSET($CX$3,0,0,'Données projet'!$E$13+1,1))-AVERAGE(OFFSET($H$3,0,0,'Données projet'!$E$13+1,1))</f>
        <v>308.82719216177946</v>
      </c>
      <c r="CZ153" s="59">
        <f t="shared" si="150"/>
        <v>302.59481222418219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16.312914810851872</v>
      </c>
      <c r="DG153" s="21">
        <f>EXP(-LN(2)/25)*DG152+(1-EXP(-LN(2)/25))/(LN(2)/25)*Calculateur!DB153*Calculateur!DD153*VLOOKUP('Données projet'!$B$13,Paramètres!$A$1:$I$89,3,0)*0.475*44/12</f>
        <v>7.2195135897245812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23.532428400576453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304.99999999999983</v>
      </c>
      <c r="DP153" s="17">
        <f>DO153*VLOOKUP('Données projet'!$B$14,Paramètres!$A$1:$I$89,3,0)*VLOOKUP('Données projet'!$B$14,Paramètres!$A$1:$I$89,5,0)</f>
        <v>275.96399999999983</v>
      </c>
      <c r="DQ153" s="13">
        <f t="shared" si="151"/>
        <v>66.113366665488854</v>
      </c>
      <c r="DR153" s="20">
        <f t="shared" si="124"/>
        <v>595.78474694239264</v>
      </c>
      <c r="DS153" s="59">
        <f t="shared" si="125"/>
        <v>882.47776921425293</v>
      </c>
      <c r="DT153" s="59">
        <f ca="1">AVERAGE(OFFSET($DS$3,0,0,'Données projet'!$E$14+1,1))-AVERAGE(OFFSET($H$3,0,0,'Données projet'!$E$14+1,1))</f>
        <v>376.51107072413777</v>
      </c>
      <c r="DU153" s="59">
        <f t="shared" si="152"/>
        <v>532.90758914457615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0.15011019586052227</v>
      </c>
      <c r="EB153" s="21">
        <f>EXP(-LN(2)/25)*EB152+(1-EXP(-LN(2)/25))/(LN(2)/25)*Calculateur!DW153*Calculateur!DY153*VLOOKUP('Données projet'!$B$14,Paramètres!$A$1:$I$89,3,0)*0.475*44/12</f>
        <v>0.26502640489960927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0.41513660076013154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-1.7053025658242404E-13</v>
      </c>
      <c r="EK153" s="17">
        <f>EJ153*VLOOKUP('Données projet'!$B$15,Paramètres!$A$1:$I$89,3,0)*VLOOKUP('Données projet'!$B$15,Paramètres!$A$1:$I$89,5,0)</f>
        <v>-1.0197709343628959E-13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337.99164391755608</v>
      </c>
      <c r="EP153" s="59">
        <f t="shared" si="154"/>
        <v>421.45428231923393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25.310555503020534</v>
      </c>
      <c r="EW153" s="21">
        <f>EXP(-LN(2)/25)*EW152+(1-EXP(-LN(2)/25))/(LN(2)/25)*Calculateur!ER153*Calculateur!ET153*VLOOKUP('Données projet'!$B$15,Paramètres!$A$1:$I$89,3,0)*0.475*44/12</f>
        <v>3.2625348605256446</v>
      </c>
      <c r="EX153" s="21">
        <f>EXP(-LN(2)/2)*EX152+(1-EXP(-LN(2)/2))/(LN(2)/2)*ER153*EU153*VLOOKUP('Données projet'!$B$15,Paramètres!$A$1:$I$89,3,0)*0.475*44/12</f>
        <v>2.8710453351841303E-13</v>
      </c>
      <c r="EY153" s="22">
        <f t="shared" si="129"/>
        <v>28.573090363546466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3.0945512820512704</v>
      </c>
      <c r="N154" s="13">
        <f>IF('Données projet'!$A$36&gt;35,N153+M154-V153,IF(A154&lt;'Données projet'!$A$36,$K$205^A154,IF(A154='Données projet'!$A$36,'Données projet'!$B$36,N153+M154-V153)))</f>
        <v>188.86858974358921</v>
      </c>
      <c r="O154" s="13">
        <f>N154*VLOOKUP('Données projet'!$B$9,Paramètres!$A$1:$I$89,3,0)*VLOOKUP('Données projet'!$B$9,Paramètres!$A$1:$I$89,5,0)</f>
        <v>170.8882999999995</v>
      </c>
      <c r="P154" s="13">
        <f t="shared" si="141"/>
        <v>43.288912849762468</v>
      </c>
      <c r="Q154" s="20">
        <f t="shared" ref="Q154:Q203" si="162">(O154+P154)*0.475*44/12</f>
        <v>373.02531238000211</v>
      </c>
      <c r="R154" s="59">
        <f t="shared" si="109"/>
        <v>659.83352920326752</v>
      </c>
      <c r="S154" s="59">
        <f ca="1">AVERAGE(OFFSET($R$3,0,0,'Données projet'!$E$9+1,1))-AVERAGE(OFFSET($H$3,0,0,'Données projet'!$E$9+1,1))</f>
        <v>388.1278150896951</v>
      </c>
      <c r="T154" s="59">
        <f t="shared" si="142"/>
        <v>232.26614607059227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81.993700200269345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81.993700200269345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3.0945512820512704</v>
      </c>
      <c r="AI154" s="13">
        <f>IF('Données projet'!$A$62&gt;35,AI153+AH154-AQ153,IF(A154&lt;'Données projet'!$A$62,$AF$205^A154,IF(A154='Données projet'!$A$62,'Données projet'!$B$62,AI153+AH154-AQ153)))</f>
        <v>188.86858974358921</v>
      </c>
      <c r="AJ154" s="13">
        <f>AI154*VLOOKUP('Données projet'!$B$10,Paramètres!$A$1:$I$89,3,0)*VLOOKUP('Données projet'!$B$10,Paramètres!$A$1:$I$89,5,0)</f>
        <v>191.51274999999947</v>
      </c>
      <c r="AK154" s="13">
        <f t="shared" ref="AK154:AK203" si="164">EXP(-1.0587+0.8836*LN(AJ154)+0.284)</f>
        <v>47.874245879088207</v>
      </c>
      <c r="AL154" s="20">
        <f t="shared" ref="AL154:AL203" si="165">(AJ154+AK154)*0.475*44/12</f>
        <v>416.93235115607769</v>
      </c>
      <c r="AM154" s="59">
        <f t="shared" si="113"/>
        <v>703.74056797934304</v>
      </c>
      <c r="AN154" s="59">
        <f ca="1">AVERAGE(OFFSET($AM$3,0,0,'Données projet'!$E$10+1,1))-AVERAGE(OFFSET($H$3,0,0,'Données projet'!$E$10+1,1))</f>
        <v>424.89201140676084</v>
      </c>
      <c r="AO154" s="59">
        <f t="shared" si="144"/>
        <v>253.0016648946303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91.889491603750145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91.889491603750145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3.0945512820512704</v>
      </c>
      <c r="BD154" s="12">
        <f>IF('Données projet'!$A$88&gt;35,BD153+BC154-BL153,IF(A154&lt;'Données projet'!$A$88,$BA$205^A154,IF(A154='Données projet'!$A$88,'Données projet'!$B$88,BD153+BC154-BL153)))</f>
        <v>188.86858974358921</v>
      </c>
      <c r="BE154" s="13">
        <f>BD154*VLOOKUP('Données projet'!$B$11,Paramètres!$A$1:$I$89,3,0)*VLOOKUP('Données projet'!$B$11,Paramètres!$A$1:$I$89,5,0)</f>
        <v>179.72734999999949</v>
      </c>
      <c r="BF154" s="13">
        <f t="shared" ref="BF154:BF203" si="167">EXP(-1.0587+0.8836*LN(BE154)+0.284)</f>
        <v>45.261521214266992</v>
      </c>
      <c r="BG154" s="20">
        <f t="shared" ref="BG154:BG203" si="168">(BE154+BF154)*0.475*44/12</f>
        <v>391.85561736484743</v>
      </c>
      <c r="BH154" s="59">
        <f t="shared" si="116"/>
        <v>678.66383418811279</v>
      </c>
      <c r="BI154" s="59">
        <f ca="1">AVERAGE(OFFSET($BH$3,0,0,'Données projet'!$E$11+1,1))-AVERAGE(OFFSET($H$3,0,0,'Données projet'!$E$11+1,1))</f>
        <v>403.89478276355294</v>
      </c>
      <c r="BJ154" s="59">
        <f t="shared" si="146"/>
        <v>241.1593989733278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86.234753658903969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86.234753658903969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319</v>
      </c>
      <c r="BZ154" s="13">
        <f>BY154*VLOOKUP('Données projet'!$B$12,Paramètres!$A$1:$I$89,3,0)*VLOOKUP('Données projet'!$B$12,Paramètres!$A$1:$I$89,5,0)</f>
        <v>253.79640000000001</v>
      </c>
      <c r="CA154" s="13">
        <f t="shared" ref="CA154:CA203" si="170">EXP(-1.0587+0.8836*LN(BZ154)+0.284)</f>
        <v>61.39816832228076</v>
      </c>
      <c r="CB154" s="20">
        <f t="shared" ref="CB154:CB203" si="171">(BZ154+CA154)*0.475*44/12</f>
        <v>548.96387316130563</v>
      </c>
      <c r="CC154" s="59">
        <f t="shared" si="119"/>
        <v>835.77208998457104</v>
      </c>
      <c r="CD154" s="59">
        <f ca="1">AVERAGE(OFFSET($CC$3,0,0,'Données projet'!$E$12+1,1))-AVERAGE(OFFSET($H$3,0,0,'Données projet'!$E$12+1,1))</f>
        <v>377.27600411578322</v>
      </c>
      <c r="CE154" s="59">
        <f t="shared" si="148"/>
        <v>364.58250627635425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10.97518425955896</v>
      </c>
      <c r="CL154" s="21">
        <f>EXP(-LN(2)/25)*CL153+(1-EXP(-LN(2)/25))/(LN(2)/25)*Calculateur!CG154*Calculateur!CI154*VLOOKUP('Données projet'!$B$12,Paramètres!$A$1:$I$89,3,0)*0.475*44/12</f>
        <v>1.0537980003284064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12.028982259887366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1.7053025658242404E-13</v>
      </c>
      <c r="CU154" s="17">
        <f>CT154*VLOOKUP('Données projet'!$B$13,Paramètres!$A$1:$I$89,3,0)*VLOOKUP('Données projet'!$B$13,Paramètres!$A$1:$I$89,5,0)</f>
        <v>1.3301360013429075E-13</v>
      </c>
      <c r="CV154" s="13">
        <f t="shared" ref="CV154:CV203" si="173">EXP(-1.0587+0.8836*LN(CU154)+0.284)</f>
        <v>1.9329766731057041E-12</v>
      </c>
      <c r="CW154" s="20">
        <f t="shared" ref="CW154:CW203" si="174">(CU154+CV154)*0.475*44/12</f>
        <v>3.5982663925596575E-12</v>
      </c>
      <c r="CX154" s="59">
        <f t="shared" si="122"/>
        <v>286.80821682326894</v>
      </c>
      <c r="CY154" s="59">
        <f ca="1">AVERAGE(OFFSET($CX$3,0,0,'Données projet'!$E$13+1,1))-AVERAGE(OFFSET($H$3,0,0,'Données projet'!$E$13+1,1))</f>
        <v>308.82719216177946</v>
      </c>
      <c r="CZ154" s="59">
        <f t="shared" si="150"/>
        <v>302.59481222418219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15.993028501306631</v>
      </c>
      <c r="DG154" s="21">
        <f>EXP(-LN(2)/25)*DG153+(1-EXP(-LN(2)/25))/(LN(2)/25)*Calculateur!DB154*Calculateur!DD154*VLOOKUP('Données projet'!$B$13,Paramètres!$A$1:$I$89,3,0)*0.475*44/12</f>
        <v>7.0220956109558434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23.015124112262473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304.99999999999983</v>
      </c>
      <c r="DP154" s="17">
        <f>DO154*VLOOKUP('Données projet'!$B$14,Paramètres!$A$1:$I$89,3,0)*VLOOKUP('Données projet'!$B$14,Paramètres!$A$1:$I$89,5,0)</f>
        <v>275.96399999999983</v>
      </c>
      <c r="DQ154" s="13">
        <f t="shared" ref="DQ154:DQ203" si="176">EXP(-1.0587+0.8836*LN(DP154)+0.284)</f>
        <v>66.113366665488854</v>
      </c>
      <c r="DR154" s="20">
        <f t="shared" ref="DR154:DR203" si="177">(DP154+DQ154)*0.475*44/12</f>
        <v>595.78474694239264</v>
      </c>
      <c r="DS154" s="59">
        <f t="shared" si="125"/>
        <v>882.59296376565794</v>
      </c>
      <c r="DT154" s="59">
        <f ca="1">AVERAGE(OFFSET($DS$3,0,0,'Données projet'!$E$14+1,1))-AVERAGE(OFFSET($H$3,0,0,'Données projet'!$E$14+1,1))</f>
        <v>376.51107072413777</v>
      </c>
      <c r="DU154" s="59">
        <f t="shared" si="152"/>
        <v>532.90758914457615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0.14716662647787629</v>
      </c>
      <c r="EB154" s="21">
        <f>EXP(-LN(2)/25)*EB153+(1-EXP(-LN(2)/25))/(LN(2)/25)*Calculateur!DW154*Calculateur!DY154*VLOOKUP('Données projet'!$B$14,Paramètres!$A$1:$I$89,3,0)*0.475*44/12</f>
        <v>0.25777924392049656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0.40494587039837282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-1.7053025658242404E-13</v>
      </c>
      <c r="EK154" s="17">
        <f>EJ154*VLOOKUP('Données projet'!$B$15,Paramètres!$A$1:$I$89,3,0)*VLOOKUP('Données projet'!$B$15,Paramètres!$A$1:$I$89,5,0)</f>
        <v>-1.0197709343628959E-13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337.99164391755608</v>
      </c>
      <c r="EP154" s="59">
        <f t="shared" si="154"/>
        <v>421.45428231923393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24.814230947520791</v>
      </c>
      <c r="EW154" s="21">
        <f>EXP(-LN(2)/25)*EW153+(1-EXP(-LN(2)/25))/(LN(2)/25)*Calculateur!ER154*Calculateur!ET154*VLOOKUP('Données projet'!$B$15,Paramètres!$A$1:$I$89,3,0)*0.475*44/12</f>
        <v>3.173320673195319</v>
      </c>
      <c r="EX154" s="21">
        <f>EXP(-LN(2)/2)*EX153+(1-EXP(-LN(2)/2))/(LN(2)/2)*ER154*EU154*VLOOKUP('Données projet'!$B$15,Paramètres!$A$1:$I$89,3,0)*0.475*44/12</f>
        <v>2.0301356256027028E-13</v>
      </c>
      <c r="EY154" s="22">
        <f t="shared" ref="EY154:EY203" si="181">SUM(EV154:EX154)</f>
        <v>27.987551620716314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3.0945512820512704</v>
      </c>
      <c r="N155" s="13">
        <f>IF('Données projet'!$A$36&gt;35,N154+M155-V154,IF(A155&lt;'Données projet'!$A$36,$K$205^A155,IF(A155='Données projet'!$A$36,'Données projet'!$B$36,N154+M155-V154)))</f>
        <v>191.96314102564048</v>
      </c>
      <c r="O155" s="13">
        <f>N155*VLOOKUP('Données projet'!$B$9,Paramètres!$A$1:$I$89,3,0)*VLOOKUP('Données projet'!$B$9,Paramètres!$A$1:$I$89,5,0)</f>
        <v>173.6882499999995</v>
      </c>
      <c r="P155" s="13">
        <f t="shared" si="141"/>
        <v>43.915034185437626</v>
      </c>
      <c r="Q155" s="20">
        <f t="shared" si="162"/>
        <v>378.99238662296966</v>
      </c>
      <c r="R155" s="59">
        <f t="shared" si="109"/>
        <v>665.9137996297095</v>
      </c>
      <c r="S155" s="59">
        <f ca="1">AVERAGE(OFFSET($R$3,0,0,'Données projet'!$E$9+1,1))-AVERAGE(OFFSET($H$3,0,0,'Données projet'!$E$9+1,1))</f>
        <v>388.1278150896951</v>
      </c>
      <c r="T155" s="59">
        <f t="shared" si="142"/>
        <v>232.26614607059227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80.385853750560983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80.385853750560983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3.0945512820512704</v>
      </c>
      <c r="AI155" s="13">
        <f>IF('Données projet'!$A$62&gt;35,AI154+AH155-AQ154,IF(A155&lt;'Données projet'!$A$62,$AF$205^A155,IF(A155='Données projet'!$A$62,'Données projet'!$B$62,AI154+AH155-AQ154)))</f>
        <v>191.96314102564048</v>
      </c>
      <c r="AJ155" s="13">
        <f>AI155*VLOOKUP('Données projet'!$B$10,Paramètres!$A$1:$I$89,3,0)*VLOOKUP('Données projet'!$B$10,Paramètres!$A$1:$I$89,5,0)</f>
        <v>194.65062499999945</v>
      </c>
      <c r="AK155" s="13">
        <f t="shared" si="164"/>
        <v>48.566688465444784</v>
      </c>
      <c r="AL155" s="20">
        <f t="shared" si="165"/>
        <v>423.60348761898211</v>
      </c>
      <c r="AM155" s="59">
        <f t="shared" si="113"/>
        <v>710.52490062572201</v>
      </c>
      <c r="AN155" s="59">
        <f ca="1">AVERAGE(OFFSET($AM$3,0,0,'Données projet'!$E$10+1,1))-AVERAGE(OFFSET($H$3,0,0,'Données projet'!$E$10+1,1))</f>
        <v>424.89201140676084</v>
      </c>
      <c r="AO155" s="59">
        <f t="shared" si="144"/>
        <v>253.0016648946303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90.087594720456295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90.087594720456295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3.0945512820512704</v>
      </c>
      <c r="BD155" s="12">
        <f>IF('Données projet'!$A$88&gt;35,BD154+BC155-BL154,IF(A155&lt;'Données projet'!$A$88,$BA$205^A155,IF(A155='Données projet'!$A$88,'Données projet'!$B$88,BD154+BC155-BL154)))</f>
        <v>191.96314102564048</v>
      </c>
      <c r="BE155" s="13">
        <f>BD155*VLOOKUP('Données projet'!$B$11,Paramètres!$A$1:$I$89,3,0)*VLOOKUP('Données projet'!$B$11,Paramètres!$A$1:$I$89,5,0)</f>
        <v>182.67212499999948</v>
      </c>
      <c r="BF155" s="13">
        <f t="shared" si="167"/>
        <v>45.916173924435952</v>
      </c>
      <c r="BG155" s="20">
        <f t="shared" si="168"/>
        <v>398.12462062672506</v>
      </c>
      <c r="BH155" s="59">
        <f t="shared" si="116"/>
        <v>685.04603363346496</v>
      </c>
      <c r="BI155" s="59">
        <f ca="1">AVERAGE(OFFSET($BH$3,0,0,'Données projet'!$E$11+1,1))-AVERAGE(OFFSET($H$3,0,0,'Données projet'!$E$11+1,1))</f>
        <v>403.89478276355294</v>
      </c>
      <c r="BJ155" s="59">
        <f t="shared" si="146"/>
        <v>241.1593989733278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84.543742737658974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84.543742737658974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319</v>
      </c>
      <c r="BZ155" s="13">
        <f>BY155*VLOOKUP('Données projet'!$B$12,Paramètres!$A$1:$I$89,3,0)*VLOOKUP('Données projet'!$B$12,Paramètres!$A$1:$I$89,5,0)</f>
        <v>253.79640000000001</v>
      </c>
      <c r="CA155" s="13">
        <f t="shared" si="170"/>
        <v>61.39816832228076</v>
      </c>
      <c r="CB155" s="20">
        <f t="shared" si="171"/>
        <v>548.96387316130563</v>
      </c>
      <c r="CC155" s="59">
        <f t="shared" si="119"/>
        <v>835.88528616804547</v>
      </c>
      <c r="CD155" s="59">
        <f ca="1">AVERAGE(OFFSET($CC$3,0,0,'Données projet'!$E$12+1,1))-AVERAGE(OFFSET($H$3,0,0,'Données projet'!$E$12+1,1))</f>
        <v>377.27600411578322</v>
      </c>
      <c r="CE155" s="59">
        <f t="shared" si="148"/>
        <v>364.58250627635425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10.75996759043041</v>
      </c>
      <c r="CL155" s="21">
        <f>EXP(-LN(2)/25)*CL154+(1-EXP(-LN(2)/25))/(LN(2)/25)*Calculateur!CG155*Calculateur!CI155*VLOOKUP('Données projet'!$B$12,Paramètres!$A$1:$I$89,3,0)*0.475*44/12</f>
        <v>1.0249818385925977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11.784949429023008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1.7053025658242404E-13</v>
      </c>
      <c r="CU155" s="17">
        <f>CT155*VLOOKUP('Données projet'!$B$13,Paramètres!$A$1:$I$89,3,0)*VLOOKUP('Données projet'!$B$13,Paramètres!$A$1:$I$89,5,0)</f>
        <v>1.3301360013429075E-13</v>
      </c>
      <c r="CV155" s="13">
        <f t="shared" si="173"/>
        <v>1.9329766731057041E-12</v>
      </c>
      <c r="CW155" s="20">
        <f t="shared" si="174"/>
        <v>3.5982663925596575E-12</v>
      </c>
      <c r="CX155" s="59">
        <f t="shared" si="122"/>
        <v>286.92141300674348</v>
      </c>
      <c r="CY155" s="59">
        <f ca="1">AVERAGE(OFFSET($CX$3,0,0,'Données projet'!$E$13+1,1))-AVERAGE(OFFSET($H$3,0,0,'Données projet'!$E$13+1,1))</f>
        <v>308.82719216177946</v>
      </c>
      <c r="CZ155" s="59">
        <f t="shared" si="150"/>
        <v>302.59481222418219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15.679414967180188</v>
      </c>
      <c r="DG155" s="21">
        <f>EXP(-LN(2)/25)*DG154+(1-EXP(-LN(2)/25))/(LN(2)/25)*Calculateur!DB155*Calculateur!DD155*VLOOKUP('Données projet'!$B$13,Paramètres!$A$1:$I$89,3,0)*0.475*44/12</f>
        <v>6.8300760371982969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22.509491004378486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304.99999999999983</v>
      </c>
      <c r="DP155" s="17">
        <f>DO155*VLOOKUP('Données projet'!$B$14,Paramètres!$A$1:$I$89,3,0)*VLOOKUP('Données projet'!$B$14,Paramètres!$A$1:$I$89,5,0)</f>
        <v>275.96399999999983</v>
      </c>
      <c r="DQ155" s="13">
        <f t="shared" si="176"/>
        <v>66.113366665488854</v>
      </c>
      <c r="DR155" s="20">
        <f t="shared" si="177"/>
        <v>595.78474694239264</v>
      </c>
      <c r="DS155" s="59">
        <f t="shared" si="125"/>
        <v>882.7061599491326</v>
      </c>
      <c r="DT155" s="59">
        <f ca="1">AVERAGE(OFFSET($DS$3,0,0,'Données projet'!$E$14+1,1))-AVERAGE(OFFSET($H$3,0,0,'Données projet'!$E$14+1,1))</f>
        <v>376.51107072413777</v>
      </c>
      <c r="DU155" s="59">
        <f t="shared" si="152"/>
        <v>532.90758914457615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0.14428077869542394</v>
      </c>
      <c r="EB155" s="21">
        <f>EXP(-LN(2)/25)*EB154+(1-EXP(-LN(2)/25))/(LN(2)/25)*Calculateur!DW155*Calculateur!DY155*VLOOKUP('Données projet'!$B$14,Paramètres!$A$1:$I$89,3,0)*0.475*44/12</f>
        <v>0.25073025693946932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0.39501103563489326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-1.7053025658242404E-13</v>
      </c>
      <c r="EK155" s="17">
        <f>EJ155*VLOOKUP('Données projet'!$B$15,Paramètres!$A$1:$I$89,3,0)*VLOOKUP('Données projet'!$B$15,Paramètres!$A$1:$I$89,5,0)</f>
        <v>-1.0197709343628959E-13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337.99164391755608</v>
      </c>
      <c r="EP155" s="59">
        <f t="shared" si="154"/>
        <v>421.45428231923393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24.32763901382631</v>
      </c>
      <c r="EW155" s="21">
        <f>EXP(-LN(2)/25)*EW154+(1-EXP(-LN(2)/25))/(LN(2)/25)*Calculateur!ER155*Calculateur!ET155*VLOOKUP('Données projet'!$B$15,Paramètres!$A$1:$I$89,3,0)*0.475*44/12</f>
        <v>3.0865460525091115</v>
      </c>
      <c r="EX155" s="21">
        <f>EXP(-LN(2)/2)*EX154+(1-EXP(-LN(2)/2))/(LN(2)/2)*ER155*EU155*VLOOKUP('Données projet'!$B$15,Paramètres!$A$1:$I$89,3,0)*0.475*44/12</f>
        <v>1.4355226675920651E-13</v>
      </c>
      <c r="EY155" s="22">
        <f t="shared" si="181"/>
        <v>27.414185066335563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>
        <f>VLOOKUP(A156,'Données projet'!$A$35:$I$55,2,0)</f>
        <v>195.05769230769226</v>
      </c>
      <c r="L156" s="12">
        <f>VLOOKUP(A156,'Données projet'!$A$35:$I$55,9,0)</f>
        <v>3.0945512820512704</v>
      </c>
      <c r="M156" s="12">
        <f t="array" ref="M156">INDEX(L:L,MIN(IF(ISNUMBER(L156:L352),ROW(L156:L352),"")))</f>
        <v>3.0945512820512704</v>
      </c>
      <c r="N156" s="13">
        <f>IF('Données projet'!$A$36&gt;35,N155+M156-V155,IF(A156&lt;'Données projet'!$A$36,$K$205^A156,IF(A156='Données projet'!$A$36,'Données projet'!$B$36,N155+M156-V155)))</f>
        <v>195.05769230769175</v>
      </c>
      <c r="O156" s="13">
        <f>N156*VLOOKUP('Données projet'!$B$9,Paramètres!$A$1:$I$89,3,0)*VLOOKUP('Données projet'!$B$9,Paramètres!$A$1:$I$89,5,0)</f>
        <v>176.48819999999949</v>
      </c>
      <c r="P156" s="13">
        <f t="shared" si="141"/>
        <v>44.539981694883714</v>
      </c>
      <c r="Q156" s="20">
        <f t="shared" si="162"/>
        <v>384.95741645192157</v>
      </c>
      <c r="R156" s="59">
        <f t="shared" si="109"/>
        <v>671.99006194142157</v>
      </c>
      <c r="S156" s="59">
        <f ca="1">AVERAGE(OFFSET($R$3,0,0,'Données projet'!$E$9+1,1))-AVERAGE(OFFSET($H$3,0,0,'Données projet'!$E$9+1,1))</f>
        <v>388.1278150896951</v>
      </c>
      <c r="T156" s="59">
        <f t="shared" si="142"/>
        <v>232.26614607059227</v>
      </c>
      <c r="U156" s="15">
        <f>IF(ISNA(VLOOKUP(A156,'Données projet'!$A$35:$I$55,3,0)),0,VLOOKUP(A156,'Données projet'!$A$35:$I$55,3,0))</f>
        <v>13</v>
      </c>
      <c r="V156" s="15">
        <f>IF(ISNA(VLOOKUP(A156,'Données projet'!$A$35:$I$55,4,0)),0,VLOOKUP(A156,'Données projet'!$A$35:$I$55,4,0))</f>
        <v>70.115384615384613</v>
      </c>
      <c r="W156" s="16">
        <f>IF(ISNA(VLOOKUP(A156,'Données projet'!$A$35:$I$55,5,0)),0%,VLOOKUP(A156,'Données projet'!$A$35:$I$55,5,0)*VLOOKUP('Données projet'!$B$9,Paramètres!$A$1:$I$89,7,0))</f>
        <v>0.38700000000000001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105.95042013547638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105.95042013547638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>
        <f>VLOOKUP(A156,'Données projet'!$A$61:$I$81,2,0)</f>
        <v>195.05769230769226</v>
      </c>
      <c r="AG156" s="12">
        <f>VLOOKUP(A156,'Données projet'!$A$61:$I$81,9,0)</f>
        <v>3.0945512820512704</v>
      </c>
      <c r="AH156" s="12">
        <f t="array" ref="AH156">INDEX(AG:AG,MIN(IF(ISNUMBER(AG156:AG352),ROW(AG156:AG352),"")))</f>
        <v>3.0945512820512704</v>
      </c>
      <c r="AI156" s="13">
        <f>IF('Données projet'!$A$62&gt;35,AI155+AH156-AQ155,IF(A156&lt;'Données projet'!$A$62,$AF$205^A156,IF(A156='Données projet'!$A$62,'Données projet'!$B$62,AI155+AH156-AQ155)))</f>
        <v>195.05769230769175</v>
      </c>
      <c r="AJ156" s="13">
        <f>AI156*VLOOKUP('Données projet'!$B$10,Paramètres!$A$1:$I$89,3,0)*VLOOKUP('Données projet'!$B$10,Paramètres!$A$1:$I$89,5,0)</f>
        <v>197.78849999999943</v>
      </c>
      <c r="AK156" s="13">
        <f t="shared" si="164"/>
        <v>49.257832889250977</v>
      </c>
      <c r="AL156" s="20">
        <f t="shared" si="165"/>
        <v>430.27236311544448</v>
      </c>
      <c r="AM156" s="59">
        <f t="shared" si="113"/>
        <v>717.30500860494453</v>
      </c>
      <c r="AN156" s="59">
        <f ca="1">AVERAGE(OFFSET($AM$3,0,0,'Données projet'!$E$10+1,1))-AVERAGE(OFFSET($H$3,0,0,'Données projet'!$E$10+1,1))</f>
        <v>424.89201140676084</v>
      </c>
      <c r="AO156" s="59">
        <f t="shared" si="144"/>
        <v>253.0016648946303</v>
      </c>
      <c r="AP156" s="15">
        <f>IF(ISNA(VLOOKUP(A156,'Données projet'!$A$61:$I$81,3,0)),0,VLOOKUP(A156,'Données projet'!$A$61:$I$81,3,0))</f>
        <v>13</v>
      </c>
      <c r="AQ156" s="15">
        <f>IF(ISNA(VLOOKUP(A156,'Données projet'!$A$61:$I$81,4,0)),0,VLOOKUP(A156,'Données projet'!$A$61:$I$81,4,0))</f>
        <v>70.115384615384613</v>
      </c>
      <c r="AR156" s="16">
        <f>IF(ISNA(VLOOKUP(A156,'Données projet'!$A$61:$I$81,5,0)),0%,VLOOKUP(A156,'Données projet'!$A$61:$I$81,5,0)*VLOOKUP('Données projet'!$B$10,Paramètres!$A$1:$I$89,7,0))</f>
        <v>0.38700000000000001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118.73753980699942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118.73753980699942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>
        <f>VLOOKUP(A156,'Données projet'!$A$87:$I$107,2,0)</f>
        <v>195.05769230769226</v>
      </c>
      <c r="BB156" s="12">
        <f>VLOOKUP(A156,'Données projet'!$A$87:$I$107,9,0)</f>
        <v>3.0945512820512704</v>
      </c>
      <c r="BC156" s="12">
        <f t="array" ref="BC156">INDEX(BB:BB,MIN(IF(ISNUMBER(BB156:BB352),ROW(BB156:BB352),"")))</f>
        <v>3.0945512820512704</v>
      </c>
      <c r="BD156" s="12">
        <f>IF('Données projet'!$A$88&gt;35,BD155+BC156-BL155,IF(A156&lt;'Données projet'!$A$88,$BA$205^A156,IF(A156='Données projet'!$A$88,'Données projet'!$B$88,BD155+BC156-BL155)))</f>
        <v>195.05769230769175</v>
      </c>
      <c r="BE156" s="13">
        <f>BD156*VLOOKUP('Données projet'!$B$11,Paramètres!$A$1:$I$89,3,0)*VLOOKUP('Données projet'!$B$11,Paramètres!$A$1:$I$89,5,0)</f>
        <v>185.61689999999948</v>
      </c>
      <c r="BF156" s="13">
        <f t="shared" si="167"/>
        <v>46.569599318942032</v>
      </c>
      <c r="BG156" s="20">
        <f t="shared" si="168"/>
        <v>404.39148631382312</v>
      </c>
      <c r="BH156" s="59">
        <f t="shared" si="116"/>
        <v>691.42413180332312</v>
      </c>
      <c r="BI156" s="59">
        <f ca="1">AVERAGE(OFFSET($BH$3,0,0,'Données projet'!$E$11+1,1))-AVERAGE(OFFSET($H$3,0,0,'Données projet'!$E$11+1,1))</f>
        <v>403.89478276355294</v>
      </c>
      <c r="BJ156" s="59">
        <f t="shared" si="146"/>
        <v>241.1593989733278</v>
      </c>
      <c r="BK156" s="15">
        <f>IF(ISNA(VLOOKUP(A156,'Données projet'!$A$87:$I$107,3,0)),0,VLOOKUP(A156,'Données projet'!$A$87:$I$107,3,0))</f>
        <v>13</v>
      </c>
      <c r="BL156" s="15">
        <f>IF(ISNA(VLOOKUP(A156,'Données projet'!$A$87:$I$107,4,0)),0,VLOOKUP(A156,'Données projet'!$A$87:$I$107,4,0))</f>
        <v>70.115384615384613</v>
      </c>
      <c r="BM156" s="16">
        <f>IF(ISNA(VLOOKUP(A156,'Données projet'!$A$87:$I$107,5,0)),0%,VLOOKUP(A156,'Données projet'!$A$87:$I$107,5,0)*VLOOKUP('Données projet'!$B$11,Paramètres!$A$1:$I$89,7,0))</f>
        <v>0.38700000000000001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111.43061428041483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111.43061428041483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319</v>
      </c>
      <c r="BZ156" s="13">
        <f>BY156*VLOOKUP('Données projet'!$B$12,Paramètres!$A$1:$I$89,3,0)*VLOOKUP('Données projet'!$B$12,Paramètres!$A$1:$I$89,5,0)</f>
        <v>253.79640000000001</v>
      </c>
      <c r="CA156" s="13">
        <f t="shared" si="170"/>
        <v>61.39816832228076</v>
      </c>
      <c r="CB156" s="20">
        <f t="shared" si="171"/>
        <v>548.96387316130563</v>
      </c>
      <c r="CC156" s="59">
        <f t="shared" si="119"/>
        <v>835.99651865080568</v>
      </c>
      <c r="CD156" s="59">
        <f ca="1">AVERAGE(OFFSET($CC$3,0,0,'Données projet'!$E$12+1,1))-AVERAGE(OFFSET($H$3,0,0,'Données projet'!$E$12+1,1))</f>
        <v>377.27600411578322</v>
      </c>
      <c r="CE156" s="59">
        <f t="shared" si="148"/>
        <v>364.58250627635425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10.548971188914264</v>
      </c>
      <c r="CL156" s="21">
        <f>EXP(-LN(2)/25)*CL155+(1-EXP(-LN(2)/25))/(LN(2)/25)*Calculateur!CG156*Calculateur!CI156*VLOOKUP('Données projet'!$B$12,Paramètres!$A$1:$I$89,3,0)*0.475*44/12</f>
        <v>0.9969536563148309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11.545924845229095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1.7053025658242404E-13</v>
      </c>
      <c r="CU156" s="17">
        <f>CT156*VLOOKUP('Données projet'!$B$13,Paramètres!$A$1:$I$89,3,0)*VLOOKUP('Données projet'!$B$13,Paramètres!$A$1:$I$89,5,0)</f>
        <v>1.3301360013429075E-13</v>
      </c>
      <c r="CV156" s="13">
        <f t="shared" si="173"/>
        <v>1.9329766731057041E-12</v>
      </c>
      <c r="CW156" s="20">
        <f t="shared" si="174"/>
        <v>3.5982663925596575E-12</v>
      </c>
      <c r="CX156" s="59">
        <f t="shared" si="122"/>
        <v>287.03264548950358</v>
      </c>
      <c r="CY156" s="59">
        <f ca="1">AVERAGE(OFFSET($CX$3,0,0,'Données projet'!$E$13+1,1))-AVERAGE(OFFSET($H$3,0,0,'Données projet'!$E$13+1,1))</f>
        <v>308.82719216177946</v>
      </c>
      <c r="CZ156" s="59">
        <f t="shared" si="150"/>
        <v>302.59481222418219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15.371951203172598</v>
      </c>
      <c r="DG156" s="21">
        <f>EXP(-LN(2)/25)*DG155+(1-EXP(-LN(2)/25))/(LN(2)/25)*Calculateur!DB156*Calculateur!DD156*VLOOKUP('Données projet'!$B$13,Paramètres!$A$1:$I$89,3,0)*0.475*44/12</f>
        <v>6.6433072487830209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22.015258451955617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304.99999999999983</v>
      </c>
      <c r="DP156" s="17">
        <f>DO156*VLOOKUP('Données projet'!$B$14,Paramètres!$A$1:$I$89,3,0)*VLOOKUP('Données projet'!$B$14,Paramètres!$A$1:$I$89,5,0)</f>
        <v>275.96399999999983</v>
      </c>
      <c r="DQ156" s="13">
        <f t="shared" si="176"/>
        <v>66.113366665488854</v>
      </c>
      <c r="DR156" s="20">
        <f t="shared" si="177"/>
        <v>595.78474694239264</v>
      </c>
      <c r="DS156" s="59">
        <f t="shared" si="125"/>
        <v>882.81739243189259</v>
      </c>
      <c r="DT156" s="59">
        <f ca="1">AVERAGE(OFFSET($DS$3,0,0,'Données projet'!$E$14+1,1))-AVERAGE(OFFSET($H$3,0,0,'Données projet'!$E$14+1,1))</f>
        <v>376.51107072413777</v>
      </c>
      <c r="DU156" s="59">
        <f t="shared" si="152"/>
        <v>532.90758914457615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0.14145152062779215</v>
      </c>
      <c r="EB156" s="21">
        <f>EXP(-LN(2)/25)*EB155+(1-EXP(-LN(2)/25))/(LN(2)/25)*Calculateur!DW156*Calculateur!DY156*VLOOKUP('Données projet'!$B$14,Paramètres!$A$1:$I$89,3,0)*0.475*44/12</f>
        <v>0.24387402487812837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0.38532554550592052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-1.7053025658242404E-13</v>
      </c>
      <c r="EK156" s="17">
        <f>EJ156*VLOOKUP('Données projet'!$B$15,Paramètres!$A$1:$I$89,3,0)*VLOOKUP('Données projet'!$B$15,Paramètres!$A$1:$I$89,5,0)</f>
        <v>-1.0197709343628959E-13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337.99164391755608</v>
      </c>
      <c r="EP156" s="59">
        <f t="shared" si="154"/>
        <v>421.45428231923393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23.850588851159806</v>
      </c>
      <c r="EW156" s="21">
        <f>EXP(-LN(2)/25)*EW155+(1-EXP(-LN(2)/25))/(LN(2)/25)*Calculateur!ER156*Calculateur!ET156*VLOOKUP('Données projet'!$B$15,Paramètres!$A$1:$I$89,3,0)*0.475*44/12</f>
        <v>3.0021442883888474</v>
      </c>
      <c r="EX156" s="21">
        <f>EXP(-LN(2)/2)*EX155+(1-EXP(-LN(2)/2))/(LN(2)/2)*ER156*EU156*VLOOKUP('Données projet'!$B$15,Paramètres!$A$1:$I$89,3,0)*0.475*44/12</f>
        <v>1.0150678128013514E-13</v>
      </c>
      <c r="EY156" s="22">
        <f t="shared" si="181"/>
        <v>26.852733139548757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1.8717948717948829</v>
      </c>
      <c r="N157" s="13">
        <f>IF('Données projet'!$A$36&gt;35,N156+M157-V156,IF(A157&lt;'Données projet'!$A$36,$K$205^A157,IF(A157='Données projet'!$A$36,'Données projet'!$B$36,N156+M157-V156)))</f>
        <v>126.81410256410203</v>
      </c>
      <c r="O157" s="13">
        <f>N157*VLOOKUP('Données projet'!$B$9,Paramètres!$A$1:$I$89,3,0)*VLOOKUP('Données projet'!$B$9,Paramètres!$A$1:$I$89,5,0)</f>
        <v>114.74139999999952</v>
      </c>
      <c r="P157" s="13">
        <f t="shared" si="141"/>
        <v>30.445336927793726</v>
      </c>
      <c r="Q157" s="20">
        <f t="shared" si="162"/>
        <v>252.86690014923991</v>
      </c>
      <c r="R157" s="59">
        <f t="shared" si="109"/>
        <v>540.00884848660269</v>
      </c>
      <c r="S157" s="59">
        <f ca="1">AVERAGE(OFFSET($R$3,0,0,'Données projet'!$E$9+1,1))-AVERAGE(OFFSET($H$3,0,0,'Données projet'!$E$9+1,1))</f>
        <v>388.1278150896951</v>
      </c>
      <c r="T157" s="59">
        <f t="shared" si="142"/>
        <v>232.26614607059227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103.87279701999493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103.87279701999493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1.8717948717948829</v>
      </c>
      <c r="AI157" s="13">
        <f>IF('Données projet'!$A$62&gt;35,AI156+AH157-AQ156,IF(A157&lt;'Données projet'!$A$62,$AF$205^A157,IF(A157='Données projet'!$A$62,'Données projet'!$B$62,AI156+AH157-AQ156)))</f>
        <v>126.81410256410203</v>
      </c>
      <c r="AJ157" s="13">
        <f>AI157*VLOOKUP('Données projet'!$B$10,Paramètres!$A$1:$I$89,3,0)*VLOOKUP('Données projet'!$B$10,Paramètres!$A$1:$I$89,5,0)</f>
        <v>128.58949999999948</v>
      </c>
      <c r="AK157" s="13">
        <f t="shared" si="164"/>
        <v>33.670227547903842</v>
      </c>
      <c r="AL157" s="20">
        <f t="shared" si="165"/>
        <v>282.60235881259825</v>
      </c>
      <c r="AM157" s="59">
        <f t="shared" si="113"/>
        <v>569.74430714996106</v>
      </c>
      <c r="AN157" s="59">
        <f ca="1">AVERAGE(OFFSET($AM$3,0,0,'Données projet'!$E$10+1,1))-AVERAGE(OFFSET($H$3,0,0,'Données projet'!$E$10+1,1))</f>
        <v>424.89201140676084</v>
      </c>
      <c r="AO157" s="59">
        <f t="shared" si="144"/>
        <v>253.0016648946303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116.40916907413229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116.40916907413229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1.8717948717948829</v>
      </c>
      <c r="BD157" s="12">
        <f>IF('Données projet'!$A$88&gt;35,BD156+BC157-BL156,IF(A157&lt;'Données projet'!$A$88,$BA$205^A157,IF(A157='Données projet'!$A$88,'Données projet'!$B$88,BD156+BC157-BL156)))</f>
        <v>126.81410256410203</v>
      </c>
      <c r="BE157" s="13">
        <f>BD157*VLOOKUP('Données projet'!$B$11,Paramètres!$A$1:$I$89,3,0)*VLOOKUP('Données projet'!$B$11,Paramètres!$A$1:$I$89,5,0)</f>
        <v>120.67629999999949</v>
      </c>
      <c r="BF157" s="13">
        <f t="shared" si="167"/>
        <v>31.83268353297078</v>
      </c>
      <c r="BG157" s="20">
        <f t="shared" si="168"/>
        <v>265.61981298658986</v>
      </c>
      <c r="BH157" s="59">
        <f t="shared" si="116"/>
        <v>552.76176132395267</v>
      </c>
      <c r="BI157" s="59">
        <f ca="1">AVERAGE(OFFSET($BH$3,0,0,'Données projet'!$E$11+1,1))-AVERAGE(OFFSET($H$3,0,0,'Données projet'!$E$11+1,1))</f>
        <v>403.89478276355294</v>
      </c>
      <c r="BJ157" s="59">
        <f t="shared" si="146"/>
        <v>241.1593989733278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109.24552790033952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109.24552790033952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319</v>
      </c>
      <c r="BZ157" s="13">
        <f>BY157*VLOOKUP('Données projet'!$B$12,Paramètres!$A$1:$I$89,3,0)*VLOOKUP('Données projet'!$B$12,Paramètres!$A$1:$I$89,5,0)</f>
        <v>253.79640000000001</v>
      </c>
      <c r="CA157" s="13">
        <f t="shared" si="170"/>
        <v>61.39816832228076</v>
      </c>
      <c r="CB157" s="20">
        <f t="shared" si="171"/>
        <v>548.96387316130563</v>
      </c>
      <c r="CC157" s="59">
        <f t="shared" si="119"/>
        <v>836.10582149866832</v>
      </c>
      <c r="CD157" s="59">
        <f ca="1">AVERAGE(OFFSET($CC$3,0,0,'Données projet'!$E$12+1,1))-AVERAGE(OFFSET($H$3,0,0,'Données projet'!$E$12+1,1))</f>
        <v>377.27600411578322</v>
      </c>
      <c r="CE157" s="59">
        <f t="shared" si="148"/>
        <v>364.58250627635425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10.342112298136753</v>
      </c>
      <c r="CL157" s="21">
        <f>EXP(-LN(2)/25)*CL156+(1-EXP(-LN(2)/25))/(LN(2)/25)*Calculateur!CG157*Calculateur!CI157*VLOOKUP('Données projet'!$B$12,Paramètres!$A$1:$I$89,3,0)*0.475*44/12</f>
        <v>0.96969190615538758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11.311804204292141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1.7053025658242404E-13</v>
      </c>
      <c r="CU157" s="17">
        <f>CT157*VLOOKUP('Données projet'!$B$13,Paramètres!$A$1:$I$89,3,0)*VLOOKUP('Données projet'!$B$13,Paramètres!$A$1:$I$89,5,0)</f>
        <v>1.3301360013429075E-13</v>
      </c>
      <c r="CV157" s="13">
        <f t="shared" si="173"/>
        <v>1.9329766731057041E-12</v>
      </c>
      <c r="CW157" s="20">
        <f t="shared" si="174"/>
        <v>3.5982663925596575E-12</v>
      </c>
      <c r="CX157" s="59">
        <f t="shared" si="122"/>
        <v>287.14194833736633</v>
      </c>
      <c r="CY157" s="59">
        <f ca="1">AVERAGE(OFFSET($CX$3,0,0,'Données projet'!$E$13+1,1))-AVERAGE(OFFSET($H$3,0,0,'Données projet'!$E$13+1,1))</f>
        <v>308.82719216177946</v>
      </c>
      <c r="CZ157" s="59">
        <f t="shared" si="150"/>
        <v>302.59481222418219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15.070516616042818</v>
      </c>
      <c r="DG157" s="21">
        <f>EXP(-LN(2)/25)*DG156+(1-EXP(-LN(2)/25))/(LN(2)/25)*Calculateur!DB157*Calculateur!DD157*VLOOKUP('Données projet'!$B$13,Paramètres!$A$1:$I$89,3,0)*0.475*44/12</f>
        <v>6.4616456627087047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21.532162278751521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304.99999999999983</v>
      </c>
      <c r="DP157" s="17">
        <f>DO157*VLOOKUP('Données projet'!$B$14,Paramètres!$A$1:$I$89,3,0)*VLOOKUP('Données projet'!$B$14,Paramètres!$A$1:$I$89,5,0)</f>
        <v>275.96399999999983</v>
      </c>
      <c r="DQ157" s="13">
        <f t="shared" si="176"/>
        <v>66.113366665488854</v>
      </c>
      <c r="DR157" s="20">
        <f t="shared" si="177"/>
        <v>595.78474694239264</v>
      </c>
      <c r="DS157" s="59">
        <f t="shared" si="125"/>
        <v>882.92669527975545</v>
      </c>
      <c r="DT157" s="59">
        <f ca="1">AVERAGE(OFFSET($DS$3,0,0,'Données projet'!$E$14+1,1))-AVERAGE(OFFSET($H$3,0,0,'Données projet'!$E$14+1,1))</f>
        <v>376.51107072413777</v>
      </c>
      <c r="DU157" s="59">
        <f t="shared" si="152"/>
        <v>532.90758914457615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0.13867774258518958</v>
      </c>
      <c r="EB157" s="21">
        <f>EXP(-LN(2)/25)*EB156+(1-EXP(-LN(2)/25))/(LN(2)/25)*Calculateur!DW157*Calculateur!DY157*VLOOKUP('Données projet'!$B$14,Paramètres!$A$1:$I$89,3,0)*0.475*44/12</f>
        <v>0.23720527684305837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0.37588301942824798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-1.7053025658242404E-13</v>
      </c>
      <c r="EK157" s="17">
        <f>EJ157*VLOOKUP('Données projet'!$B$15,Paramètres!$A$1:$I$89,3,0)*VLOOKUP('Données projet'!$B$15,Paramètres!$A$1:$I$89,5,0)</f>
        <v>-1.0197709343628959E-13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337.99164391755608</v>
      </c>
      <c r="EP157" s="59">
        <f t="shared" si="154"/>
        <v>421.45428231923393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23.382893351211322</v>
      </c>
      <c r="EW157" s="21">
        <f>EXP(-LN(2)/25)*EW156+(1-EXP(-LN(2)/25))/(LN(2)/25)*Calculateur!ER157*Calculateur!ET157*VLOOKUP('Données projet'!$B$15,Paramètres!$A$1:$I$89,3,0)*0.475*44/12</f>
        <v>2.9200504949469477</v>
      </c>
      <c r="EX157" s="21">
        <f>EXP(-LN(2)/2)*EX156+(1-EXP(-LN(2)/2))/(LN(2)/2)*ER157*EU157*VLOOKUP('Données projet'!$B$15,Paramètres!$A$1:$I$89,3,0)*0.475*44/12</f>
        <v>7.1776133379603257E-14</v>
      </c>
      <c r="EY157" s="22">
        <f t="shared" si="181"/>
        <v>26.302943846158342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1.8717948717948829</v>
      </c>
      <c r="N158" s="13">
        <f>IF('Données projet'!$A$36&gt;35,N157+M158-V157,IF(A158&lt;'Données projet'!$A$36,$K$205^A158,IF(A158='Données projet'!$A$36,'Données projet'!$B$36,N157+M158-V157)))</f>
        <v>128.68589743589692</v>
      </c>
      <c r="O158" s="13">
        <f>N158*VLOOKUP('Données projet'!$B$9,Paramètres!$A$1:$I$89,3,0)*VLOOKUP('Données projet'!$B$9,Paramètres!$A$1:$I$89,5,0)</f>
        <v>116.43499999999953</v>
      </c>
      <c r="P158" s="13">
        <f t="shared" si="141"/>
        <v>30.842067793939304</v>
      </c>
      <c r="Q158" s="20">
        <f t="shared" si="162"/>
        <v>256.50755974111013</v>
      </c>
      <c r="R158" s="59">
        <f t="shared" si="109"/>
        <v>543.75691476628981</v>
      </c>
      <c r="S158" s="59">
        <f ca="1">AVERAGE(OFFSET($R$3,0,0,'Données projet'!$E$9+1,1))-AVERAGE(OFFSET($H$3,0,0,'Données projet'!$E$9+1,1))</f>
        <v>388.1278150896951</v>
      </c>
      <c r="T158" s="59">
        <f t="shared" si="142"/>
        <v>232.26614607059227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101.83591482658312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101.83591482658312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1.8717948717948829</v>
      </c>
      <c r="AI158" s="13">
        <f>IF('Données projet'!$A$62&gt;35,AI157+AH158-AQ157,IF(A158&lt;'Données projet'!$A$62,$AF$205^A158,IF(A158='Données projet'!$A$62,'Données projet'!$B$62,AI157+AH158-AQ157)))</f>
        <v>128.68589743589692</v>
      </c>
      <c r="AJ158" s="13">
        <f>AI158*VLOOKUP('Données projet'!$B$10,Paramètres!$A$1:$I$89,3,0)*VLOOKUP('Données projet'!$B$10,Paramètres!$A$1:$I$89,5,0)</f>
        <v>130.4874999999995</v>
      </c>
      <c r="AK158" s="13">
        <f t="shared" si="164"/>
        <v>34.108981718044198</v>
      </c>
      <c r="AL158" s="20">
        <f t="shared" si="165"/>
        <v>286.67220565892609</v>
      </c>
      <c r="AM158" s="59">
        <f t="shared" si="113"/>
        <v>573.92156068410577</v>
      </c>
      <c r="AN158" s="59">
        <f ca="1">AVERAGE(OFFSET($AM$3,0,0,'Données projet'!$E$10+1,1))-AVERAGE(OFFSET($H$3,0,0,'Données projet'!$E$10+1,1))</f>
        <v>424.89201140676084</v>
      </c>
      <c r="AO158" s="59">
        <f t="shared" si="144"/>
        <v>253.0016648946303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114.12645627117077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114.12645627117077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1.8717948717948829</v>
      </c>
      <c r="BD158" s="12">
        <f>IF('Données projet'!$A$88&gt;35,BD157+BC158-BL157,IF(A158&lt;'Données projet'!$A$88,$BA$205^A158,IF(A158='Données projet'!$A$88,'Données projet'!$B$88,BD157+BC158-BL157)))</f>
        <v>128.68589743589692</v>
      </c>
      <c r="BE158" s="13">
        <f>BD158*VLOOKUP('Données projet'!$B$11,Paramètres!$A$1:$I$89,3,0)*VLOOKUP('Données projet'!$B$11,Paramètres!$A$1:$I$89,5,0)</f>
        <v>122.45749999999951</v>
      </c>
      <c r="BF158" s="13">
        <f t="shared" si="167"/>
        <v>32.247492807038746</v>
      </c>
      <c r="BG158" s="20">
        <f t="shared" si="168"/>
        <v>269.44452913892491</v>
      </c>
      <c r="BH158" s="59">
        <f t="shared" si="116"/>
        <v>556.69388416410459</v>
      </c>
      <c r="BI158" s="59">
        <f ca="1">AVERAGE(OFFSET($BH$3,0,0,'Données projet'!$E$11+1,1))-AVERAGE(OFFSET($H$3,0,0,'Données projet'!$E$11+1,1))</f>
        <v>403.89478276355294</v>
      </c>
      <c r="BJ158" s="59">
        <f t="shared" si="146"/>
        <v>241.1593989733278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107.10328973140641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107.10328973140641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319</v>
      </c>
      <c r="BZ158" s="13">
        <f>BY158*VLOOKUP('Données projet'!$B$12,Paramètres!$A$1:$I$89,3,0)*VLOOKUP('Données projet'!$B$12,Paramètres!$A$1:$I$89,5,0)</f>
        <v>253.79640000000001</v>
      </c>
      <c r="CA158" s="13">
        <f t="shared" si="170"/>
        <v>61.39816832228076</v>
      </c>
      <c r="CB158" s="20">
        <f t="shared" si="171"/>
        <v>548.96387316130563</v>
      </c>
      <c r="CC158" s="59">
        <f t="shared" si="119"/>
        <v>836.21322818648537</v>
      </c>
      <c r="CD158" s="59">
        <f ca="1">AVERAGE(OFFSET($CC$3,0,0,'Données projet'!$E$12+1,1))-AVERAGE(OFFSET($H$3,0,0,'Données projet'!$E$12+1,1))</f>
        <v>377.27600411578322</v>
      </c>
      <c r="CE158" s="59">
        <f t="shared" si="148"/>
        <v>364.58250627635425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10.139309784035923</v>
      </c>
      <c r="CL158" s="21">
        <f>EXP(-LN(2)/25)*CL157+(1-EXP(-LN(2)/25))/(LN(2)/25)*Calculateur!CG158*Calculateur!CI158*VLOOKUP('Données projet'!$B$12,Paramètres!$A$1:$I$89,3,0)*0.475*44/12</f>
        <v>0.94317562998768745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11.08248541402361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1.7053025658242404E-13</v>
      </c>
      <c r="CU158" s="17">
        <f>CT158*VLOOKUP('Données projet'!$B$13,Paramètres!$A$1:$I$89,3,0)*VLOOKUP('Données projet'!$B$13,Paramètres!$A$1:$I$89,5,0)</f>
        <v>1.3301360013429075E-13</v>
      </c>
      <c r="CV158" s="13">
        <f t="shared" si="173"/>
        <v>1.9329766731057041E-12</v>
      </c>
      <c r="CW158" s="20">
        <f t="shared" si="174"/>
        <v>3.5982663925596575E-12</v>
      </c>
      <c r="CX158" s="59">
        <f t="shared" si="122"/>
        <v>287.24935502518326</v>
      </c>
      <c r="CY158" s="59">
        <f ca="1">AVERAGE(OFFSET($CX$3,0,0,'Données projet'!$E$13+1,1))-AVERAGE(OFFSET($H$3,0,0,'Données projet'!$E$13+1,1))</f>
        <v>308.82719216177946</v>
      </c>
      <c r="CZ158" s="59">
        <f t="shared" si="150"/>
        <v>302.59481222418219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14.77499297730971</v>
      </c>
      <c r="DG158" s="21">
        <f>EXP(-LN(2)/25)*DG157+(1-EXP(-LN(2)/25))/(LN(2)/25)*Calculateur!DB158*Calculateur!DD158*VLOOKUP('Données projet'!$B$13,Paramètres!$A$1:$I$89,3,0)*0.475*44/12</f>
        <v>6.2849516222587578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21.059944599568468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304.99999999999983</v>
      </c>
      <c r="DP158" s="17">
        <f>DO158*VLOOKUP('Données projet'!$B$14,Paramètres!$A$1:$I$89,3,0)*VLOOKUP('Données projet'!$B$14,Paramètres!$A$1:$I$89,5,0)</f>
        <v>275.96399999999983</v>
      </c>
      <c r="DQ158" s="13">
        <f t="shared" si="176"/>
        <v>66.113366665488854</v>
      </c>
      <c r="DR158" s="20">
        <f t="shared" si="177"/>
        <v>595.78474694239264</v>
      </c>
      <c r="DS158" s="59">
        <f t="shared" si="125"/>
        <v>883.03410196757227</v>
      </c>
      <c r="DT158" s="59">
        <f ca="1">AVERAGE(OFFSET($DS$3,0,0,'Données projet'!$E$14+1,1))-AVERAGE(OFFSET($H$3,0,0,'Données projet'!$E$14+1,1))</f>
        <v>376.51107072413777</v>
      </c>
      <c r="DU158" s="59">
        <f t="shared" si="152"/>
        <v>532.90758914457615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0.13595835663816491</v>
      </c>
      <c r="EB158" s="21">
        <f>EXP(-LN(2)/25)*EB157+(1-EXP(-LN(2)/25))/(LN(2)/25)*Calculateur!DW158*Calculateur!DY158*VLOOKUP('Données projet'!$B$14,Paramètres!$A$1:$I$89,3,0)*0.475*44/12</f>
        <v>0.23071888607370156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0.36667724271186647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-1.7053025658242404E-13</v>
      </c>
      <c r="EK158" s="17">
        <f>EJ158*VLOOKUP('Données projet'!$B$15,Paramètres!$A$1:$I$89,3,0)*VLOOKUP('Données projet'!$B$15,Paramètres!$A$1:$I$89,5,0)</f>
        <v>-1.0197709343628959E-13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337.99164391755608</v>
      </c>
      <c r="EP158" s="59">
        <f t="shared" si="154"/>
        <v>421.45428231923393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22.924369074750743</v>
      </c>
      <c r="EW158" s="21">
        <f>EXP(-LN(2)/25)*EW157+(1-EXP(-LN(2)/25))/(LN(2)/25)*Calculateur!ER158*Calculateur!ET158*VLOOKUP('Données projet'!$B$15,Paramètres!$A$1:$I$89,3,0)*0.475*44/12</f>
        <v>2.8402015606038415</v>
      </c>
      <c r="EX158" s="21">
        <f>EXP(-LN(2)/2)*EX157+(1-EXP(-LN(2)/2))/(LN(2)/2)*ER158*EU158*VLOOKUP('Données projet'!$B$15,Paramètres!$A$1:$I$89,3,0)*0.475*44/12</f>
        <v>5.0753390640067571E-14</v>
      </c>
      <c r="EY158" s="22">
        <f t="shared" si="181"/>
        <v>25.764570635354634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1.8717948717948829</v>
      </c>
      <c r="N159" s="13">
        <f>IF('Données projet'!$A$36&gt;35,N158+M159-V158,IF(A159&lt;'Données projet'!$A$36,$K$205^A159,IF(A159='Données projet'!$A$36,'Données projet'!$B$36,N158+M159-V158)))</f>
        <v>130.55769230769181</v>
      </c>
      <c r="O159" s="13">
        <f>N159*VLOOKUP('Données projet'!$B$9,Paramètres!$A$1:$I$89,3,0)*VLOOKUP('Données projet'!$B$9,Paramètres!$A$1:$I$89,5,0)</f>
        <v>118.12859999999955</v>
      </c>
      <c r="P159" s="13">
        <f t="shared" si="141"/>
        <v>31.238127501943364</v>
      </c>
      <c r="Q159" s="20">
        <f t="shared" si="162"/>
        <v>260.14705039921722</v>
      </c>
      <c r="R159" s="59">
        <f t="shared" si="109"/>
        <v>547.50194884630559</v>
      </c>
      <c r="S159" s="59">
        <f ca="1">AVERAGE(OFFSET($R$3,0,0,'Données projet'!$E$9+1,1))-AVERAGE(OFFSET($H$3,0,0,'Données projet'!$E$9+1,1))</f>
        <v>388.1278150896951</v>
      </c>
      <c r="T159" s="59">
        <f t="shared" si="142"/>
        <v>232.26614607059227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99.838974650608648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99.838974650608648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1.8717948717948829</v>
      </c>
      <c r="AI159" s="13">
        <f>IF('Données projet'!$A$62&gt;35,AI158+AH159-AQ158,IF(A159&lt;'Données projet'!$A$62,$AF$205^A159,IF(A159='Données projet'!$A$62,'Données projet'!$B$62,AI158+AH159-AQ158)))</f>
        <v>130.55769230769181</v>
      </c>
      <c r="AJ159" s="13">
        <f>AI159*VLOOKUP('Données projet'!$B$10,Paramètres!$A$1:$I$89,3,0)*VLOOKUP('Données projet'!$B$10,Paramètres!$A$1:$I$89,5,0)</f>
        <v>132.38549999999952</v>
      </c>
      <c r="AK159" s="13">
        <f t="shared" si="164"/>
        <v>34.546993638315641</v>
      </c>
      <c r="AL159" s="20">
        <f t="shared" si="165"/>
        <v>290.74075975339895</v>
      </c>
      <c r="AM159" s="59">
        <f t="shared" si="113"/>
        <v>578.09565820048726</v>
      </c>
      <c r="AN159" s="59">
        <f ca="1">AVERAGE(OFFSET($AM$3,0,0,'Données projet'!$E$10+1,1))-AVERAGE(OFFSET($H$3,0,0,'Données projet'!$E$10+1,1))</f>
        <v>424.89201140676084</v>
      </c>
      <c r="AO159" s="59">
        <f t="shared" si="144"/>
        <v>253.0016648946303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111.88850607395798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111.88850607395798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1.8717948717948829</v>
      </c>
      <c r="BD159" s="12">
        <f>IF('Données projet'!$A$88&gt;35,BD158+BC159-BL158,IF(A159&lt;'Données projet'!$A$88,$BA$205^A159,IF(A159='Données projet'!$A$88,'Données projet'!$B$88,BD158+BC159-BL158)))</f>
        <v>130.55769230769181</v>
      </c>
      <c r="BE159" s="13">
        <f>BD159*VLOOKUP('Données projet'!$B$11,Paramètres!$A$1:$I$89,3,0)*VLOOKUP('Données projet'!$B$11,Paramètres!$A$1:$I$89,5,0)</f>
        <v>124.23869999999953</v>
      </c>
      <c r="BF159" s="13">
        <f t="shared" si="167"/>
        <v>32.66160033933366</v>
      </c>
      <c r="BG159" s="20">
        <f t="shared" si="168"/>
        <v>273.26802309100526</v>
      </c>
      <c r="BH159" s="59">
        <f t="shared" si="116"/>
        <v>560.62292153809358</v>
      </c>
      <c r="BI159" s="59">
        <f ca="1">AVERAGE(OFFSET($BH$3,0,0,'Données projet'!$E$11+1,1))-AVERAGE(OFFSET($H$3,0,0,'Données projet'!$E$11+1,1))</f>
        <v>403.89478276355294</v>
      </c>
      <c r="BJ159" s="59">
        <f t="shared" si="146"/>
        <v>241.1593989733278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105.00305954632979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105.00305954632979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319</v>
      </c>
      <c r="BZ159" s="13">
        <f>BY159*VLOOKUP('Données projet'!$B$12,Paramètres!$A$1:$I$89,3,0)*VLOOKUP('Données projet'!$B$12,Paramètres!$A$1:$I$89,5,0)</f>
        <v>253.79640000000001</v>
      </c>
      <c r="CA159" s="13">
        <f t="shared" si="170"/>
        <v>61.39816832228076</v>
      </c>
      <c r="CB159" s="20">
        <f t="shared" si="171"/>
        <v>548.96387316130563</v>
      </c>
      <c r="CC159" s="59">
        <f t="shared" si="119"/>
        <v>836.31877160839394</v>
      </c>
      <c r="CD159" s="59">
        <f ca="1">AVERAGE(OFFSET($CC$3,0,0,'Données projet'!$E$12+1,1))-AVERAGE(OFFSET($H$3,0,0,'Données projet'!$E$12+1,1))</f>
        <v>377.27600411578322</v>
      </c>
      <c r="CE159" s="59">
        <f t="shared" si="148"/>
        <v>364.58250627635425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9.9404841035392906</v>
      </c>
      <c r="CL159" s="21">
        <f>EXP(-LN(2)/25)*CL158+(1-EXP(-LN(2)/25))/(LN(2)/25)*Calculateur!CG159*Calculateur!CI159*VLOOKUP('Données projet'!$B$12,Paramètres!$A$1:$I$89,3,0)*0.475*44/12</f>
        <v>0.91738444278622344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10.857868546325514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1.7053025658242404E-13</v>
      </c>
      <c r="CU159" s="17">
        <f>CT159*VLOOKUP('Données projet'!$B$13,Paramètres!$A$1:$I$89,3,0)*VLOOKUP('Données projet'!$B$13,Paramètres!$A$1:$I$89,5,0)</f>
        <v>1.3301360013429075E-13</v>
      </c>
      <c r="CV159" s="13">
        <f t="shared" si="173"/>
        <v>1.9329766731057041E-12</v>
      </c>
      <c r="CW159" s="20">
        <f t="shared" si="174"/>
        <v>3.5982663925596575E-12</v>
      </c>
      <c r="CX159" s="59">
        <f t="shared" si="122"/>
        <v>287.3548984470919</v>
      </c>
      <c r="CY159" s="59">
        <f ca="1">AVERAGE(OFFSET($CX$3,0,0,'Données projet'!$E$13+1,1))-AVERAGE(OFFSET($H$3,0,0,'Données projet'!$E$13+1,1))</f>
        <v>308.82719216177946</v>
      </c>
      <c r="CZ159" s="59">
        <f t="shared" si="150"/>
        <v>302.59481222418219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14.485264376880536</v>
      </c>
      <c r="DG159" s="21">
        <f>EXP(-LN(2)/25)*DG158+(1-EXP(-LN(2)/25))/(LN(2)/25)*Calculateur!DB159*Calculateur!DD159*VLOOKUP('Données projet'!$B$13,Paramètres!$A$1:$I$89,3,0)*0.475*44/12</f>
        <v>6.1130892896368509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20.598353666517387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304.99999999999983</v>
      </c>
      <c r="DP159" s="17">
        <f>DO159*VLOOKUP('Données projet'!$B$14,Paramètres!$A$1:$I$89,3,0)*VLOOKUP('Données projet'!$B$14,Paramètres!$A$1:$I$89,5,0)</f>
        <v>275.96399999999983</v>
      </c>
      <c r="DQ159" s="13">
        <f t="shared" si="176"/>
        <v>66.113366665488854</v>
      </c>
      <c r="DR159" s="20">
        <f t="shared" si="177"/>
        <v>595.78474694239264</v>
      </c>
      <c r="DS159" s="59">
        <f t="shared" si="125"/>
        <v>883.13964538948096</v>
      </c>
      <c r="DT159" s="59">
        <f ca="1">AVERAGE(OFFSET($DS$3,0,0,'Données projet'!$E$14+1,1))-AVERAGE(OFFSET($H$3,0,0,'Données projet'!$E$14+1,1))</f>
        <v>376.51107072413777</v>
      </c>
      <c r="DU159" s="59">
        <f t="shared" si="152"/>
        <v>532.90758914457615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0.13329229619089975</v>
      </c>
      <c r="EB159" s="21">
        <f>EXP(-LN(2)/25)*EB158+(1-EXP(-LN(2)/25))/(LN(2)/25)*Calculateur!DW159*Calculateur!DY159*VLOOKUP('Données projet'!$B$14,Paramètres!$A$1:$I$89,3,0)*0.475*44/12</f>
        <v>0.22440986600103729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0.35770216219193707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-1.7053025658242404E-13</v>
      </c>
      <c r="EK159" s="17">
        <f>EJ159*VLOOKUP('Données projet'!$B$15,Paramètres!$A$1:$I$89,3,0)*VLOOKUP('Données projet'!$B$15,Paramètres!$A$1:$I$89,5,0)</f>
        <v>-1.0197709343628959E-13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337.99164391755608</v>
      </c>
      <c r="EP159" s="59">
        <f t="shared" si="154"/>
        <v>421.45428231923393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22.474836179679361</v>
      </c>
      <c r="EW159" s="21">
        <f>EXP(-LN(2)/25)*EW158+(1-EXP(-LN(2)/25))/(LN(2)/25)*Calculateur!ER159*Calculateur!ET159*VLOOKUP('Données projet'!$B$15,Paramètres!$A$1:$I$89,3,0)*0.475*44/12</f>
        <v>2.7625360995694206</v>
      </c>
      <c r="EX159" s="21">
        <f>EXP(-LN(2)/2)*EX158+(1-EXP(-LN(2)/2))/(LN(2)/2)*ER159*EU159*VLOOKUP('Données projet'!$B$15,Paramètres!$A$1:$I$89,3,0)*0.475*44/12</f>
        <v>3.5888066689801628E-14</v>
      </c>
      <c r="EY159" s="22">
        <f t="shared" si="181"/>
        <v>25.237372279248817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>
        <f>VLOOKUP(A160,'Données projet'!$A$35:$I$55,2,0)</f>
        <v>132.42948717948718</v>
      </c>
      <c r="L160" s="12">
        <f>VLOOKUP(A160,'Données projet'!$A$35:$I$55,9,0)</f>
        <v>1.8717948717948829</v>
      </c>
      <c r="M160" s="12">
        <f t="array" ref="M160">INDEX(L:L,MIN(IF(ISNUMBER(L160:L356),ROW(L160:L356),"")))</f>
        <v>1.8717948717948829</v>
      </c>
      <c r="N160" s="13">
        <f>IF('Données projet'!$A$36&gt;35,N159+M160-V159,IF(A160&lt;'Données projet'!$A$36,$K$205^A160,IF(A160='Données projet'!$A$36,'Données projet'!$B$36,N159+M160-V159)))</f>
        <v>132.4294871794867</v>
      </c>
      <c r="O160" s="13">
        <f>N160*VLOOKUP('Données projet'!$B$9,Paramètres!$A$1:$I$89,3,0)*VLOOKUP('Données projet'!$B$9,Paramètres!$A$1:$I$89,5,0)</f>
        <v>119.82219999999955</v>
      </c>
      <c r="P160" s="13">
        <f t="shared" si="141"/>
        <v>31.633526785966875</v>
      </c>
      <c r="Q160" s="20">
        <f t="shared" si="162"/>
        <v>263.78539081889153</v>
      </c>
      <c r="R160" s="59">
        <f t="shared" si="109"/>
        <v>551.24400174547804</v>
      </c>
      <c r="S160" s="59">
        <f ca="1">AVERAGE(OFFSET($R$3,0,0,'Données projet'!$E$9+1,1))-AVERAGE(OFFSET($H$3,0,0,'Données projet'!$E$9+1,1))</f>
        <v>388.1278150896951</v>
      </c>
      <c r="T160" s="59">
        <f t="shared" si="142"/>
        <v>232.26614607059227</v>
      </c>
      <c r="U160" s="15">
        <f>IF(ISNA(VLOOKUP(A160,'Données projet'!$A$35:$I$55,3,0)),0,VLOOKUP(A160,'Données projet'!$A$35:$I$55,3,0))</f>
        <v>14</v>
      </c>
      <c r="V160" s="15">
        <f>IF(ISNA(VLOOKUP(A160,'Données projet'!$A$35:$I$55,4,0)),0,VLOOKUP(A160,'Données projet'!$A$35:$I$55,4,0))</f>
        <v>45.71153846153846</v>
      </c>
      <c r="W160" s="16">
        <f>IF(ISNA(VLOOKUP(A160,'Données projet'!$A$35:$I$55,5,0)),0%,VLOOKUP(A160,'Données projet'!$A$35:$I$55,5,0)*VLOOKUP('Données projet'!$B$9,Paramètres!$A$1:$I$89,7,0))</f>
        <v>0.38700000000000001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115.57562033539027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115.57562033539027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>
        <f>VLOOKUP(A160,'Données projet'!$A$61:$I$81,2,0)</f>
        <v>132.42948717948718</v>
      </c>
      <c r="AG160" s="12">
        <f>VLOOKUP(A160,'Données projet'!$A$61:$I$81,9,0)</f>
        <v>1.8717948717948829</v>
      </c>
      <c r="AH160" s="12">
        <f t="array" ref="AH160">INDEX(AG:AG,MIN(IF(ISNUMBER(AG160:AG356),ROW(AG160:AG356),"")))</f>
        <v>1.8717948717948829</v>
      </c>
      <c r="AI160" s="13">
        <f>IF('Données projet'!$A$62&gt;35,AI159+AH160-AQ159,IF(A160&lt;'Données projet'!$A$62,$AF$205^A160,IF(A160='Données projet'!$A$62,'Données projet'!$B$62,AI159+AH160-AQ159)))</f>
        <v>132.4294871794867</v>
      </c>
      <c r="AJ160" s="13">
        <f>AI160*VLOOKUP('Données projet'!$B$10,Paramètres!$A$1:$I$89,3,0)*VLOOKUP('Données projet'!$B$10,Paramètres!$A$1:$I$89,5,0)</f>
        <v>134.28349999999952</v>
      </c>
      <c r="AK160" s="13">
        <f t="shared" si="164"/>
        <v>34.984275179883873</v>
      </c>
      <c r="AL160" s="20">
        <f t="shared" si="165"/>
        <v>294.80804177163026</v>
      </c>
      <c r="AM160" s="59">
        <f t="shared" si="113"/>
        <v>582.26665269821683</v>
      </c>
      <c r="AN160" s="59">
        <f ca="1">AVERAGE(OFFSET($AM$3,0,0,'Données projet'!$E$10+1,1))-AVERAGE(OFFSET($H$3,0,0,'Données projet'!$E$10+1,1))</f>
        <v>424.89201140676084</v>
      </c>
      <c r="AO160" s="59">
        <f t="shared" si="144"/>
        <v>253.0016648946303</v>
      </c>
      <c r="AP160" s="15">
        <f>IF(ISNA(VLOOKUP(A160,'Données projet'!$A$61:$I$81,3,0)),0,VLOOKUP(A160,'Données projet'!$A$61:$I$81,3,0))</f>
        <v>14</v>
      </c>
      <c r="AQ160" s="15">
        <f>IF(ISNA(VLOOKUP(A160,'Données projet'!$A$61:$I$81,4,0)),0,VLOOKUP(A160,'Données projet'!$A$61:$I$81,4,0))</f>
        <v>45.71153846153846</v>
      </c>
      <c r="AR160" s="16">
        <f>IF(ISNA(VLOOKUP(A160,'Données projet'!$A$61:$I$81,5,0)),0%,VLOOKUP(A160,'Données projet'!$A$61:$I$81,5,0)*VLOOKUP('Données projet'!$B$10,Paramètres!$A$1:$I$89,7,0))</f>
        <v>0.38700000000000001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129.52440210000634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129.52440210000634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>
        <f>VLOOKUP(A160,'Données projet'!$A$87:$I$107,2,0)</f>
        <v>132.42948717948718</v>
      </c>
      <c r="BB160" s="12">
        <f>VLOOKUP(A160,'Données projet'!$A$87:$I$107,9,0)</f>
        <v>1.8717948717948829</v>
      </c>
      <c r="BC160" s="12">
        <f t="array" ref="BC160">INDEX(BB:BB,MIN(IF(ISNUMBER(BB160:BB356),ROW(BB160:BB356),"")))</f>
        <v>1.8717948717948829</v>
      </c>
      <c r="BD160" s="12">
        <f>IF('Données projet'!$A$88&gt;35,BD159+BC160-BL159,IF(A160&lt;'Données projet'!$A$88,$BA$205^A160,IF(A160='Données projet'!$A$88,'Données projet'!$B$88,BD159+BC160-BL159)))</f>
        <v>132.4294871794867</v>
      </c>
      <c r="BE160" s="13">
        <f>BD160*VLOOKUP('Données projet'!$B$11,Paramètres!$A$1:$I$89,3,0)*VLOOKUP('Données projet'!$B$11,Paramètres!$A$1:$I$89,5,0)</f>
        <v>126.01989999999955</v>
      </c>
      <c r="BF160" s="13">
        <f t="shared" si="167"/>
        <v>33.075017353155346</v>
      </c>
      <c r="BG160" s="20">
        <f t="shared" si="168"/>
        <v>277.09031439007811</v>
      </c>
      <c r="BH160" s="59">
        <f t="shared" si="116"/>
        <v>564.54892531666474</v>
      </c>
      <c r="BI160" s="59">
        <f ca="1">AVERAGE(OFFSET($BH$3,0,0,'Données projet'!$E$11+1,1))-AVERAGE(OFFSET($H$3,0,0,'Données projet'!$E$11+1,1))</f>
        <v>403.89478276355294</v>
      </c>
      <c r="BJ160" s="59">
        <f t="shared" si="146"/>
        <v>241.1593989733278</v>
      </c>
      <c r="BK160" s="15">
        <f>IF(ISNA(VLOOKUP(A160,'Données projet'!$A$87:$I$107,3,0)),0,VLOOKUP(A160,'Données projet'!$A$87:$I$107,3,0))</f>
        <v>14</v>
      </c>
      <c r="BL160" s="15">
        <f>IF(ISNA(VLOOKUP(A160,'Données projet'!$A$87:$I$107,4,0)),0,VLOOKUP(A160,'Données projet'!$A$87:$I$107,4,0))</f>
        <v>45.71153846153846</v>
      </c>
      <c r="BM160" s="16">
        <f>IF(ISNA(VLOOKUP(A160,'Données projet'!$A$87:$I$107,5,0)),0%,VLOOKUP(A160,'Données projet'!$A$87:$I$107,5,0)*VLOOKUP('Données projet'!$B$11,Paramètres!$A$1:$I$89,7,0))</f>
        <v>0.38700000000000001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121.55366966308287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121.55366966308287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319</v>
      </c>
      <c r="BZ160" s="13">
        <f>BY160*VLOOKUP('Données projet'!$B$12,Paramètres!$A$1:$I$89,3,0)*VLOOKUP('Données projet'!$B$12,Paramètres!$A$1:$I$89,5,0)</f>
        <v>253.79640000000001</v>
      </c>
      <c r="CA160" s="13">
        <f t="shared" si="170"/>
        <v>61.39816832228076</v>
      </c>
      <c r="CB160" s="20">
        <f t="shared" si="171"/>
        <v>548.96387316130563</v>
      </c>
      <c r="CC160" s="59">
        <f t="shared" si="119"/>
        <v>836.42248408789214</v>
      </c>
      <c r="CD160" s="59">
        <f ca="1">AVERAGE(OFFSET($CC$3,0,0,'Données projet'!$E$12+1,1))-AVERAGE(OFFSET($H$3,0,0,'Données projet'!$E$12+1,1))</f>
        <v>377.27600411578322</v>
      </c>
      <c r="CE160" s="59">
        <f t="shared" si="148"/>
        <v>364.58250627635425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9.7455572733655078</v>
      </c>
      <c r="CL160" s="21">
        <f>EXP(-LN(2)/25)*CL159+(1-EXP(-LN(2)/25))/(LN(2)/25)*Calculateur!CG160*Calculateur!CI160*VLOOKUP('Données projet'!$B$12,Paramètres!$A$1:$I$89,3,0)*0.475*44/12</f>
        <v>0.892298516955083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10.637855790320591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1.7053025658242404E-13</v>
      </c>
      <c r="CU160" s="17">
        <f>CT160*VLOOKUP('Données projet'!$B$13,Paramètres!$A$1:$I$89,3,0)*VLOOKUP('Données projet'!$B$13,Paramètres!$A$1:$I$89,5,0)</f>
        <v>1.3301360013429075E-13</v>
      </c>
      <c r="CV160" s="13">
        <f t="shared" si="173"/>
        <v>1.9329766731057041E-12</v>
      </c>
      <c r="CW160" s="20">
        <f t="shared" si="174"/>
        <v>3.5982663925596575E-12</v>
      </c>
      <c r="CX160" s="59">
        <f t="shared" si="122"/>
        <v>287.45861092659015</v>
      </c>
      <c r="CY160" s="59">
        <f ca="1">AVERAGE(OFFSET($CX$3,0,0,'Données projet'!$E$13+1,1))-AVERAGE(OFFSET($H$3,0,0,'Données projet'!$E$13+1,1))</f>
        <v>308.82719216177946</v>
      </c>
      <c r="CZ160" s="59">
        <f t="shared" si="150"/>
        <v>302.59481222418219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14.201217177588781</v>
      </c>
      <c r="DG160" s="21">
        <f>EXP(-LN(2)/25)*DG159+(1-EXP(-LN(2)/25))/(LN(2)/25)*Calculateur!DB160*Calculateur!DD160*VLOOKUP('Données projet'!$B$13,Paramètres!$A$1:$I$89,3,0)*0.475*44/12</f>
        <v>5.9459265415383369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20.147143719127119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304.99999999999983</v>
      </c>
      <c r="DP160" s="17">
        <f>DO160*VLOOKUP('Données projet'!$B$14,Paramètres!$A$1:$I$89,3,0)*VLOOKUP('Données projet'!$B$14,Paramètres!$A$1:$I$89,5,0)</f>
        <v>275.96399999999983</v>
      </c>
      <c r="DQ160" s="13">
        <f t="shared" si="176"/>
        <v>66.113366665488854</v>
      </c>
      <c r="DR160" s="20">
        <f t="shared" si="177"/>
        <v>595.78474694239264</v>
      </c>
      <c r="DS160" s="59">
        <f t="shared" si="125"/>
        <v>883.24335786897927</v>
      </c>
      <c r="DT160" s="59">
        <f ca="1">AVERAGE(OFFSET($DS$3,0,0,'Données projet'!$E$14+1,1))-AVERAGE(OFFSET($H$3,0,0,'Données projet'!$E$14+1,1))</f>
        <v>376.51107072413777</v>
      </c>
      <c r="DU160" s="59">
        <f t="shared" si="152"/>
        <v>532.90758914457615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0.13067851556286914</v>
      </c>
      <c r="EB160" s="21">
        <f>EXP(-LN(2)/25)*EB159+(1-EXP(-LN(2)/25))/(LN(2)/25)*Calculateur!DW160*Calculateur!DY160*VLOOKUP('Données projet'!$B$14,Paramètres!$A$1:$I$89,3,0)*0.475*44/12</f>
        <v>0.21827336641403697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0.34895188197690608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-1.7053025658242404E-13</v>
      </c>
      <c r="EK160" s="17">
        <f>EJ160*VLOOKUP('Données projet'!$B$15,Paramètres!$A$1:$I$89,3,0)*VLOOKUP('Données projet'!$B$15,Paramètres!$A$1:$I$89,5,0)</f>
        <v>-1.0197709343628959E-13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337.99164391755608</v>
      </c>
      <c r="EP160" s="59">
        <f t="shared" si="154"/>
        <v>421.45428231923393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22.034118350492335</v>
      </c>
      <c r="EW160" s="21">
        <f>EXP(-LN(2)/25)*EW159+(1-EXP(-LN(2)/25))/(LN(2)/25)*Calculateur!ER160*Calculateur!ET160*VLOOKUP('Données projet'!$B$15,Paramètres!$A$1:$I$89,3,0)*0.475*44/12</f>
        <v>2.6869944046512351</v>
      </c>
      <c r="EX160" s="21">
        <f>EXP(-LN(2)/2)*EX159+(1-EXP(-LN(2)/2))/(LN(2)/2)*ER160*EU160*VLOOKUP('Données projet'!$B$15,Paramètres!$A$1:$I$89,3,0)*0.475*44/12</f>
        <v>2.5376695320033785E-14</v>
      </c>
      <c r="EY160" s="22">
        <f t="shared" si="181"/>
        <v>24.721112755143594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1.1618589743589709</v>
      </c>
      <c r="N161" s="13">
        <f>IF('Données projet'!$A$36&gt;35,N160+M161-V160,IF(A161&lt;'Données projet'!$A$36,$K$205^A161,IF(A161='Données projet'!$A$36,'Données projet'!$B$36,N160+M161-V160)))</f>
        <v>87.879807692307224</v>
      </c>
      <c r="O161" s="13">
        <f>N161*VLOOKUP('Données projet'!$B$9,Paramètres!$A$1:$I$89,3,0)*VLOOKUP('Données projet'!$B$9,Paramètres!$A$1:$I$89,5,0)</f>
        <v>79.513649999999572</v>
      </c>
      <c r="P161" s="13">
        <f t="shared" si="141"/>
        <v>22.018226855281608</v>
      </c>
      <c r="Q161" s="20">
        <f t="shared" si="162"/>
        <v>176.83468552294804</v>
      </c>
      <c r="R161" s="59">
        <f t="shared" si="109"/>
        <v>464.39520974938</v>
      </c>
      <c r="S161" s="59">
        <f ca="1">AVERAGE(OFFSET($R$3,0,0,'Données projet'!$E$9+1,1))-AVERAGE(OFFSET($H$3,0,0,'Données projet'!$E$9+1,1))</f>
        <v>388.1278150896951</v>
      </c>
      <c r="T161" s="59">
        <f t="shared" si="142"/>
        <v>232.26614607059227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113.30925291478096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113.30925291478096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1.1618589743589709</v>
      </c>
      <c r="AI161" s="13">
        <f>IF('Données projet'!$A$62&gt;35,AI160+AH161-AQ160,IF(A161&lt;'Données projet'!$A$62,$AF$205^A161,IF(A161='Données projet'!$A$62,'Données projet'!$B$62,AI160+AH161-AQ160)))</f>
        <v>87.879807692307224</v>
      </c>
      <c r="AJ161" s="13">
        <f>AI161*VLOOKUP('Données projet'!$B$10,Paramètres!$A$1:$I$89,3,0)*VLOOKUP('Données projet'!$B$10,Paramètres!$A$1:$I$89,5,0)</f>
        <v>89.110124999999528</v>
      </c>
      <c r="AK161" s="13">
        <f t="shared" si="164"/>
        <v>24.350484613685058</v>
      </c>
      <c r="AL161" s="20">
        <f t="shared" si="165"/>
        <v>197.61056174383398</v>
      </c>
      <c r="AM161" s="59">
        <f t="shared" si="113"/>
        <v>485.17108597026595</v>
      </c>
      <c r="AN161" s="59">
        <f ca="1">AVERAGE(OFFSET($AM$3,0,0,'Données projet'!$E$10+1,1))-AVERAGE(OFFSET($H$3,0,0,'Données projet'!$E$10+1,1))</f>
        <v>424.89201140676084</v>
      </c>
      <c r="AO161" s="59">
        <f t="shared" si="144"/>
        <v>253.0016648946303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126.98450757690969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126.98450757690969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1.1618589743589709</v>
      </c>
      <c r="BD161" s="12">
        <f>IF('Données projet'!$A$88&gt;35,BD160+BC161-BL160,IF(A161&lt;'Données projet'!$A$88,$BA$205^A161,IF(A161='Données projet'!$A$88,'Données projet'!$B$88,BD160+BC161-BL160)))</f>
        <v>87.879807692307224</v>
      </c>
      <c r="BE161" s="13">
        <f>BD161*VLOOKUP('Données projet'!$B$11,Paramètres!$A$1:$I$89,3,0)*VLOOKUP('Données projet'!$B$11,Paramètres!$A$1:$I$89,5,0)</f>
        <v>83.626424999999557</v>
      </c>
      <c r="BF161" s="13">
        <f t="shared" si="167"/>
        <v>23.021563174145172</v>
      </c>
      <c r="BG161" s="20">
        <f t="shared" si="168"/>
        <v>185.74524606996872</v>
      </c>
      <c r="BH161" s="59">
        <f t="shared" si="116"/>
        <v>473.30577029640074</v>
      </c>
      <c r="BI161" s="59">
        <f ca="1">AVERAGE(OFFSET($BH$3,0,0,'Données projet'!$E$11+1,1))-AVERAGE(OFFSET($H$3,0,0,'Données projet'!$E$11+1,1))</f>
        <v>403.89478276355294</v>
      </c>
      <c r="BJ161" s="59">
        <f t="shared" si="146"/>
        <v>241.1593989733278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119.17007634140755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119.17007634140755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319</v>
      </c>
      <c r="BZ161" s="13">
        <f>BY161*VLOOKUP('Données projet'!$B$12,Paramètres!$A$1:$I$89,3,0)*VLOOKUP('Données projet'!$B$12,Paramètres!$A$1:$I$89,5,0)</f>
        <v>253.79640000000001</v>
      </c>
      <c r="CA161" s="13">
        <f t="shared" si="170"/>
        <v>61.39816832228076</v>
      </c>
      <c r="CB161" s="20">
        <f t="shared" si="171"/>
        <v>548.96387316130563</v>
      </c>
      <c r="CC161" s="59">
        <f t="shared" si="119"/>
        <v>836.52439738773762</v>
      </c>
      <c r="CD161" s="59">
        <f ca="1">AVERAGE(OFFSET($CC$3,0,0,'Données projet'!$E$12+1,1))-AVERAGE(OFFSET($H$3,0,0,'Données projet'!$E$12+1,1))</f>
        <v>377.27600411578322</v>
      </c>
      <c r="CE161" s="59">
        <f t="shared" si="148"/>
        <v>364.58250627635425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9.5544528394378059</v>
      </c>
      <c r="CL161" s="21">
        <f>EXP(-LN(2)/25)*CL160+(1-EXP(-LN(2)/25))/(LN(2)/25)*Calculateur!CG161*Calculateur!CI161*VLOOKUP('Données projet'!$B$12,Paramètres!$A$1:$I$89,3,0)*0.475*44/12</f>
        <v>0.86789856708500668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10.422351406522813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1.7053025658242404E-13</v>
      </c>
      <c r="CU161" s="17">
        <f>CT161*VLOOKUP('Données projet'!$B$13,Paramètres!$A$1:$I$89,3,0)*VLOOKUP('Données projet'!$B$13,Paramètres!$A$1:$I$89,5,0)</f>
        <v>1.3301360013429075E-13</v>
      </c>
      <c r="CV161" s="13">
        <f t="shared" si="173"/>
        <v>1.9329766731057041E-12</v>
      </c>
      <c r="CW161" s="20">
        <f t="shared" si="174"/>
        <v>3.5982663925596575E-12</v>
      </c>
      <c r="CX161" s="59">
        <f t="shared" si="122"/>
        <v>287.56052422643558</v>
      </c>
      <c r="CY161" s="59">
        <f ca="1">AVERAGE(OFFSET($CX$3,0,0,'Données projet'!$E$13+1,1))-AVERAGE(OFFSET($H$3,0,0,'Données projet'!$E$13+1,1))</f>
        <v>308.82719216177946</v>
      </c>
      <c r="CZ161" s="59">
        <f t="shared" si="150"/>
        <v>302.59481222418219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13.922739970623454</v>
      </c>
      <c r="DG161" s="21">
        <f>EXP(-LN(2)/25)*DG160+(1-EXP(-LN(2)/25))/(LN(2)/25)*Calculateur!DB161*Calculateur!DD161*VLOOKUP('Données projet'!$B$13,Paramètres!$A$1:$I$89,3,0)*0.475*44/12</f>
        <v>5.7833348675772838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19.706074838200738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304.99999999999983</v>
      </c>
      <c r="DP161" s="17">
        <f>DO161*VLOOKUP('Données projet'!$B$14,Paramètres!$A$1:$I$89,3,0)*VLOOKUP('Données projet'!$B$14,Paramètres!$A$1:$I$89,5,0)</f>
        <v>275.96399999999983</v>
      </c>
      <c r="DQ161" s="13">
        <f t="shared" si="176"/>
        <v>66.113366665488854</v>
      </c>
      <c r="DR161" s="20">
        <f t="shared" si="177"/>
        <v>595.78474694239264</v>
      </c>
      <c r="DS161" s="59">
        <f t="shared" si="125"/>
        <v>883.34527116882464</v>
      </c>
      <c r="DT161" s="59">
        <f ca="1">AVERAGE(OFFSET($DS$3,0,0,'Données projet'!$E$14+1,1))-AVERAGE(OFFSET($H$3,0,0,'Données projet'!$E$14+1,1))</f>
        <v>376.51107072413777</v>
      </c>
      <c r="DU161" s="59">
        <f t="shared" si="152"/>
        <v>532.90758914457615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0.12811598957870546</v>
      </c>
      <c r="EB161" s="21">
        <f>EXP(-LN(2)/25)*EB160+(1-EXP(-LN(2)/25))/(LN(2)/25)*Calculateur!DW161*Calculateur!DY161*VLOOKUP('Données projet'!$B$14,Paramètres!$A$1:$I$89,3,0)*0.475*44/12</f>
        <v>0.21230466973094766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0.34042065930965315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-1.7053025658242404E-13</v>
      </c>
      <c r="EK161" s="17">
        <f>EJ161*VLOOKUP('Données projet'!$B$15,Paramètres!$A$1:$I$89,3,0)*VLOOKUP('Données projet'!$B$15,Paramètres!$A$1:$I$89,5,0)</f>
        <v>-1.0197709343628959E-13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337.99164391755608</v>
      </c>
      <c r="EP161" s="59">
        <f t="shared" si="154"/>
        <v>421.45428231923393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21.602042729124335</v>
      </c>
      <c r="EW161" s="21">
        <f>EXP(-LN(2)/25)*EW160+(1-EXP(-LN(2)/25))/(LN(2)/25)*Calculateur!ER161*Calculateur!ET161*VLOOKUP('Données projet'!$B$15,Paramètres!$A$1:$I$89,3,0)*0.475*44/12</f>
        <v>2.6135184013531525</v>
      </c>
      <c r="EX161" s="21">
        <f>EXP(-LN(2)/2)*EX160+(1-EXP(-LN(2)/2))/(LN(2)/2)*ER161*EU161*VLOOKUP('Données projet'!$B$15,Paramètres!$A$1:$I$89,3,0)*0.475*44/12</f>
        <v>1.7944033344900814E-14</v>
      </c>
      <c r="EY161" s="22">
        <f t="shared" si="181"/>
        <v>24.215561130477507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1.1618589743589709</v>
      </c>
      <c r="N162" s="13">
        <f>IF('Données projet'!$A$36&gt;35,N161+M162-V161,IF(A162&lt;'Données projet'!$A$36,$K$205^A162,IF(A162='Données projet'!$A$36,'Données projet'!$B$36,N161+M162-V161)))</f>
        <v>89.041666666666202</v>
      </c>
      <c r="O162" s="13">
        <f>N162*VLOOKUP('Données projet'!$B$9,Paramètres!$A$1:$I$89,3,0)*VLOOKUP('Données projet'!$B$9,Paramètres!$A$1:$I$89,5,0)</f>
        <v>80.564899999999582</v>
      </c>
      <c r="P162" s="13">
        <f t="shared" si="141"/>
        <v>22.275248501153126</v>
      </c>
      <c r="Q162" s="20">
        <f t="shared" si="162"/>
        <v>179.11325863950762</v>
      </c>
      <c r="R162" s="59">
        <f t="shared" si="109"/>
        <v>466.77392819787656</v>
      </c>
      <c r="S162" s="59">
        <f ca="1">AVERAGE(OFFSET($R$3,0,0,'Données projet'!$E$9+1,1))-AVERAGE(OFFSET($H$3,0,0,'Données projet'!$E$9+1,1))</f>
        <v>388.1278150896951</v>
      </c>
      <c r="T162" s="59">
        <f t="shared" si="142"/>
        <v>232.26614607059227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111.08732757694216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111.08732757694216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1.1618589743589709</v>
      </c>
      <c r="AI162" s="13">
        <f>IF('Données projet'!$A$62&gt;35,AI161+AH162-AQ161,IF(A162&lt;'Données projet'!$A$62,$AF$205^A162,IF(A162='Données projet'!$A$62,'Données projet'!$B$62,AI161+AH162-AQ161)))</f>
        <v>89.041666666666202</v>
      </c>
      <c r="AJ162" s="13">
        <f>AI162*VLOOKUP('Données projet'!$B$10,Paramètres!$A$1:$I$89,3,0)*VLOOKUP('Données projet'!$B$10,Paramètres!$A$1:$I$89,5,0)</f>
        <v>90.288249999999536</v>
      </c>
      <c r="AK162" s="13">
        <f t="shared" si="164"/>
        <v>24.634731009832841</v>
      </c>
      <c r="AL162" s="20">
        <f t="shared" si="165"/>
        <v>200.15752525879137</v>
      </c>
      <c r="AM162" s="59">
        <f t="shared" si="113"/>
        <v>487.81819481716036</v>
      </c>
      <c r="AN162" s="59">
        <f ca="1">AVERAGE(OFFSET($AM$3,0,0,'Données projet'!$E$10+1,1))-AVERAGE(OFFSET($H$3,0,0,'Données projet'!$E$10+1,1))</f>
        <v>424.89201140676084</v>
      </c>
      <c r="AO162" s="59">
        <f t="shared" si="144"/>
        <v>253.0016648946303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124.49441883622828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124.49441883622828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1.1618589743589709</v>
      </c>
      <c r="BD162" s="12">
        <f>IF('Données projet'!$A$88&gt;35,BD161+BC162-BL161,IF(A162&lt;'Données projet'!$A$88,$BA$205^A162,IF(A162='Données projet'!$A$88,'Données projet'!$B$88,BD161+BC162-BL161)))</f>
        <v>89.041666666666202</v>
      </c>
      <c r="BE162" s="13">
        <f>BD162*VLOOKUP('Données projet'!$B$11,Paramètres!$A$1:$I$89,3,0)*VLOOKUP('Données projet'!$B$11,Paramètres!$A$1:$I$89,5,0)</f>
        <v>84.73204999999956</v>
      </c>
      <c r="BF162" s="13">
        <f t="shared" si="167"/>
        <v>23.290296896276573</v>
      </c>
      <c r="BG162" s="20">
        <f t="shared" si="168"/>
        <v>188.13892084434758</v>
      </c>
      <c r="BH162" s="59">
        <f t="shared" si="116"/>
        <v>475.79959040271655</v>
      </c>
      <c r="BI162" s="59">
        <f ca="1">AVERAGE(OFFSET($BH$3,0,0,'Données projet'!$E$11+1,1))-AVERAGE(OFFSET($H$3,0,0,'Données projet'!$E$11+1,1))</f>
        <v>403.89478276355294</v>
      </c>
      <c r="BJ162" s="59">
        <f t="shared" si="146"/>
        <v>241.1593989733278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116.83322383092191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116.83322383092191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319</v>
      </c>
      <c r="BZ162" s="13">
        <f>BY162*VLOOKUP('Données projet'!$B$12,Paramètres!$A$1:$I$89,3,0)*VLOOKUP('Données projet'!$B$12,Paramètres!$A$1:$I$89,5,0)</f>
        <v>253.79640000000001</v>
      </c>
      <c r="CA162" s="13">
        <f t="shared" si="170"/>
        <v>61.39816832228076</v>
      </c>
      <c r="CB162" s="20">
        <f t="shared" si="171"/>
        <v>548.96387316130563</v>
      </c>
      <c r="CC162" s="59">
        <f t="shared" si="119"/>
        <v>836.62454271967454</v>
      </c>
      <c r="CD162" s="59">
        <f ca="1">AVERAGE(OFFSET($CC$3,0,0,'Données projet'!$E$12+1,1))-AVERAGE(OFFSET($H$3,0,0,'Données projet'!$E$12+1,1))</f>
        <v>377.27600411578322</v>
      </c>
      <c r="CE162" s="59">
        <f t="shared" si="148"/>
        <v>364.58250627635425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9.3670958468972305</v>
      </c>
      <c r="CL162" s="21">
        <f>EXP(-LN(2)/25)*CL161+(1-EXP(-LN(2)/25))/(LN(2)/25)*Calculateur!CG162*Calculateur!CI162*VLOOKUP('Données projet'!$B$12,Paramètres!$A$1:$I$89,3,0)*0.475*44/12</f>
        <v>0.84416583512726517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10.211261682024496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1.7053025658242404E-13</v>
      </c>
      <c r="CU162" s="17">
        <f>CT162*VLOOKUP('Données projet'!$B$13,Paramètres!$A$1:$I$89,3,0)*VLOOKUP('Données projet'!$B$13,Paramètres!$A$1:$I$89,5,0)</f>
        <v>1.3301360013429075E-13</v>
      </c>
      <c r="CV162" s="13">
        <f t="shared" si="173"/>
        <v>1.9329766731057041E-12</v>
      </c>
      <c r="CW162" s="20">
        <f t="shared" si="174"/>
        <v>3.5982663925596575E-12</v>
      </c>
      <c r="CX162" s="59">
        <f t="shared" si="122"/>
        <v>287.66066955837255</v>
      </c>
      <c r="CY162" s="59">
        <f ca="1">AVERAGE(OFFSET($CX$3,0,0,'Données projet'!$E$13+1,1))-AVERAGE(OFFSET($H$3,0,0,'Données projet'!$E$13+1,1))</f>
        <v>308.82719216177946</v>
      </c>
      <c r="CZ162" s="59">
        <f t="shared" si="150"/>
        <v>302.59481222418219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13.649723531832391</v>
      </c>
      <c r="DG162" s="21">
        <f>EXP(-LN(2)/25)*DG161+(1-EXP(-LN(2)/25))/(LN(2)/25)*Calculateur!DB162*Calculateur!DD162*VLOOKUP('Données projet'!$B$13,Paramètres!$A$1:$I$89,3,0)*0.475*44/12</f>
        <v>5.6251892714910205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19.27491280332341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304.99999999999983</v>
      </c>
      <c r="DP162" s="17">
        <f>DO162*VLOOKUP('Données projet'!$B$14,Paramètres!$A$1:$I$89,3,0)*VLOOKUP('Données projet'!$B$14,Paramètres!$A$1:$I$89,5,0)</f>
        <v>275.96399999999983</v>
      </c>
      <c r="DQ162" s="13">
        <f t="shared" si="176"/>
        <v>66.113366665488854</v>
      </c>
      <c r="DR162" s="20">
        <f t="shared" si="177"/>
        <v>595.78474694239264</v>
      </c>
      <c r="DS162" s="59">
        <f t="shared" si="125"/>
        <v>883.44541650076167</v>
      </c>
      <c r="DT162" s="59">
        <f ca="1">AVERAGE(OFFSET($DS$3,0,0,'Données projet'!$E$14+1,1))-AVERAGE(OFFSET($H$3,0,0,'Données projet'!$E$14+1,1))</f>
        <v>376.51107072413777</v>
      </c>
      <c r="DU162" s="59">
        <f t="shared" si="152"/>
        <v>532.90758914457615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0.12560371316610469</v>
      </c>
      <c r="EB162" s="21">
        <f>EXP(-LN(2)/25)*EB161+(1-EXP(-LN(2)/25))/(LN(2)/25)*Calculateur!DW162*Calculateur!DY162*VLOOKUP('Données projet'!$B$14,Paramètres!$A$1:$I$89,3,0)*0.475*44/12</f>
        <v>0.20649918737253756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0.33210290053864222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-1.7053025658242404E-13</v>
      </c>
      <c r="EK162" s="17">
        <f>EJ162*VLOOKUP('Données projet'!$B$15,Paramètres!$A$1:$I$89,3,0)*VLOOKUP('Données projet'!$B$15,Paramètres!$A$1:$I$89,5,0)</f>
        <v>-1.0197709343628959E-13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337.99164391755608</v>
      </c>
      <c r="EP162" s="59">
        <f t="shared" si="154"/>
        <v>421.45428231923393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21.178439847151257</v>
      </c>
      <c r="EW162" s="21">
        <f>EXP(-LN(2)/25)*EW161+(1-EXP(-LN(2)/25))/(LN(2)/25)*Calculateur!ER162*Calculateur!ET162*VLOOKUP('Données projet'!$B$15,Paramètres!$A$1:$I$89,3,0)*0.475*44/12</f>
        <v>2.5420516032291909</v>
      </c>
      <c r="EX162" s="21">
        <f>EXP(-LN(2)/2)*EX161+(1-EXP(-LN(2)/2))/(LN(2)/2)*ER162*EU162*VLOOKUP('Données projet'!$B$15,Paramètres!$A$1:$I$89,3,0)*0.475*44/12</f>
        <v>1.2688347660016893E-14</v>
      </c>
      <c r="EY162" s="22">
        <f t="shared" si="181"/>
        <v>23.720491450380461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1.1618589743589709</v>
      </c>
      <c r="N163" s="13">
        <f>IF('Données projet'!$A$36&gt;35,N162+M163-V162,IF(A163&lt;'Données projet'!$A$36,$K$205^A163,IF(A163='Données projet'!$A$36,'Données projet'!$B$36,N162+M163-V162)))</f>
        <v>90.20352564102518</v>
      </c>
      <c r="O163" s="13">
        <f>N163*VLOOKUP('Données projet'!$B$9,Paramètres!$A$1:$I$89,3,0)*VLOOKUP('Données projet'!$B$9,Paramètres!$A$1:$I$89,5,0)</f>
        <v>81.616149999999578</v>
      </c>
      <c r="P163" s="13">
        <f t="shared" si="141"/>
        <v>22.531880055892035</v>
      </c>
      <c r="Q163" s="20">
        <f t="shared" si="162"/>
        <v>181.39115234734456</v>
      </c>
      <c r="R163" s="59">
        <f t="shared" si="109"/>
        <v>469.15022994003289</v>
      </c>
      <c r="S163" s="59">
        <f ca="1">AVERAGE(OFFSET($R$3,0,0,'Données projet'!$E$9+1,1))-AVERAGE(OFFSET($H$3,0,0,'Données projet'!$E$9+1,1))</f>
        <v>388.1278150896951</v>
      </c>
      <c r="T163" s="59">
        <f t="shared" si="142"/>
        <v>232.26614607059227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108.90897283973774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108.90897283973774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1.1618589743589709</v>
      </c>
      <c r="AI163" s="13">
        <f>IF('Données projet'!$A$62&gt;35,AI162+AH163-AQ162,IF(A163&lt;'Données projet'!$A$62,$AF$205^A163,IF(A163='Données projet'!$A$62,'Données projet'!$B$62,AI162+AH163-AQ162)))</f>
        <v>90.20352564102518</v>
      </c>
      <c r="AJ163" s="13">
        <f>AI163*VLOOKUP('Données projet'!$B$10,Paramètres!$A$1:$I$89,3,0)*VLOOKUP('Données projet'!$B$10,Paramètres!$A$1:$I$89,5,0)</f>
        <v>91.466374999999545</v>
      </c>
      <c r="AK163" s="13">
        <f t="shared" si="164"/>
        <v>24.918545994850898</v>
      </c>
      <c r="AL163" s="20">
        <f t="shared" si="165"/>
        <v>202.70373739936451</v>
      </c>
      <c r="AM163" s="59">
        <f t="shared" si="113"/>
        <v>490.46281499205287</v>
      </c>
      <c r="AN163" s="59">
        <f ca="1">AVERAGE(OFFSET($AM$3,0,0,'Données projet'!$E$10+1,1))-AVERAGE(OFFSET($H$3,0,0,'Données projet'!$E$10+1,1))</f>
        <v>424.89201140676084</v>
      </c>
      <c r="AO163" s="59">
        <f t="shared" si="144"/>
        <v>253.0016648946303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122.05315921694746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122.05315921694746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1.1618589743589709</v>
      </c>
      <c r="BD163" s="12">
        <f>IF('Données projet'!$A$88&gt;35,BD162+BC163-BL162,IF(A163&lt;'Données projet'!$A$88,$BA$205^A163,IF(A163='Données projet'!$A$88,'Données projet'!$B$88,BD162+BC163-BL162)))</f>
        <v>90.20352564102518</v>
      </c>
      <c r="BE163" s="13">
        <f>BD163*VLOOKUP('Données projet'!$B$11,Paramètres!$A$1:$I$89,3,0)*VLOOKUP('Données projet'!$B$11,Paramètres!$A$1:$I$89,5,0)</f>
        <v>85.837674999999564</v>
      </c>
      <c r="BF163" s="13">
        <f t="shared" si="167"/>
        <v>23.558622751429791</v>
      </c>
      <c r="BG163" s="20">
        <f t="shared" si="168"/>
        <v>190.53188525040613</v>
      </c>
      <c r="BH163" s="59">
        <f t="shared" si="116"/>
        <v>478.29096284309446</v>
      </c>
      <c r="BI163" s="59">
        <f ca="1">AVERAGE(OFFSET($BH$3,0,0,'Données projet'!$E$11+1,1))-AVERAGE(OFFSET($H$3,0,0,'Données projet'!$E$11+1,1))</f>
        <v>403.89478276355294</v>
      </c>
      <c r="BJ163" s="59">
        <f t="shared" si="146"/>
        <v>241.1593989733278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114.54219557282761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114.54219557282761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319</v>
      </c>
      <c r="BZ163" s="13">
        <f>BY163*VLOOKUP('Données projet'!$B$12,Paramètres!$A$1:$I$89,3,0)*VLOOKUP('Données projet'!$B$12,Paramètres!$A$1:$I$89,5,0)</f>
        <v>253.79640000000001</v>
      </c>
      <c r="CA163" s="13">
        <f t="shared" si="170"/>
        <v>61.39816832228076</v>
      </c>
      <c r="CB163" s="20">
        <f t="shared" si="171"/>
        <v>548.96387316130563</v>
      </c>
      <c r="CC163" s="59">
        <f t="shared" si="119"/>
        <v>836.72295075399393</v>
      </c>
      <c r="CD163" s="59">
        <f ca="1">AVERAGE(OFFSET($CC$3,0,0,'Données projet'!$E$12+1,1))-AVERAGE(OFFSET($H$3,0,0,'Données projet'!$E$12+1,1))</f>
        <v>377.27600411578322</v>
      </c>
      <c r="CE163" s="59">
        <f t="shared" si="148"/>
        <v>364.58250627635425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9.1834128107038939</v>
      </c>
      <c r="CL163" s="21">
        <f>EXP(-LN(2)/25)*CL162+(1-EXP(-LN(2)/25))/(LN(2)/25)*Calculateur!CG163*Calculateur!CI163*VLOOKUP('Données projet'!$B$12,Paramètres!$A$1:$I$89,3,0)*0.475*44/12</f>
        <v>0.82108207597295824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10.004494886676852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1.7053025658242404E-13</v>
      </c>
      <c r="CU163" s="17">
        <f>CT163*VLOOKUP('Données projet'!$B$13,Paramètres!$A$1:$I$89,3,0)*VLOOKUP('Données projet'!$B$13,Paramètres!$A$1:$I$89,5,0)</f>
        <v>1.3301360013429075E-13</v>
      </c>
      <c r="CV163" s="13">
        <f t="shared" si="173"/>
        <v>1.9329766731057041E-12</v>
      </c>
      <c r="CW163" s="20">
        <f t="shared" si="174"/>
        <v>3.5982663925596575E-12</v>
      </c>
      <c r="CX163" s="59">
        <f t="shared" si="122"/>
        <v>287.75907759269194</v>
      </c>
      <c r="CY163" s="59">
        <f ca="1">AVERAGE(OFFSET($CX$3,0,0,'Données projet'!$E$13+1,1))-AVERAGE(OFFSET($H$3,0,0,'Données projet'!$E$13+1,1))</f>
        <v>308.82719216177946</v>
      </c>
      <c r="CZ163" s="59">
        <f t="shared" si="150"/>
        <v>302.59481222418219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13.382060778882437</v>
      </c>
      <c r="DG163" s="21">
        <f>EXP(-LN(2)/25)*DG162+(1-EXP(-LN(2)/25))/(LN(2)/25)*Calculateur!DB163*Calculateur!DD163*VLOOKUP('Données projet'!$B$13,Paramètres!$A$1:$I$89,3,0)*0.475*44/12</f>
        <v>5.4713681750462513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18.853428953928688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304.99999999999983</v>
      </c>
      <c r="DP163" s="17">
        <f>DO163*VLOOKUP('Données projet'!$B$14,Paramètres!$A$1:$I$89,3,0)*VLOOKUP('Données projet'!$B$14,Paramètres!$A$1:$I$89,5,0)</f>
        <v>275.96399999999983</v>
      </c>
      <c r="DQ163" s="13">
        <f t="shared" si="176"/>
        <v>66.113366665488854</v>
      </c>
      <c r="DR163" s="20">
        <f t="shared" si="177"/>
        <v>595.78474694239264</v>
      </c>
      <c r="DS163" s="59">
        <f t="shared" si="125"/>
        <v>883.54382453508106</v>
      </c>
      <c r="DT163" s="59">
        <f ca="1">AVERAGE(OFFSET($DS$3,0,0,'Données projet'!$E$14+1,1))-AVERAGE(OFFSET($H$3,0,0,'Données projet'!$E$14+1,1))</f>
        <v>376.51107072413777</v>
      </c>
      <c r="DU163" s="59">
        <f t="shared" si="152"/>
        <v>532.90758914457615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0.12314070096161774</v>
      </c>
      <c r="EB163" s="21">
        <f>EXP(-LN(2)/25)*EB162+(1-EXP(-LN(2)/25))/(LN(2)/25)*Calculateur!DW163*Calculateur!DY163*VLOOKUP('Données projet'!$B$14,Paramètres!$A$1:$I$89,3,0)*0.475*44/12</f>
        <v>0.20085245623451523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0.32399315719613297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-1.7053025658242404E-13</v>
      </c>
      <c r="EK163" s="17">
        <f>EJ163*VLOOKUP('Données projet'!$B$15,Paramètres!$A$1:$I$89,3,0)*VLOOKUP('Données projet'!$B$15,Paramètres!$A$1:$I$89,5,0)</f>
        <v>-1.0197709343628959E-13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337.99164391755608</v>
      </c>
      <c r="EP163" s="59">
        <f t="shared" si="154"/>
        <v>421.45428231923393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20.763143559321424</v>
      </c>
      <c r="EW163" s="21">
        <f>EXP(-LN(2)/25)*EW162+(1-EXP(-LN(2)/25))/(LN(2)/25)*Calculateur!ER163*Calculateur!ET163*VLOOKUP('Données projet'!$B$15,Paramètres!$A$1:$I$89,3,0)*0.475*44/12</f>
        <v>2.4725390684582047</v>
      </c>
      <c r="EX163" s="21">
        <f>EXP(-LN(2)/2)*EX162+(1-EXP(-LN(2)/2))/(LN(2)/2)*ER163*EU163*VLOOKUP('Données projet'!$B$15,Paramètres!$A$1:$I$89,3,0)*0.475*44/12</f>
        <v>8.9720166724504071E-15</v>
      </c>
      <c r="EY163" s="22">
        <f t="shared" si="181"/>
        <v>23.235682627779639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>
        <f>VLOOKUP(A164,'Données projet'!$A$35:$I$55,2,0)</f>
        <v>91.365384615384613</v>
      </c>
      <c r="L164" s="12">
        <f>VLOOKUP(A164,'Données projet'!$A$35:$I$55,9,0)</f>
        <v>1.1618589743589709</v>
      </c>
      <c r="M164" s="12">
        <f t="array" ref="M164">INDEX(L:L,MIN(IF(ISNUMBER(L164:L360),ROW(L164:L360),"")))</f>
        <v>1.1618589743589709</v>
      </c>
      <c r="N164" s="13">
        <f>IF('Données projet'!$A$36&gt;35,N163+M164-V163,IF(A164&lt;'Données projet'!$A$36,$K$205^A164,IF(A164='Données projet'!$A$36,'Données projet'!$B$36,N163+M164-V163)))</f>
        <v>91.365384615384158</v>
      </c>
      <c r="O164" s="13">
        <f>N164*VLOOKUP('Données projet'!$B$9,Paramètres!$A$1:$I$89,3,0)*VLOOKUP('Données projet'!$B$9,Paramètres!$A$1:$I$89,5,0)</f>
        <v>82.667399999999589</v>
      </c>
      <c r="P164" s="13">
        <f t="shared" si="141"/>
        <v>22.788127124999455</v>
      </c>
      <c r="Q164" s="20">
        <f t="shared" si="162"/>
        <v>183.66837640937331</v>
      </c>
      <c r="R164" s="59">
        <f t="shared" si="109"/>
        <v>471.52415487699301</v>
      </c>
      <c r="S164" s="59">
        <f ca="1">AVERAGE(OFFSET($R$3,0,0,'Données projet'!$E$9+1,1))-AVERAGE(OFFSET($H$3,0,0,'Données projet'!$E$9+1,1))</f>
        <v>388.1278150896951</v>
      </c>
      <c r="T164" s="59">
        <f t="shared" si="142"/>
        <v>232.26614607059227</v>
      </c>
      <c r="U164" s="15">
        <f>IF(ISNA(VLOOKUP(A164,'Données projet'!$A$35:$I$55,3,0)),0,VLOOKUP(A164,'Données projet'!$A$35:$I$55,3,0))</f>
        <v>15</v>
      </c>
      <c r="V164" s="15">
        <f>IF(ISNA(VLOOKUP(A164,'Données projet'!$A$35:$I$55,4,0)),0,VLOOKUP(A164,'Données projet'!$A$35:$I$55,4,0))</f>
        <v>91.365384615384613</v>
      </c>
      <c r="W164" s="16">
        <f>IF(ISNA(VLOOKUP(A164,'Données projet'!$A$35:$I$55,5,0)),0%,VLOOKUP(A164,'Données projet'!$A$35:$I$55,5,0)*VLOOKUP('Données projet'!$B$9,Paramètres!$A$1:$I$89,7,0))</f>
        <v>0.38700000000000001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142.13985642477655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142.13985642477655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>
        <f>VLOOKUP(A164,'Données projet'!$A$61:$I$81,2,0)</f>
        <v>91.365384615384613</v>
      </c>
      <c r="AG164" s="12">
        <f>VLOOKUP(A164,'Données projet'!$A$61:$I$81,9,0)</f>
        <v>1.1618589743589709</v>
      </c>
      <c r="AH164" s="12">
        <f t="array" ref="AH164">INDEX(AG:AG,MIN(IF(ISNUMBER(AG164:AG360),ROW(AG164:AG360),"")))</f>
        <v>1.1618589743589709</v>
      </c>
      <c r="AI164" s="13">
        <f>IF('Données projet'!$A$62&gt;35,AI163+AH164-AQ163,IF(A164&lt;'Données projet'!$A$62,$AF$205^A164,IF(A164='Données projet'!$A$62,'Données projet'!$B$62,AI163+AH164-AQ163)))</f>
        <v>91.365384615384158</v>
      </c>
      <c r="AJ164" s="13">
        <f>AI164*VLOOKUP('Données projet'!$B$10,Paramètres!$A$1:$I$89,3,0)*VLOOKUP('Données projet'!$B$10,Paramètres!$A$1:$I$89,5,0)</f>
        <v>92.644499999999539</v>
      </c>
      <c r="AK164" s="13">
        <f t="shared" si="164"/>
        <v>25.201935767997217</v>
      </c>
      <c r="AL164" s="20">
        <f t="shared" si="165"/>
        <v>205.24920896259434</v>
      </c>
      <c r="AM164" s="59">
        <f t="shared" si="113"/>
        <v>493.10498743021401</v>
      </c>
      <c r="AN164" s="59">
        <f ca="1">AVERAGE(OFFSET($AM$3,0,0,'Données projet'!$E$10+1,1))-AVERAGE(OFFSET($H$3,0,0,'Données projet'!$E$10+1,1))</f>
        <v>424.89201140676084</v>
      </c>
      <c r="AO164" s="59">
        <f t="shared" si="144"/>
        <v>253.0016648946303</v>
      </c>
      <c r="AP164" s="15">
        <f>IF(ISNA(VLOOKUP(A164,'Données projet'!$A$61:$I$81,3,0)),0,VLOOKUP(A164,'Données projet'!$A$61:$I$81,3,0))</f>
        <v>15</v>
      </c>
      <c r="AQ164" s="15">
        <f>IF(ISNA(VLOOKUP(A164,'Données projet'!$A$61:$I$81,4,0)),0,VLOOKUP(A164,'Données projet'!$A$61:$I$81,4,0))</f>
        <v>91.365384615384613</v>
      </c>
      <c r="AR164" s="16">
        <f>IF(ISNA(VLOOKUP(A164,'Données projet'!$A$61:$I$81,5,0)),0%,VLOOKUP(A164,'Données projet'!$A$61:$I$81,5,0)*VLOOKUP('Données projet'!$B$10,Paramètres!$A$1:$I$89,7,0))</f>
        <v>0.38700000000000001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159.29466668293924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159.29466668293924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>
        <f>VLOOKUP(A164,'Données projet'!$A$87:$I$107,2,0)</f>
        <v>91.365384615384613</v>
      </c>
      <c r="BB164" s="12">
        <f>VLOOKUP(A164,'Données projet'!$A$87:$I$107,9,0)</f>
        <v>1.1618589743589709</v>
      </c>
      <c r="BC164" s="12">
        <f t="array" ref="BC164">INDEX(BB:BB,MIN(IF(ISNUMBER(BB164:BB360),ROW(BB164:BB360),"")))</f>
        <v>1.1618589743589709</v>
      </c>
      <c r="BD164" s="12">
        <f>IF('Données projet'!$A$88&gt;35,BD163+BC164-BL163,IF(A164&lt;'Données projet'!$A$88,$BA$205^A164,IF(A164='Données projet'!$A$88,'Données projet'!$B$88,BD163+BC164-BL163)))</f>
        <v>91.365384615384158</v>
      </c>
      <c r="BE164" s="13">
        <f>BD164*VLOOKUP('Données projet'!$B$11,Paramètres!$A$1:$I$89,3,0)*VLOOKUP('Données projet'!$B$11,Paramètres!$A$1:$I$89,5,0)</f>
        <v>86.943299999999567</v>
      </c>
      <c r="BF164" s="13">
        <f t="shared" si="167"/>
        <v>23.826546600539892</v>
      </c>
      <c r="BG164" s="20">
        <f t="shared" si="168"/>
        <v>192.92414949593956</v>
      </c>
      <c r="BH164" s="59">
        <f t="shared" si="116"/>
        <v>480.77992796355926</v>
      </c>
      <c r="BI164" s="59">
        <f ca="1">AVERAGE(OFFSET($BH$3,0,0,'Données projet'!$E$11+1,1))-AVERAGE(OFFSET($H$3,0,0,'Données projet'!$E$11+1,1))</f>
        <v>403.89478276355294</v>
      </c>
      <c r="BJ164" s="59">
        <f t="shared" si="146"/>
        <v>241.1593989733278</v>
      </c>
      <c r="BK164" s="15">
        <f>IF(ISNA(VLOOKUP(A164,'Données projet'!$A$87:$I$107,3,0)),0,VLOOKUP(A164,'Données projet'!$A$87:$I$107,3,0))</f>
        <v>15</v>
      </c>
      <c r="BL164" s="15">
        <f>IF(ISNA(VLOOKUP(A164,'Données projet'!$A$87:$I$107,4,0)),0,VLOOKUP(A164,'Données projet'!$A$87:$I$107,4,0))</f>
        <v>91.365384615384613</v>
      </c>
      <c r="BM164" s="16">
        <f>IF(ISNA(VLOOKUP(A164,'Données projet'!$A$87:$I$107,5,0)),0%,VLOOKUP(A164,'Données projet'!$A$87:$I$107,5,0)*VLOOKUP('Données projet'!$B$11,Paramètres!$A$1:$I$89,7,0))</f>
        <v>0.38700000000000001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149.49191796398912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149.49191796398912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319</v>
      </c>
      <c r="BZ164" s="13">
        <f>BY164*VLOOKUP('Données projet'!$B$12,Paramètres!$A$1:$I$89,3,0)*VLOOKUP('Données projet'!$B$12,Paramètres!$A$1:$I$89,5,0)</f>
        <v>253.79640000000001</v>
      </c>
      <c r="CA164" s="13">
        <f t="shared" si="170"/>
        <v>61.39816832228076</v>
      </c>
      <c r="CB164" s="20">
        <f t="shared" si="171"/>
        <v>548.96387316130563</v>
      </c>
      <c r="CC164" s="59">
        <f t="shared" si="119"/>
        <v>836.81965162892539</v>
      </c>
      <c r="CD164" s="59">
        <f ca="1">AVERAGE(OFFSET($CC$3,0,0,'Données projet'!$E$12+1,1))-AVERAGE(OFFSET($H$3,0,0,'Données projet'!$E$12+1,1))</f>
        <v>377.27600411578322</v>
      </c>
      <c r="CE164" s="59">
        <f t="shared" si="148"/>
        <v>364.58250627635425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9.00333168681472</v>
      </c>
      <c r="CL164" s="21">
        <f>EXP(-LN(2)/25)*CL163+(1-EXP(-LN(2)/25))/(LN(2)/25)*Calculateur!CG164*Calculateur!CI164*VLOOKUP('Données projet'!$B$12,Paramètres!$A$1:$I$89,3,0)*0.475*44/12</f>
        <v>0.79862954342664794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9.8019612302413677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1.7053025658242404E-13</v>
      </c>
      <c r="CU164" s="17">
        <f>CT164*VLOOKUP('Données projet'!$B$13,Paramètres!$A$1:$I$89,3,0)*VLOOKUP('Données projet'!$B$13,Paramètres!$A$1:$I$89,5,0)</f>
        <v>1.3301360013429075E-13</v>
      </c>
      <c r="CV164" s="13">
        <f t="shared" si="173"/>
        <v>1.9329766731057041E-12</v>
      </c>
      <c r="CW164" s="20">
        <f t="shared" si="174"/>
        <v>3.5982663925596575E-12</v>
      </c>
      <c r="CX164" s="59">
        <f t="shared" si="122"/>
        <v>287.85577846762328</v>
      </c>
      <c r="CY164" s="59">
        <f ca="1">AVERAGE(OFFSET($CX$3,0,0,'Données projet'!$E$13+1,1))-AVERAGE(OFFSET($H$3,0,0,'Données projet'!$E$13+1,1))</f>
        <v>308.82719216177946</v>
      </c>
      <c r="CZ164" s="59">
        <f t="shared" si="150"/>
        <v>302.59481222418219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13.119646729259673</v>
      </c>
      <c r="DG164" s="21">
        <f>EXP(-LN(2)/25)*DG163+(1-EXP(-LN(2)/25))/(LN(2)/25)*Calculateur!DB164*Calculateur!DD164*VLOOKUP('Données projet'!$B$13,Paramètres!$A$1:$I$89,3,0)*0.475*44/12</f>
        <v>5.3217533245728639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18.441400053832538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304.99999999999983</v>
      </c>
      <c r="DP164" s="17">
        <f>DO164*VLOOKUP('Données projet'!$B$14,Paramètres!$A$1:$I$89,3,0)*VLOOKUP('Données projet'!$B$14,Paramètres!$A$1:$I$89,5,0)</f>
        <v>275.96399999999983</v>
      </c>
      <c r="DQ164" s="13">
        <f t="shared" si="176"/>
        <v>66.113366665488854</v>
      </c>
      <c r="DR164" s="20">
        <f t="shared" si="177"/>
        <v>595.78474694239264</v>
      </c>
      <c r="DS164" s="59">
        <f t="shared" si="125"/>
        <v>883.64052541001229</v>
      </c>
      <c r="DT164" s="59">
        <f ca="1">AVERAGE(OFFSET($DS$3,0,0,'Données projet'!$E$14+1,1))-AVERAGE(OFFSET($H$3,0,0,'Données projet'!$E$14+1,1))</f>
        <v>376.51107072413777</v>
      </c>
      <c r="DU164" s="59">
        <f t="shared" si="152"/>
        <v>532.90758914457615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0.12072598692417166</v>
      </c>
      <c r="EB164" s="21">
        <f>EXP(-LN(2)/25)*EB163+(1-EXP(-LN(2)/25))/(LN(2)/25)*Calculateur!DW164*Calculateur!DY164*VLOOKUP('Données projet'!$B$14,Paramètres!$A$1:$I$89,3,0)*0.475*44/12</f>
        <v>0.1953601352564108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0.31608612218058246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-1.7053025658242404E-13</v>
      </c>
      <c r="EK164" s="17">
        <f>EJ164*VLOOKUP('Données projet'!$B$15,Paramètres!$A$1:$I$89,3,0)*VLOOKUP('Données projet'!$B$15,Paramètres!$A$1:$I$89,5,0)</f>
        <v>-1.0197709343628959E-13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337.99164391755608</v>
      </c>
      <c r="EP164" s="59">
        <f t="shared" si="154"/>
        <v>421.45428231923393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20.35599097839021</v>
      </c>
      <c r="EW164" s="21">
        <f>EXP(-LN(2)/25)*EW163+(1-EXP(-LN(2)/25))/(LN(2)/25)*Calculateur!ER164*Calculateur!ET164*VLOOKUP('Données projet'!$B$15,Paramètres!$A$1:$I$89,3,0)*0.475*44/12</f>
        <v>2.4049273576060366</v>
      </c>
      <c r="EX164" s="21">
        <f>EXP(-LN(2)/2)*EX163+(1-EXP(-LN(2)/2))/(LN(2)/2)*ER164*EU164*VLOOKUP('Données projet'!$B$15,Paramètres!$A$1:$I$89,3,0)*0.475*44/12</f>
        <v>6.3441738300084463E-15</v>
      </c>
      <c r="EY164" s="22">
        <f t="shared" si="181"/>
        <v>22.760918335996255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-4.5474735088646412E-13</v>
      </c>
      <c r="O165" s="13">
        <f>N165*VLOOKUP('Données projet'!$B$9,Paramètres!$A$1:$I$89,3,0)*VLOOKUP('Données projet'!$B$9,Paramètres!$A$1:$I$89,5,0)</f>
        <v>-4.1145540308207271E-13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388.1278150896951</v>
      </c>
      <c r="T165" s="59">
        <f t="shared" si="142"/>
        <v>232.26614607059227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139.35258053703851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139.35258053703851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-4.5474735088646412E-13</v>
      </c>
      <c r="AJ165" s="13">
        <f>AI165*VLOOKUP('Données projet'!$B$10,Paramètres!$A$1:$I$89,3,0)*VLOOKUP('Données projet'!$B$10,Paramètres!$A$1:$I$89,5,0)</f>
        <v>-4.6111381379887462E-13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424.89201140676084</v>
      </c>
      <c r="AO165" s="59">
        <f t="shared" si="144"/>
        <v>253.0016648946303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156.1709954294397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156.1709954294397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-4.5474735088646412E-13</v>
      </c>
      <c r="BE165" s="13">
        <f>BD165*VLOOKUP('Données projet'!$B$11,Paramètres!$A$1:$I$89,3,0)*VLOOKUP('Données projet'!$B$11,Paramètres!$A$1:$I$89,5,0)</f>
        <v>-4.3273757910355926E-13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403.89478276355294</v>
      </c>
      <c r="BJ165" s="59">
        <f t="shared" si="146"/>
        <v>241.1593989733278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146.56047263378187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146.56047263378187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319</v>
      </c>
      <c r="BZ165" s="13">
        <f>BY165*VLOOKUP('Données projet'!$B$12,Paramètres!$A$1:$I$89,3,0)*VLOOKUP('Données projet'!$B$12,Paramètres!$A$1:$I$89,5,0)</f>
        <v>253.79640000000001</v>
      </c>
      <c r="CA165" s="13">
        <f t="shared" si="170"/>
        <v>61.39816832228076</v>
      </c>
      <c r="CB165" s="20">
        <f t="shared" si="171"/>
        <v>548.96387316130563</v>
      </c>
      <c r="CC165" s="59">
        <f t="shared" si="119"/>
        <v>836.9146749598674</v>
      </c>
      <c r="CD165" s="59">
        <f ca="1">AVERAGE(OFFSET($CC$3,0,0,'Données projet'!$E$12+1,1))-AVERAGE(OFFSET($H$3,0,0,'Données projet'!$E$12+1,1))</f>
        <v>377.27600411578322</v>
      </c>
      <c r="CE165" s="59">
        <f t="shared" si="148"/>
        <v>364.58250627635425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8.8267818439263728</v>
      </c>
      <c r="CL165" s="21">
        <f>EXP(-LN(2)/25)*CL164+(1-EXP(-LN(2)/25))/(LN(2)/25)*Calculateur!CG165*Calculateur!CI165*VLOOKUP('Données projet'!$B$12,Paramètres!$A$1:$I$89,3,0)*0.475*44/12</f>
        <v>0.7767909765635439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9.6035728204899158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1.7053025658242404E-13</v>
      </c>
      <c r="CU165" s="17">
        <f>CT165*VLOOKUP('Données projet'!$B$13,Paramètres!$A$1:$I$89,3,0)*VLOOKUP('Données projet'!$B$13,Paramètres!$A$1:$I$89,5,0)</f>
        <v>1.3301360013429075E-13</v>
      </c>
      <c r="CV165" s="13">
        <f t="shared" si="173"/>
        <v>1.9329766731057041E-12</v>
      </c>
      <c r="CW165" s="20">
        <f t="shared" si="174"/>
        <v>3.5982663925596575E-12</v>
      </c>
      <c r="CX165" s="59">
        <f t="shared" si="122"/>
        <v>287.95080179856529</v>
      </c>
      <c r="CY165" s="59">
        <f ca="1">AVERAGE(OFFSET($CX$3,0,0,'Données projet'!$E$13+1,1))-AVERAGE(OFFSET($H$3,0,0,'Données projet'!$E$13+1,1))</f>
        <v>308.82719216177946</v>
      </c>
      <c r="CZ165" s="59">
        <f t="shared" si="150"/>
        <v>302.59481222418219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12.862378459093245</v>
      </c>
      <c r="DG165" s="21">
        <f>EXP(-LN(2)/25)*DG164+(1-EXP(-LN(2)/25))/(LN(2)/25)*Calculateur!DB165*Calculateur!DD165*VLOOKUP('Données projet'!$B$13,Paramètres!$A$1:$I$89,3,0)*0.475*44/12</f>
        <v>5.1762297000535744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18.038608159146818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304.99999999999983</v>
      </c>
      <c r="DP165" s="17">
        <f>DO165*VLOOKUP('Données projet'!$B$14,Paramètres!$A$1:$I$89,3,0)*VLOOKUP('Données projet'!$B$14,Paramètres!$A$1:$I$89,5,0)</f>
        <v>275.96399999999983</v>
      </c>
      <c r="DQ165" s="13">
        <f t="shared" si="176"/>
        <v>66.113366665488854</v>
      </c>
      <c r="DR165" s="20">
        <f t="shared" si="177"/>
        <v>595.78474694239264</v>
      </c>
      <c r="DS165" s="59">
        <f t="shared" si="125"/>
        <v>883.7355487409543</v>
      </c>
      <c r="DT165" s="59">
        <f ca="1">AVERAGE(OFFSET($DS$3,0,0,'Données projet'!$E$14+1,1))-AVERAGE(OFFSET($H$3,0,0,'Données projet'!$E$14+1,1))</f>
        <v>376.51107072413777</v>
      </c>
      <c r="DU165" s="59">
        <f t="shared" si="152"/>
        <v>532.90758914457615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0.11835862395616976</v>
      </c>
      <c r="EB165" s="21">
        <f>EXP(-LN(2)/25)*EB164+(1-EXP(-LN(2)/25))/(LN(2)/25)*Calculateur!DW165*Calculateur!DY165*VLOOKUP('Données projet'!$B$14,Paramètres!$A$1:$I$89,3,0)*0.475*44/12</f>
        <v>0.19001800208428124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0.30837662604045102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-1.7053025658242404E-13</v>
      </c>
      <c r="EK165" s="17">
        <f>EJ165*VLOOKUP('Données projet'!$B$15,Paramètres!$A$1:$I$89,3,0)*VLOOKUP('Données projet'!$B$15,Paramètres!$A$1:$I$89,5,0)</f>
        <v>-1.0197709343628959E-13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337.99164391755608</v>
      </c>
      <c r="EP165" s="59">
        <f t="shared" si="154"/>
        <v>421.45428231923393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19.956822411232505</v>
      </c>
      <c r="EW165" s="21">
        <f>EXP(-LN(2)/25)*EW164+(1-EXP(-LN(2)/25))/(LN(2)/25)*Calculateur!ER165*Calculateur!ET165*VLOOKUP('Données projet'!$B$15,Paramètres!$A$1:$I$89,3,0)*0.475*44/12</f>
        <v>2.3391644925426665</v>
      </c>
      <c r="EX165" s="21">
        <f>EXP(-LN(2)/2)*EX164+(1-EXP(-LN(2)/2))/(LN(2)/2)*ER165*EU165*VLOOKUP('Données projet'!$B$15,Paramètres!$A$1:$I$89,3,0)*0.475*44/12</f>
        <v>4.4860083362252035E-15</v>
      </c>
      <c r="EY165" s="22">
        <f t="shared" si="181"/>
        <v>22.295986903775177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-4.5474735088646412E-13</v>
      </c>
      <c r="O166" s="13">
        <f>N166*VLOOKUP('Données projet'!$B$9,Paramètres!$A$1:$I$89,3,0)*VLOOKUP('Données projet'!$B$9,Paramètres!$A$1:$I$89,5,0)</f>
        <v>-4.1145540308207271E-13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388.1278150896951</v>
      </c>
      <c r="T166" s="59">
        <f t="shared" si="142"/>
        <v>232.26614607059227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136.61996142938858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136.61996142938858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-4.5474735088646412E-13</v>
      </c>
      <c r="AJ166" s="13">
        <f>AI166*VLOOKUP('Données projet'!$B$10,Paramètres!$A$1:$I$89,3,0)*VLOOKUP('Données projet'!$B$10,Paramètres!$A$1:$I$89,5,0)</f>
        <v>-4.6111381379887462E-13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424.89201140676084</v>
      </c>
      <c r="AO166" s="59">
        <f t="shared" si="144"/>
        <v>253.0016648946303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153.10857746396997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153.10857746396997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-4.5474735088646412E-13</v>
      </c>
      <c r="BE166" s="13">
        <f>BD166*VLOOKUP('Données projet'!$B$11,Paramètres!$A$1:$I$89,3,0)*VLOOKUP('Données projet'!$B$11,Paramètres!$A$1:$I$89,5,0)</f>
        <v>-4.3273757910355926E-13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403.89478276355294</v>
      </c>
      <c r="BJ166" s="59">
        <f t="shared" si="146"/>
        <v>241.1593989733278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143.68651115849488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143.68651115849488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319</v>
      </c>
      <c r="BZ166" s="13">
        <f>BY166*VLOOKUP('Données projet'!$B$12,Paramètres!$A$1:$I$89,3,0)*VLOOKUP('Données projet'!$B$12,Paramètres!$A$1:$I$89,5,0)</f>
        <v>253.79640000000001</v>
      </c>
      <c r="CA166" s="13">
        <f t="shared" si="170"/>
        <v>61.39816832228076</v>
      </c>
      <c r="CB166" s="20">
        <f t="shared" si="171"/>
        <v>548.96387316130563</v>
      </c>
      <c r="CC166" s="59">
        <f t="shared" si="119"/>
        <v>837.00804984845786</v>
      </c>
      <c r="CD166" s="59">
        <f ca="1">AVERAGE(OFFSET($CC$3,0,0,'Données projet'!$E$12+1,1))-AVERAGE(OFFSET($H$3,0,0,'Données projet'!$E$12+1,1))</f>
        <v>377.27600411578322</v>
      </c>
      <c r="CE166" s="59">
        <f t="shared" si="148"/>
        <v>364.58250627635425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8.6536940357722951</v>
      </c>
      <c r="CL166" s="21">
        <f>EXP(-LN(2)/25)*CL165+(1-EXP(-LN(2)/25))/(LN(2)/25)*Calculateur!CG166*Calculateur!CI166*VLOOKUP('Données projet'!$B$12,Paramètres!$A$1:$I$89,3,0)*0.475*44/12</f>
        <v>0.75554958645975168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9.4092436222320472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1.7053025658242404E-13</v>
      </c>
      <c r="CU166" s="17">
        <f>CT166*VLOOKUP('Données projet'!$B$13,Paramètres!$A$1:$I$89,3,0)*VLOOKUP('Données projet'!$B$13,Paramètres!$A$1:$I$89,5,0)</f>
        <v>1.3301360013429075E-13</v>
      </c>
      <c r="CV166" s="13">
        <f t="shared" si="173"/>
        <v>1.9329766731057041E-12</v>
      </c>
      <c r="CW166" s="20">
        <f t="shared" si="174"/>
        <v>3.5982663925596575E-12</v>
      </c>
      <c r="CX166" s="59">
        <f t="shared" si="122"/>
        <v>288.04417668715581</v>
      </c>
      <c r="CY166" s="59">
        <f ca="1">AVERAGE(OFFSET($CX$3,0,0,'Données projet'!$E$13+1,1))-AVERAGE(OFFSET($H$3,0,0,'Données projet'!$E$13+1,1))</f>
        <v>308.82719216177946</v>
      </c>
      <c r="CZ166" s="59">
        <f t="shared" si="150"/>
        <v>302.59481222418219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12.61015506278663</v>
      </c>
      <c r="DG166" s="21">
        <f>EXP(-LN(2)/25)*DG165+(1-EXP(-LN(2)/25))/(LN(2)/25)*Calculateur!DB166*Calculateur!DD166*VLOOKUP('Données projet'!$B$13,Paramètres!$A$1:$I$89,3,0)*0.475*44/12</f>
        <v>5.0346854266995198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17.64484048948615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304.99999999999983</v>
      </c>
      <c r="DP166" s="17">
        <f>DO166*VLOOKUP('Données projet'!$B$14,Paramètres!$A$1:$I$89,3,0)*VLOOKUP('Données projet'!$B$14,Paramètres!$A$1:$I$89,5,0)</f>
        <v>275.96399999999983</v>
      </c>
      <c r="DQ166" s="13">
        <f t="shared" si="176"/>
        <v>66.113366665488854</v>
      </c>
      <c r="DR166" s="20">
        <f t="shared" si="177"/>
        <v>595.78474694239264</v>
      </c>
      <c r="DS166" s="59">
        <f t="shared" si="125"/>
        <v>883.82892362954487</v>
      </c>
      <c r="DT166" s="59">
        <f ca="1">AVERAGE(OFFSET($DS$3,0,0,'Données projet'!$E$14+1,1))-AVERAGE(OFFSET($H$3,0,0,'Données projet'!$E$14+1,1))</f>
        <v>376.51107072413777</v>
      </c>
      <c r="DU166" s="59">
        <f t="shared" si="152"/>
        <v>532.90758914457615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0.11603768353202155</v>
      </c>
      <c r="EB166" s="21">
        <f>EXP(-LN(2)/25)*EB165+(1-EXP(-LN(2)/25))/(LN(2)/25)*Calculateur!DW166*Calculateur!DY166*VLOOKUP('Données projet'!$B$14,Paramètres!$A$1:$I$89,3,0)*0.475*44/12</f>
        <v>0.18482194982467412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0.30085963335669569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-1.7053025658242404E-13</v>
      </c>
      <c r="EK166" s="17">
        <f>EJ166*VLOOKUP('Données projet'!$B$15,Paramètres!$A$1:$I$89,3,0)*VLOOKUP('Données projet'!$B$15,Paramètres!$A$1:$I$89,5,0)</f>
        <v>-1.0197709343628959E-13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337.99164391755608</v>
      </c>
      <c r="EP166" s="59">
        <f t="shared" si="154"/>
        <v>421.45428231923393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19.565481296207977</v>
      </c>
      <c r="EW166" s="21">
        <f>EXP(-LN(2)/25)*EW165+(1-EXP(-LN(2)/25))/(LN(2)/25)*Calculateur!ER166*Calculateur!ET166*VLOOKUP('Données projet'!$B$15,Paramètres!$A$1:$I$89,3,0)*0.475*44/12</f>
        <v>2.275199916482773</v>
      </c>
      <c r="EX166" s="21">
        <f>EXP(-LN(2)/2)*EX165+(1-EXP(-LN(2)/2))/(LN(2)/2)*ER166*EU166*VLOOKUP('Données projet'!$B$15,Paramètres!$A$1:$I$89,3,0)*0.475*44/12</f>
        <v>3.1720869150042232E-15</v>
      </c>
      <c r="EY166" s="22">
        <f t="shared" si="181"/>
        <v>21.840681212690754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-4.5474735088646412E-13</v>
      </c>
      <c r="O167" s="13">
        <f>N167*VLOOKUP('Données projet'!$B$9,Paramètres!$A$1:$I$89,3,0)*VLOOKUP('Données projet'!$B$9,Paramètres!$A$1:$I$89,5,0)</f>
        <v>-4.1145540308207271E-13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388.1278150896951</v>
      </c>
      <c r="T167" s="59">
        <f t="shared" si="142"/>
        <v>232.26614607059227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133.9409273157066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133.9409273157066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-4.5474735088646412E-13</v>
      </c>
      <c r="AJ167" s="13">
        <f>AI167*VLOOKUP('Données projet'!$B$10,Paramètres!$A$1:$I$89,3,0)*VLOOKUP('Données projet'!$B$10,Paramètres!$A$1:$I$89,5,0)</f>
        <v>-4.6111381379887462E-13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424.89201140676084</v>
      </c>
      <c r="AO167" s="59">
        <f t="shared" si="144"/>
        <v>253.0016648946303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150.10621164691256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150.10621164691256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-4.5474735088646412E-13</v>
      </c>
      <c r="BE167" s="13">
        <f>BD167*VLOOKUP('Données projet'!$B$11,Paramètres!$A$1:$I$89,3,0)*VLOOKUP('Données projet'!$B$11,Paramètres!$A$1:$I$89,5,0)</f>
        <v>-4.3273757910355926E-13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403.89478276355294</v>
      </c>
      <c r="BJ167" s="59">
        <f t="shared" si="146"/>
        <v>241.1593989733278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140.86890631479486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140.86890631479486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319</v>
      </c>
      <c r="BZ167" s="13">
        <f>BY167*VLOOKUP('Données projet'!$B$12,Paramètres!$A$1:$I$89,3,0)*VLOOKUP('Données projet'!$B$12,Paramètres!$A$1:$I$89,5,0)</f>
        <v>253.79640000000001</v>
      </c>
      <c r="CA167" s="13">
        <f t="shared" si="170"/>
        <v>61.39816832228076</v>
      </c>
      <c r="CB167" s="20">
        <f t="shared" si="171"/>
        <v>548.96387316130563</v>
      </c>
      <c r="CC167" s="59">
        <f t="shared" si="119"/>
        <v>837.09980489148631</v>
      </c>
      <c r="CD167" s="59">
        <f ca="1">AVERAGE(OFFSET($CC$3,0,0,'Données projet'!$E$12+1,1))-AVERAGE(OFFSET($H$3,0,0,'Données projet'!$E$12+1,1))</f>
        <v>377.27600411578322</v>
      </c>
      <c r="CE167" s="59">
        <f t="shared" si="148"/>
        <v>364.58250627635425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8.4840003739629797</v>
      </c>
      <c r="CL167" s="21">
        <f>EXP(-LN(2)/25)*CL166+(1-EXP(-LN(2)/25))/(LN(2)/25)*Calculateur!CG167*Calculateur!CI167*VLOOKUP('Données projet'!$B$12,Paramètres!$A$1:$I$89,3,0)*0.475*44/12</f>
        <v>0.73488904328538385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9.2188894172483629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1.7053025658242404E-13</v>
      </c>
      <c r="CU167" s="17">
        <f>CT167*VLOOKUP('Données projet'!$B$13,Paramètres!$A$1:$I$89,3,0)*VLOOKUP('Données projet'!$B$13,Paramètres!$A$1:$I$89,5,0)</f>
        <v>1.3301360013429075E-13</v>
      </c>
      <c r="CV167" s="13">
        <f t="shared" si="173"/>
        <v>1.9329766731057041E-12</v>
      </c>
      <c r="CW167" s="20">
        <f t="shared" si="174"/>
        <v>3.5982663925596575E-12</v>
      </c>
      <c r="CX167" s="59">
        <f t="shared" si="122"/>
        <v>288.13593173018427</v>
      </c>
      <c r="CY167" s="59">
        <f ca="1">AVERAGE(OFFSET($CX$3,0,0,'Données projet'!$E$13+1,1))-AVERAGE(OFFSET($H$3,0,0,'Données projet'!$E$13+1,1))</f>
        <v>308.82719216177946</v>
      </c>
      <c r="CZ167" s="59">
        <f t="shared" si="150"/>
        <v>302.59481222418219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12.362877613440507</v>
      </c>
      <c r="DG167" s="21">
        <f>EXP(-LN(2)/25)*DG166+(1-EXP(-LN(2)/25))/(LN(2)/25)*Calculateur!DB167*Calculateur!DD167*VLOOKUP('Données projet'!$B$13,Paramètres!$A$1:$I$89,3,0)*0.475*44/12</f>
        <v>4.897011688943822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17.25988930238433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304.99999999999983</v>
      </c>
      <c r="DP167" s="17">
        <f>DO167*VLOOKUP('Données projet'!$B$14,Paramètres!$A$1:$I$89,3,0)*VLOOKUP('Données projet'!$B$14,Paramètres!$A$1:$I$89,5,0)</f>
        <v>275.96399999999983</v>
      </c>
      <c r="DQ167" s="13">
        <f t="shared" si="176"/>
        <v>66.113366665488854</v>
      </c>
      <c r="DR167" s="20">
        <f t="shared" si="177"/>
        <v>595.78474694239264</v>
      </c>
      <c r="DS167" s="59">
        <f t="shared" si="125"/>
        <v>883.92067867257333</v>
      </c>
      <c r="DT167" s="59">
        <f ca="1">AVERAGE(OFFSET($DS$3,0,0,'Données projet'!$E$14+1,1))-AVERAGE(OFFSET($H$3,0,0,'Données projet'!$E$14+1,1))</f>
        <v>376.51107072413777</v>
      </c>
      <c r="DU167" s="59">
        <f t="shared" si="152"/>
        <v>532.90758914457615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0.11376225533395702</v>
      </c>
      <c r="EB167" s="21">
        <f>EXP(-LN(2)/25)*EB166+(1-EXP(-LN(2)/25))/(LN(2)/25)*Calculateur!DW167*Calculateur!DY167*VLOOKUP('Données projet'!$B$14,Paramètres!$A$1:$I$89,3,0)*0.475*44/12</f>
        <v>0.17976798388735449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0.2935302392213115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-1.7053025658242404E-13</v>
      </c>
      <c r="EK167" s="17">
        <f>EJ167*VLOOKUP('Données projet'!$B$15,Paramètres!$A$1:$I$89,3,0)*VLOOKUP('Données projet'!$B$15,Paramètres!$A$1:$I$89,5,0)</f>
        <v>-1.0197709343628959E-13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337.99164391755608</v>
      </c>
      <c r="EP167" s="59">
        <f t="shared" si="154"/>
        <v>421.45428231923393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19.181814141754568</v>
      </c>
      <c r="EW167" s="21">
        <f>EXP(-LN(2)/25)*EW166+(1-EXP(-LN(2)/25))/(LN(2)/25)*Calculateur!ER167*Calculateur!ET167*VLOOKUP('Données projet'!$B$15,Paramètres!$A$1:$I$89,3,0)*0.475*44/12</f>
        <v>2.2129844551189879</v>
      </c>
      <c r="EX167" s="21">
        <f>EXP(-LN(2)/2)*EX166+(1-EXP(-LN(2)/2))/(LN(2)/2)*ER167*EU167*VLOOKUP('Données projet'!$B$15,Paramètres!$A$1:$I$89,3,0)*0.475*44/12</f>
        <v>2.2430041681126018E-15</v>
      </c>
      <c r="EY167" s="22">
        <f t="shared" si="181"/>
        <v>21.39479859687356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-4.5474735088646412E-13</v>
      </c>
      <c r="O168" s="13">
        <f>N168*VLOOKUP('Données projet'!$B$9,Paramètres!$A$1:$I$89,3,0)*VLOOKUP('Données projet'!$B$9,Paramètres!$A$1:$I$89,5,0)</f>
        <v>-4.1145540308207271E-13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388.1278150896951</v>
      </c>
      <c r="T168" s="59">
        <f t="shared" si="142"/>
        <v>232.26614607059227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131.31442742694446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131.31442742694446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-4.5474735088646412E-13</v>
      </c>
      <c r="AJ168" s="13">
        <f>AI168*VLOOKUP('Données projet'!$B$10,Paramètres!$A$1:$I$89,3,0)*VLOOKUP('Données projet'!$B$10,Paramètres!$A$1:$I$89,5,0)</f>
        <v>-4.6111381379887462E-13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424.89201140676084</v>
      </c>
      <c r="AO168" s="59">
        <f t="shared" si="144"/>
        <v>253.0016648946303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147.16272039226533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147.16272039226533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-4.5474735088646412E-13</v>
      </c>
      <c r="BE168" s="13">
        <f>BD168*VLOOKUP('Données projet'!$B$11,Paramètres!$A$1:$I$89,3,0)*VLOOKUP('Données projet'!$B$11,Paramètres!$A$1:$I$89,5,0)</f>
        <v>-4.3273757910355926E-13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403.89478276355294</v>
      </c>
      <c r="BJ168" s="59">
        <f t="shared" si="146"/>
        <v>241.1593989733278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138.10655298351054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138.10655298351054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319</v>
      </c>
      <c r="BZ168" s="13">
        <f>BY168*VLOOKUP('Données projet'!$B$12,Paramètres!$A$1:$I$89,3,0)*VLOOKUP('Données projet'!$B$12,Paramètres!$A$1:$I$89,5,0)</f>
        <v>253.79640000000001</v>
      </c>
      <c r="CA168" s="13">
        <f t="shared" si="170"/>
        <v>61.39816832228076</v>
      </c>
      <c r="CB168" s="20">
        <f t="shared" si="171"/>
        <v>548.96387316130563</v>
      </c>
      <c r="CC168" s="59">
        <f t="shared" si="119"/>
        <v>837.18996818965184</v>
      </c>
      <c r="CD168" s="59">
        <f ca="1">AVERAGE(OFFSET($CC$3,0,0,'Données projet'!$E$12+1,1))-AVERAGE(OFFSET($H$3,0,0,'Données projet'!$E$12+1,1))</f>
        <v>377.27600411578322</v>
      </c>
      <c r="CE168" s="59">
        <f t="shared" si="148"/>
        <v>364.58250627635425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8.3176343013588312</v>
      </c>
      <c r="CL168" s="21">
        <f>EXP(-LN(2)/25)*CL167+(1-EXP(-LN(2)/25))/(LN(2)/25)*Calculateur!CG168*Calculateur!CI168*VLOOKUP('Données projet'!$B$12,Paramètres!$A$1:$I$89,3,0)*0.475*44/12</f>
        <v>0.71479346375060981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9.0324277651094409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1.7053025658242404E-13</v>
      </c>
      <c r="CU168" s="17">
        <f>CT168*VLOOKUP('Données projet'!$B$13,Paramètres!$A$1:$I$89,3,0)*VLOOKUP('Données projet'!$B$13,Paramètres!$A$1:$I$89,5,0)</f>
        <v>1.3301360013429075E-13</v>
      </c>
      <c r="CV168" s="13">
        <f t="shared" si="173"/>
        <v>1.9329766731057041E-12</v>
      </c>
      <c r="CW168" s="20">
        <f t="shared" si="174"/>
        <v>3.5982663925596575E-12</v>
      </c>
      <c r="CX168" s="59">
        <f t="shared" si="122"/>
        <v>288.22609502834973</v>
      </c>
      <c r="CY168" s="59">
        <f ca="1">AVERAGE(OFFSET($CX$3,0,0,'Données projet'!$E$13+1,1))-AVERAGE(OFFSET($H$3,0,0,'Données projet'!$E$13+1,1))</f>
        <v>308.82719216177946</v>
      </c>
      <c r="CZ168" s="59">
        <f t="shared" si="150"/>
        <v>302.59481222418219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12.120449124051708</v>
      </c>
      <c r="DG168" s="21">
        <f>EXP(-LN(2)/25)*DG167+(1-EXP(-LN(2)/25))/(LN(2)/25)*Calculateur!DB168*Calculateur!DD168*VLOOKUP('Données projet'!$B$13,Paramètres!$A$1:$I$89,3,0)*0.475*44/12</f>
        <v>4.7631026467870008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16.883551770838707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304.99999999999983</v>
      </c>
      <c r="DP168" s="17">
        <f>DO168*VLOOKUP('Données projet'!$B$14,Paramètres!$A$1:$I$89,3,0)*VLOOKUP('Données projet'!$B$14,Paramètres!$A$1:$I$89,5,0)</f>
        <v>275.96399999999983</v>
      </c>
      <c r="DQ168" s="13">
        <f t="shared" si="176"/>
        <v>66.113366665488854</v>
      </c>
      <c r="DR168" s="20">
        <f t="shared" si="177"/>
        <v>595.78474694239264</v>
      </c>
      <c r="DS168" s="59">
        <f t="shared" si="125"/>
        <v>884.01084197073874</v>
      </c>
      <c r="DT168" s="59">
        <f ca="1">AVERAGE(OFFSET($DS$3,0,0,'Données projet'!$E$14+1,1))-AVERAGE(OFFSET($H$3,0,0,'Données projet'!$E$14+1,1))</f>
        <v>376.51107072413777</v>
      </c>
      <c r="DU168" s="59">
        <f t="shared" si="152"/>
        <v>532.90758914457615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0.11153144689498237</v>
      </c>
      <c r="EB168" s="21">
        <f>EXP(-LN(2)/25)*EB167+(1-EXP(-LN(2)/25))/(LN(2)/25)*Calculateur!DW168*Calculateur!DY168*VLOOKUP('Données projet'!$B$14,Paramètres!$A$1:$I$89,3,0)*0.475*44/12</f>
        <v>0.17485221891436736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0.28638366580934971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-1.7053025658242404E-13</v>
      </c>
      <c r="EK168" s="17">
        <f>EJ168*VLOOKUP('Données projet'!$B$15,Paramètres!$A$1:$I$89,3,0)*VLOOKUP('Données projet'!$B$15,Paramètres!$A$1:$I$89,5,0)</f>
        <v>-1.0197709343628959E-13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337.99164391755608</v>
      </c>
      <c r="EP168" s="59">
        <f t="shared" si="154"/>
        <v>421.45428231923393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18.805670466186132</v>
      </c>
      <c r="EW168" s="21">
        <f>EXP(-LN(2)/25)*EW167+(1-EXP(-LN(2)/25))/(LN(2)/25)*Calculateur!ER168*Calculateur!ET168*VLOOKUP('Données projet'!$B$15,Paramètres!$A$1:$I$89,3,0)*0.475*44/12</f>
        <v>2.1524702788179644</v>
      </c>
      <c r="EX168" s="21">
        <f>EXP(-LN(2)/2)*EX167+(1-EXP(-LN(2)/2))/(LN(2)/2)*ER168*EU168*VLOOKUP('Données projet'!$B$15,Paramètres!$A$1:$I$89,3,0)*0.475*44/12</f>
        <v>1.5860434575021116E-15</v>
      </c>
      <c r="EY168" s="22">
        <f t="shared" si="181"/>
        <v>20.958140745004098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-4.5474735088646412E-13</v>
      </c>
      <c r="O169" s="13">
        <f>N169*VLOOKUP('Données projet'!$B$9,Paramètres!$A$1:$I$89,3,0)*VLOOKUP('Données projet'!$B$9,Paramètres!$A$1:$I$89,5,0)</f>
        <v>-4.1145540308207271E-13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388.1278150896951</v>
      </c>
      <c r="T169" s="59">
        <f t="shared" si="142"/>
        <v>232.26614607059227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128.7394315989942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128.7394315989942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-4.5474735088646412E-13</v>
      </c>
      <c r="AJ169" s="13">
        <f>AI169*VLOOKUP('Données projet'!$B$10,Paramètres!$A$1:$I$89,3,0)*VLOOKUP('Données projet'!$B$10,Paramètres!$A$1:$I$89,5,0)</f>
        <v>-4.6111381379887462E-13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424.89201140676084</v>
      </c>
      <c r="AO169" s="59">
        <f t="shared" si="144"/>
        <v>253.0016648946303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144.27694920576934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144.27694920576934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-4.5474735088646412E-13</v>
      </c>
      <c r="BE169" s="13">
        <f>BD169*VLOOKUP('Données projet'!$B$11,Paramètres!$A$1:$I$89,3,0)*VLOOKUP('Données projet'!$B$11,Paramètres!$A$1:$I$89,5,0)</f>
        <v>-4.3273757910355926E-13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403.89478276355294</v>
      </c>
      <c r="BJ169" s="59">
        <f t="shared" si="146"/>
        <v>241.1593989733278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135.39836771618354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135.39836771618354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319</v>
      </c>
      <c r="BZ169" s="13">
        <f>BY169*VLOOKUP('Données projet'!$B$12,Paramètres!$A$1:$I$89,3,0)*VLOOKUP('Données projet'!$B$12,Paramètres!$A$1:$I$89,5,0)</f>
        <v>253.79640000000001</v>
      </c>
      <c r="CA169" s="13">
        <f t="shared" si="170"/>
        <v>61.39816832228076</v>
      </c>
      <c r="CB169" s="20">
        <f t="shared" si="171"/>
        <v>548.96387316130563</v>
      </c>
      <c r="CC169" s="59">
        <f t="shared" si="119"/>
        <v>837.27856735616911</v>
      </c>
      <c r="CD169" s="59">
        <f ca="1">AVERAGE(OFFSET($CC$3,0,0,'Données projet'!$E$12+1,1))-AVERAGE(OFFSET($H$3,0,0,'Données projet'!$E$12+1,1))</f>
        <v>377.27600411578322</v>
      </c>
      <c r="CE169" s="59">
        <f t="shared" si="148"/>
        <v>364.58250627635425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8.1545305659651657</v>
      </c>
      <c r="CL169" s="21">
        <f>EXP(-LN(2)/25)*CL168+(1-EXP(-LN(2)/25))/(LN(2)/25)*Calculateur!CG169*Calculateur!CI169*VLOOKUP('Données projet'!$B$12,Paramètres!$A$1:$I$89,3,0)*0.475*44/12</f>
        <v>0.69524739889499476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8.8497779648601611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1.7053025658242404E-13</v>
      </c>
      <c r="CU169" s="17">
        <f>CT169*VLOOKUP('Données projet'!$B$13,Paramètres!$A$1:$I$89,3,0)*VLOOKUP('Données projet'!$B$13,Paramètres!$A$1:$I$89,5,0)</f>
        <v>1.3301360013429075E-13</v>
      </c>
      <c r="CV169" s="13">
        <f t="shared" si="173"/>
        <v>1.9329766731057041E-12</v>
      </c>
      <c r="CW169" s="20">
        <f t="shared" si="174"/>
        <v>3.5982663925596575E-12</v>
      </c>
      <c r="CX169" s="59">
        <f t="shared" si="122"/>
        <v>288.314694194867</v>
      </c>
      <c r="CY169" s="59">
        <f ca="1">AVERAGE(OFFSET($CX$3,0,0,'Données projet'!$E$13+1,1))-AVERAGE(OFFSET($H$3,0,0,'Données projet'!$E$13+1,1))</f>
        <v>308.82719216177946</v>
      </c>
      <c r="CZ169" s="59">
        <f t="shared" si="150"/>
        <v>302.59481222418219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11.882774509473046</v>
      </c>
      <c r="DG169" s="21">
        <f>EXP(-LN(2)/25)*DG168+(1-EXP(-LN(2)/25))/(LN(2)/25)*Calculateur!DB169*Calculateur!DD169*VLOOKUP('Données projet'!$B$13,Paramètres!$A$1:$I$89,3,0)*0.475*44/12</f>
        <v>4.6328553544299282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16.515629863902973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304.99999999999983</v>
      </c>
      <c r="DP169" s="17">
        <f>DO169*VLOOKUP('Données projet'!$B$14,Paramètres!$A$1:$I$89,3,0)*VLOOKUP('Données projet'!$B$14,Paramètres!$A$1:$I$89,5,0)</f>
        <v>275.96399999999983</v>
      </c>
      <c r="DQ169" s="13">
        <f t="shared" si="176"/>
        <v>66.113366665488854</v>
      </c>
      <c r="DR169" s="20">
        <f t="shared" si="177"/>
        <v>595.78474694239264</v>
      </c>
      <c r="DS169" s="59">
        <f t="shared" si="125"/>
        <v>884.09944113725601</v>
      </c>
      <c r="DT169" s="59">
        <f ca="1">AVERAGE(OFFSET($DS$3,0,0,'Données projet'!$E$14+1,1))-AVERAGE(OFFSET($H$3,0,0,'Données projet'!$E$14+1,1))</f>
        <v>376.51107072413777</v>
      </c>
      <c r="DU169" s="59">
        <f t="shared" si="152"/>
        <v>532.90758914457615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0.10934438324883722</v>
      </c>
      <c r="EB169" s="21">
        <f>EXP(-LN(2)/25)*EB168+(1-EXP(-LN(2)/25))/(LN(2)/25)*Calculateur!DW169*Calculateur!DY169*VLOOKUP('Données projet'!$B$14,Paramètres!$A$1:$I$89,3,0)*0.475*44/12</f>
        <v>0.17007087579307542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0.27941525904191267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-1.7053025658242404E-13</v>
      </c>
      <c r="EK169" s="17">
        <f>EJ169*VLOOKUP('Données projet'!$B$15,Paramètres!$A$1:$I$89,3,0)*VLOOKUP('Données projet'!$B$15,Paramètres!$A$1:$I$89,5,0)</f>
        <v>-1.0197709343628959E-13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337.99164391755608</v>
      </c>
      <c r="EP169" s="59">
        <f t="shared" si="154"/>
        <v>421.45428231923393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18.436902738670607</v>
      </c>
      <c r="EW169" s="21">
        <f>EXP(-LN(2)/25)*EW168+(1-EXP(-LN(2)/25))/(LN(2)/25)*Calculateur!ER169*Calculateur!ET169*VLOOKUP('Données projet'!$B$15,Paramètres!$A$1:$I$89,3,0)*0.475*44/12</f>
        <v>2.0936108658501946</v>
      </c>
      <c r="EX169" s="21">
        <f>EXP(-LN(2)/2)*EX168+(1-EXP(-LN(2)/2))/(LN(2)/2)*ER169*EU169*VLOOKUP('Données projet'!$B$15,Paramètres!$A$1:$I$89,3,0)*0.475*44/12</f>
        <v>1.1215020840563009E-15</v>
      </c>
      <c r="EY169" s="22">
        <f t="shared" si="181"/>
        <v>20.530513604520802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-4.5474735088646412E-13</v>
      </c>
      <c r="O170" s="13">
        <f>N170*VLOOKUP('Données projet'!$B$9,Paramètres!$A$1:$I$89,3,0)*VLOOKUP('Données projet'!$B$9,Paramètres!$A$1:$I$89,5,0)</f>
        <v>-4.1145540308207271E-13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388.1278150896951</v>
      </c>
      <c r="T170" s="59">
        <f t="shared" si="142"/>
        <v>232.26614607059227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126.21492986863767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126.21492986863767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-4.5474735088646412E-13</v>
      </c>
      <c r="AJ170" s="13">
        <f>AI170*VLOOKUP('Données projet'!$B$10,Paramètres!$A$1:$I$89,3,0)*VLOOKUP('Données projet'!$B$10,Paramètres!$A$1:$I$89,5,0)</f>
        <v>-4.6111381379887462E-13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424.89201140676084</v>
      </c>
      <c r="AO170" s="59">
        <f t="shared" si="144"/>
        <v>253.0016648946303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141.44776623209393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141.44776623209393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-4.5474735088646412E-13</v>
      </c>
      <c r="BE170" s="13">
        <f>BD170*VLOOKUP('Données projet'!$B$11,Paramètres!$A$1:$I$89,3,0)*VLOOKUP('Données projet'!$B$11,Paramètres!$A$1:$I$89,5,0)</f>
        <v>-4.3273757910355926E-13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403.89478276355294</v>
      </c>
      <c r="BJ170" s="59">
        <f t="shared" si="146"/>
        <v>241.1593989733278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132.74328831011891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132.74328831011891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319</v>
      </c>
      <c r="BZ170" s="13">
        <f>BY170*VLOOKUP('Données projet'!$B$12,Paramètres!$A$1:$I$89,3,0)*VLOOKUP('Données projet'!$B$12,Paramètres!$A$1:$I$89,5,0)</f>
        <v>253.79640000000001</v>
      </c>
      <c r="CA170" s="13">
        <f t="shared" si="170"/>
        <v>61.39816832228076</v>
      </c>
      <c r="CB170" s="20">
        <f t="shared" si="171"/>
        <v>548.96387316130563</v>
      </c>
      <c r="CC170" s="59">
        <f t="shared" si="119"/>
        <v>837.36562952522524</v>
      </c>
      <c r="CD170" s="59">
        <f ca="1">AVERAGE(OFFSET($CC$3,0,0,'Données projet'!$E$12+1,1))-AVERAGE(OFFSET($H$3,0,0,'Données projet'!$E$12+1,1))</f>
        <v>377.27600411578322</v>
      </c>
      <c r="CE170" s="59">
        <f t="shared" si="148"/>
        <v>364.58250627635425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7.9946251953391148</v>
      </c>
      <c r="CL170" s="21">
        <f>EXP(-LN(2)/25)*CL169+(1-EXP(-LN(2)/25))/(LN(2)/25)*Calculateur!CG170*Calculateur!CI170*VLOOKUP('Données projet'!$B$12,Paramètres!$A$1:$I$89,3,0)*0.475*44/12</f>
        <v>0.67623582221073941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8.6708610175498535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1.7053025658242404E-13</v>
      </c>
      <c r="CU170" s="17">
        <f>CT170*VLOOKUP('Données projet'!$B$13,Paramètres!$A$1:$I$89,3,0)*VLOOKUP('Données projet'!$B$13,Paramètres!$A$1:$I$89,5,0)</f>
        <v>1.3301360013429075E-13</v>
      </c>
      <c r="CV170" s="13">
        <f t="shared" si="173"/>
        <v>1.9329766731057041E-12</v>
      </c>
      <c r="CW170" s="20">
        <f t="shared" si="174"/>
        <v>3.5982663925596575E-12</v>
      </c>
      <c r="CX170" s="59">
        <f t="shared" si="122"/>
        <v>288.4017563639232</v>
      </c>
      <c r="CY170" s="59">
        <f ca="1">AVERAGE(OFFSET($CX$3,0,0,'Données projet'!$E$13+1,1))-AVERAGE(OFFSET($H$3,0,0,'Données projet'!$E$13+1,1))</f>
        <v>308.82719216177946</v>
      </c>
      <c r="CZ170" s="59">
        <f t="shared" si="150"/>
        <v>302.59481222418219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11.649760549119073</v>
      </c>
      <c r="DG170" s="21">
        <f>EXP(-LN(2)/25)*DG169+(1-EXP(-LN(2)/25))/(LN(2)/25)*Calculateur!DB170*Calculateur!DD170*VLOOKUP('Données projet'!$B$13,Paramètres!$A$1:$I$89,3,0)*0.475*44/12</f>
        <v>4.5061696811317669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16.155930230250839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304.99999999999983</v>
      </c>
      <c r="DP170" s="17">
        <f>DO170*VLOOKUP('Données projet'!$B$14,Paramètres!$A$1:$I$89,3,0)*VLOOKUP('Données projet'!$B$14,Paramètres!$A$1:$I$89,5,0)</f>
        <v>275.96399999999983</v>
      </c>
      <c r="DQ170" s="13">
        <f t="shared" si="176"/>
        <v>66.113366665488854</v>
      </c>
      <c r="DR170" s="20">
        <f t="shared" si="177"/>
        <v>595.78474694239264</v>
      </c>
      <c r="DS170" s="59">
        <f t="shared" si="125"/>
        <v>884.18650330631226</v>
      </c>
      <c r="DT170" s="59">
        <f ca="1">AVERAGE(OFFSET($DS$3,0,0,'Données projet'!$E$14+1,1))-AVERAGE(OFFSET($H$3,0,0,'Données projet'!$E$14+1,1))</f>
        <v>376.51107072413777</v>
      </c>
      <c r="DU170" s="59">
        <f t="shared" si="152"/>
        <v>532.90758914457615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0.10720020658681587</v>
      </c>
      <c r="EB170" s="21">
        <f>EXP(-LN(2)/25)*EB169+(1-EXP(-LN(2)/25))/(LN(2)/25)*Calculateur!DW170*Calculateur!DY170*VLOOKUP('Données projet'!$B$14,Paramètres!$A$1:$I$89,3,0)*0.475*44/12</f>
        <v>0.16542027875087512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0.27262048533769101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-1.7053025658242404E-13</v>
      </c>
      <c r="EK170" s="17">
        <f>EJ170*VLOOKUP('Données projet'!$B$15,Paramètres!$A$1:$I$89,3,0)*VLOOKUP('Données projet'!$B$15,Paramètres!$A$1:$I$89,5,0)</f>
        <v>-1.0197709343628959E-13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337.99164391755608</v>
      </c>
      <c r="EP170" s="59">
        <f t="shared" si="154"/>
        <v>421.45428231923393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18.075366321365557</v>
      </c>
      <c r="EW170" s="21">
        <f>EXP(-LN(2)/25)*EW169+(1-EXP(-LN(2)/25))/(LN(2)/25)*Calculateur!ER170*Calculateur!ET170*VLOOKUP('Données projet'!$B$15,Paramètres!$A$1:$I$89,3,0)*0.475*44/12</f>
        <v>2.0363609666253106</v>
      </c>
      <c r="EX170" s="21">
        <f>EXP(-LN(2)/2)*EX169+(1-EXP(-LN(2)/2))/(LN(2)/2)*ER170*EU170*VLOOKUP('Données projet'!$B$15,Paramètres!$A$1:$I$89,3,0)*0.475*44/12</f>
        <v>7.9302172875105579E-16</v>
      </c>
      <c r="EY170" s="22">
        <f t="shared" si="181"/>
        <v>20.111727287990867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-4.5474735088646412E-13</v>
      </c>
      <c r="O171" s="13">
        <f>N171*VLOOKUP('Données projet'!$B$9,Paramètres!$A$1:$I$89,3,0)*VLOOKUP('Données projet'!$B$9,Paramètres!$A$1:$I$89,5,0)</f>
        <v>-4.1145540308207271E-13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388.1278150896951</v>
      </c>
      <c r="T171" s="59">
        <f t="shared" si="142"/>
        <v>232.26614607059227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123.73993207741941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123.73993207741941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-4.5474735088646412E-13</v>
      </c>
      <c r="AJ171" s="13">
        <f>AI171*VLOOKUP('Données projet'!$B$10,Paramètres!$A$1:$I$89,3,0)*VLOOKUP('Données projet'!$B$10,Paramètres!$A$1:$I$89,5,0)</f>
        <v>-4.6111381379887462E-13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424.89201140676084</v>
      </c>
      <c r="AO171" s="59">
        <f t="shared" si="144"/>
        <v>253.0016648946303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138.67406181090107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138.67406181090107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-4.5474735088646412E-13</v>
      </c>
      <c r="BE171" s="13">
        <f>BD171*VLOOKUP('Données projet'!$B$11,Paramètres!$A$1:$I$89,3,0)*VLOOKUP('Données projet'!$B$11,Paramètres!$A$1:$I$89,5,0)</f>
        <v>-4.3273757910355926E-13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403.89478276355294</v>
      </c>
      <c r="BJ171" s="59">
        <f t="shared" si="146"/>
        <v>241.1593989733278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130.14027339176869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130.14027339176869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319</v>
      </c>
      <c r="BZ171" s="13">
        <f>BY171*VLOOKUP('Données projet'!$B$12,Paramètres!$A$1:$I$89,3,0)*VLOOKUP('Données projet'!$B$12,Paramètres!$A$1:$I$89,5,0)</f>
        <v>253.79640000000001</v>
      </c>
      <c r="CA171" s="13">
        <f t="shared" si="170"/>
        <v>61.39816832228076</v>
      </c>
      <c r="CB171" s="20">
        <f t="shared" si="171"/>
        <v>548.96387316130563</v>
      </c>
      <c r="CC171" s="59">
        <f t="shared" si="119"/>
        <v>837.45118136029009</v>
      </c>
      <c r="CD171" s="59">
        <f ca="1">AVERAGE(OFFSET($CC$3,0,0,'Données projet'!$E$12+1,1))-AVERAGE(OFFSET($H$3,0,0,'Données projet'!$E$12+1,1))</f>
        <v>377.27600411578322</v>
      </c>
      <c r="CE171" s="59">
        <f t="shared" si="148"/>
        <v>364.58250627635425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7.8378554714983952</v>
      </c>
      <c r="CL171" s="21">
        <f>EXP(-LN(2)/25)*CL170+(1-EXP(-LN(2)/25))/(LN(2)/25)*Calculateur!CG171*Calculateur!CI171*VLOOKUP('Données projet'!$B$12,Paramètres!$A$1:$I$89,3,0)*0.475*44/12</f>
        <v>0.65774411809069044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8.4955995895890855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1.7053025658242404E-13</v>
      </c>
      <c r="CU171" s="17">
        <f>CT171*VLOOKUP('Données projet'!$B$13,Paramètres!$A$1:$I$89,3,0)*VLOOKUP('Données projet'!$B$13,Paramètres!$A$1:$I$89,5,0)</f>
        <v>1.3301360013429075E-13</v>
      </c>
      <c r="CV171" s="13">
        <f t="shared" si="173"/>
        <v>1.9329766731057041E-12</v>
      </c>
      <c r="CW171" s="20">
        <f t="shared" si="174"/>
        <v>3.5982663925596575E-12</v>
      </c>
      <c r="CX171" s="59">
        <f t="shared" si="122"/>
        <v>288.4873081989881</v>
      </c>
      <c r="CY171" s="59">
        <f ca="1">AVERAGE(OFFSET($CX$3,0,0,'Données projet'!$E$13+1,1))-AVERAGE(OFFSET($H$3,0,0,'Données projet'!$E$13+1,1))</f>
        <v>308.82719216177946</v>
      </c>
      <c r="CZ171" s="59">
        <f t="shared" si="150"/>
        <v>302.59481222418219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11.421315850403158</v>
      </c>
      <c r="DG171" s="21">
        <f>EXP(-LN(2)/25)*DG170+(1-EXP(-LN(2)/25))/(LN(2)/25)*Calculateur!DB171*Calculateur!DD171*VLOOKUP('Données projet'!$B$13,Paramètres!$A$1:$I$89,3,0)*0.475*44/12</f>
        <v>4.382948234232054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15.804264084635211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304.99999999999983</v>
      </c>
      <c r="DP171" s="17">
        <f>DO171*VLOOKUP('Données projet'!$B$14,Paramètres!$A$1:$I$89,3,0)*VLOOKUP('Données projet'!$B$14,Paramètres!$A$1:$I$89,5,0)</f>
        <v>275.96399999999983</v>
      </c>
      <c r="DQ171" s="13">
        <f t="shared" si="176"/>
        <v>66.113366665488854</v>
      </c>
      <c r="DR171" s="20">
        <f t="shared" si="177"/>
        <v>595.78474694239264</v>
      </c>
      <c r="DS171" s="59">
        <f t="shared" si="125"/>
        <v>884.27205514137722</v>
      </c>
      <c r="DT171" s="59">
        <f ca="1">AVERAGE(OFFSET($DS$3,0,0,'Données projet'!$E$14+1,1))-AVERAGE(OFFSET($H$3,0,0,'Données projet'!$E$14+1,1))</f>
        <v>376.51107072413777</v>
      </c>
      <c r="DU171" s="59">
        <f t="shared" si="152"/>
        <v>532.90758914457615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0.10509807592131813</v>
      </c>
      <c r="EB171" s="21">
        <f>EXP(-LN(2)/25)*EB170+(1-EXP(-LN(2)/25))/(LN(2)/25)*Calculateur!DW171*Calculateur!DY171*VLOOKUP('Données projet'!$B$14,Paramètres!$A$1:$I$89,3,0)*0.475*44/12</f>
        <v>0.16089685252935804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0.26599492845067618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-1.7053025658242404E-13</v>
      </c>
      <c r="EK171" s="17">
        <f>EJ171*VLOOKUP('Données projet'!$B$15,Paramètres!$A$1:$I$89,3,0)*VLOOKUP('Données projet'!$B$15,Paramètres!$A$1:$I$89,5,0)</f>
        <v>-1.0197709343628959E-13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337.99164391755608</v>
      </c>
      <c r="EP171" s="59">
        <f t="shared" si="154"/>
        <v>421.45428231923393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17.720919412688417</v>
      </c>
      <c r="EW171" s="21">
        <f>EXP(-LN(2)/25)*EW170+(1-EXP(-LN(2)/25))/(LN(2)/25)*Calculateur!ER171*Calculateur!ET171*VLOOKUP('Données projet'!$B$15,Paramètres!$A$1:$I$89,3,0)*0.475*44/12</f>
        <v>1.9806765689053725</v>
      </c>
      <c r="EX171" s="21">
        <f>EXP(-LN(2)/2)*EX170+(1-EXP(-LN(2)/2))/(LN(2)/2)*ER171*EU171*VLOOKUP('Données projet'!$B$15,Paramètres!$A$1:$I$89,3,0)*0.475*44/12</f>
        <v>5.6075104202815044E-16</v>
      </c>
      <c r="EY171" s="22">
        <f t="shared" si="181"/>
        <v>19.70159598159379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-4.5474735088646412E-13</v>
      </c>
      <c r="O172" s="13">
        <f>N172*VLOOKUP('Données projet'!$B$9,Paramètres!$A$1:$I$89,3,0)*VLOOKUP('Données projet'!$B$9,Paramètres!$A$1:$I$89,5,0)</f>
        <v>-4.1145540308207271E-13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388.1278150896951</v>
      </c>
      <c r="T172" s="59">
        <f t="shared" si="142"/>
        <v>232.26614607059227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121.31346748328735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121.31346748328735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-4.5474735088646412E-13</v>
      </c>
      <c r="AJ172" s="13">
        <f>AI172*VLOOKUP('Données projet'!$B$10,Paramètres!$A$1:$I$89,3,0)*VLOOKUP('Données projet'!$B$10,Paramètres!$A$1:$I$89,5,0)</f>
        <v>-4.6111381379887462E-13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424.89201140676084</v>
      </c>
      <c r="AO172" s="59">
        <f t="shared" si="144"/>
        <v>253.0016648946303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135.95474804161515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135.95474804161515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-4.5474735088646412E-13</v>
      </c>
      <c r="BE172" s="13">
        <f>BD172*VLOOKUP('Données projet'!$B$11,Paramètres!$A$1:$I$89,3,0)*VLOOKUP('Données projet'!$B$11,Paramètres!$A$1:$I$89,5,0)</f>
        <v>-4.3273757910355926E-13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403.89478276355294</v>
      </c>
      <c r="BJ172" s="59">
        <f t="shared" si="146"/>
        <v>241.1593989733278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127.58830200828497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127.58830200828497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319</v>
      </c>
      <c r="BZ172" s="13">
        <f>BY172*VLOOKUP('Données projet'!$B$12,Paramètres!$A$1:$I$89,3,0)*VLOOKUP('Données projet'!$B$12,Paramètres!$A$1:$I$89,5,0)</f>
        <v>253.79640000000001</v>
      </c>
      <c r="CA172" s="13">
        <f t="shared" si="170"/>
        <v>61.39816832228076</v>
      </c>
      <c r="CB172" s="20">
        <f t="shared" si="171"/>
        <v>548.96387316130563</v>
      </c>
      <c r="CC172" s="59">
        <f t="shared" si="119"/>
        <v>837.53524906228199</v>
      </c>
      <c r="CD172" s="59">
        <f ca="1">AVERAGE(OFFSET($CC$3,0,0,'Données projet'!$E$12+1,1))-AVERAGE(OFFSET($H$3,0,0,'Données projet'!$E$12+1,1))</f>
        <v>377.27600411578322</v>
      </c>
      <c r="CE172" s="59">
        <f t="shared" si="148"/>
        <v>364.58250627635425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7.684159906322102</v>
      </c>
      <c r="CL172" s="21">
        <f>EXP(-LN(2)/25)*CL171+(1-EXP(-LN(2)/25))/(LN(2)/25)*Calculateur!CG172*Calculateur!CI172*VLOOKUP('Données projet'!$B$12,Paramètres!$A$1:$I$89,3,0)*0.475*44/12</f>
        <v>0.63975807059224066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8.323917976914343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1.7053025658242404E-13</v>
      </c>
      <c r="CU172" s="17">
        <f>CT172*VLOOKUP('Données projet'!$B$13,Paramètres!$A$1:$I$89,3,0)*VLOOKUP('Données projet'!$B$13,Paramètres!$A$1:$I$89,5,0)</f>
        <v>1.3301360013429075E-13</v>
      </c>
      <c r="CV172" s="13">
        <f t="shared" si="173"/>
        <v>1.9329766731057041E-12</v>
      </c>
      <c r="CW172" s="20">
        <f t="shared" si="174"/>
        <v>3.5982663925596575E-12</v>
      </c>
      <c r="CX172" s="59">
        <f t="shared" si="122"/>
        <v>288.57137590098</v>
      </c>
      <c r="CY172" s="59">
        <f ca="1">AVERAGE(OFFSET($CX$3,0,0,'Données projet'!$E$13+1,1))-AVERAGE(OFFSET($H$3,0,0,'Données projet'!$E$13+1,1))</f>
        <v>308.82719216177946</v>
      </c>
      <c r="CZ172" s="59">
        <f t="shared" si="150"/>
        <v>302.59481222418219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11.197350812891553</v>
      </c>
      <c r="DG172" s="21">
        <f>EXP(-LN(2)/25)*DG171+(1-EXP(-LN(2)/25))/(LN(2)/25)*Calculateur!DB172*Calculateur!DD172*VLOOKUP('Données projet'!$B$13,Paramètres!$A$1:$I$89,3,0)*0.475*44/12</f>
        <v>4.263096284277748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15.4604470971693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304.99999999999983</v>
      </c>
      <c r="DP172" s="17">
        <f>DO172*VLOOKUP('Données projet'!$B$14,Paramètres!$A$1:$I$89,3,0)*VLOOKUP('Données projet'!$B$14,Paramètres!$A$1:$I$89,5,0)</f>
        <v>275.96399999999983</v>
      </c>
      <c r="DQ172" s="13">
        <f t="shared" si="176"/>
        <v>66.113366665488854</v>
      </c>
      <c r="DR172" s="20">
        <f t="shared" si="177"/>
        <v>595.78474694239264</v>
      </c>
      <c r="DS172" s="59">
        <f t="shared" si="125"/>
        <v>884.35612284336912</v>
      </c>
      <c r="DT172" s="59">
        <f ca="1">AVERAGE(OFFSET($DS$3,0,0,'Données projet'!$E$14+1,1))-AVERAGE(OFFSET($H$3,0,0,'Données projet'!$E$14+1,1))</f>
        <v>376.51107072413777</v>
      </c>
      <c r="DU172" s="59">
        <f t="shared" si="152"/>
        <v>532.90758914457615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0.10303716675599769</v>
      </c>
      <c r="EB172" s="21">
        <f>EXP(-LN(2)/25)*EB171+(1-EXP(-LN(2)/25))/(LN(2)/25)*Calculateur!DW172*Calculateur!DY172*VLOOKUP('Données projet'!$B$14,Paramètres!$A$1:$I$89,3,0)*0.475*44/12</f>
        <v>0.156497119635745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0.2595342863917427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-1.7053025658242404E-13</v>
      </c>
      <c r="EK172" s="17">
        <f>EJ172*VLOOKUP('Données projet'!$B$15,Paramètres!$A$1:$I$89,3,0)*VLOOKUP('Données projet'!$B$15,Paramètres!$A$1:$I$89,5,0)</f>
        <v>-1.0197709343628959E-13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337.99164391755608</v>
      </c>
      <c r="EP172" s="59">
        <f t="shared" si="154"/>
        <v>421.45428231923393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17.373422991699169</v>
      </c>
      <c r="EW172" s="21">
        <f>EXP(-LN(2)/25)*EW171+(1-EXP(-LN(2)/25))/(LN(2)/25)*Calculateur!ER172*Calculateur!ET172*VLOOKUP('Données projet'!$B$15,Paramètres!$A$1:$I$89,3,0)*0.475*44/12</f>
        <v>1.9265148639694012</v>
      </c>
      <c r="EX172" s="21">
        <f>EXP(-LN(2)/2)*EX171+(1-EXP(-LN(2)/2))/(LN(2)/2)*ER172*EU172*VLOOKUP('Données projet'!$B$15,Paramètres!$A$1:$I$89,3,0)*0.475*44/12</f>
        <v>3.965108643755279E-16</v>
      </c>
      <c r="EY172" s="22">
        <f t="shared" si="181"/>
        <v>19.299937855668571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-4.5474735088646412E-13</v>
      </c>
      <c r="O173" s="13">
        <f>N173*VLOOKUP('Données projet'!$B$9,Paramètres!$A$1:$I$89,3,0)*VLOOKUP('Données projet'!$B$9,Paramètres!$A$1:$I$89,5,0)</f>
        <v>-4.1145540308207271E-13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388.1278150896951</v>
      </c>
      <c r="T173" s="59">
        <f t="shared" si="142"/>
        <v>232.26614607059227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118.93458437984896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118.93458437984896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-4.5474735088646412E-13</v>
      </c>
      <c r="AJ173" s="13">
        <f>AI173*VLOOKUP('Données projet'!$B$10,Paramètres!$A$1:$I$89,3,0)*VLOOKUP('Données projet'!$B$10,Paramètres!$A$1:$I$89,5,0)</f>
        <v>-4.6111381379887462E-13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424.89201140676084</v>
      </c>
      <c r="AO173" s="59">
        <f t="shared" si="144"/>
        <v>253.0016648946303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133.2887583567273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133.2887583567273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-4.5474735088646412E-13</v>
      </c>
      <c r="BE173" s="13">
        <f>BD173*VLOOKUP('Données projet'!$B$11,Paramètres!$A$1:$I$89,3,0)*VLOOKUP('Données projet'!$B$11,Paramètres!$A$1:$I$89,5,0)</f>
        <v>-4.3273757910355926E-13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403.89478276355294</v>
      </c>
      <c r="BJ173" s="59">
        <f t="shared" si="146"/>
        <v>241.1593989733278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125.08637322708252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125.08637322708252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319</v>
      </c>
      <c r="BZ173" s="13">
        <f>BY173*VLOOKUP('Données projet'!$B$12,Paramètres!$A$1:$I$89,3,0)*VLOOKUP('Données projet'!$B$12,Paramètres!$A$1:$I$89,5,0)</f>
        <v>253.79640000000001</v>
      </c>
      <c r="CA173" s="13">
        <f t="shared" si="170"/>
        <v>61.39816832228076</v>
      </c>
      <c r="CB173" s="20">
        <f t="shared" si="171"/>
        <v>548.96387316130563</v>
      </c>
      <c r="CC173" s="59">
        <f t="shared" si="119"/>
        <v>837.61785837759157</v>
      </c>
      <c r="CD173" s="59">
        <f ca="1">AVERAGE(OFFSET($CC$3,0,0,'Données projet'!$E$12+1,1))-AVERAGE(OFFSET($H$3,0,0,'Données projet'!$E$12+1,1))</f>
        <v>377.27600411578322</v>
      </c>
      <c r="CE173" s="59">
        <f t="shared" si="148"/>
        <v>364.58250627635425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7.5334782174338777</v>
      </c>
      <c r="CL173" s="21">
        <f>EXP(-LN(2)/25)*CL172+(1-EXP(-LN(2)/25))/(LN(2)/25)*Calculateur!CG173*Calculateur!CI173*VLOOKUP('Données projet'!$B$12,Paramètres!$A$1:$I$89,3,0)*0.475*44/12</f>
        <v>0.62226385250848104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8.1557420699423595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1.7053025658242404E-13</v>
      </c>
      <c r="CU173" s="17">
        <f>CT173*VLOOKUP('Données projet'!$B$13,Paramètres!$A$1:$I$89,3,0)*VLOOKUP('Données projet'!$B$13,Paramètres!$A$1:$I$89,5,0)</f>
        <v>1.3301360013429075E-13</v>
      </c>
      <c r="CV173" s="13">
        <f t="shared" si="173"/>
        <v>1.9329766731057041E-12</v>
      </c>
      <c r="CW173" s="20">
        <f t="shared" si="174"/>
        <v>3.5982663925596575E-12</v>
      </c>
      <c r="CX173" s="59">
        <f t="shared" si="122"/>
        <v>288.65398521628947</v>
      </c>
      <c r="CY173" s="59">
        <f ca="1">AVERAGE(OFFSET($CX$3,0,0,'Données projet'!$E$13+1,1))-AVERAGE(OFFSET($H$3,0,0,'Données projet'!$E$13+1,1))</f>
        <v>308.82719216177946</v>
      </c>
      <c r="CZ173" s="59">
        <f t="shared" si="150"/>
        <v>302.59481222418219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10.977777593160368</v>
      </c>
      <c r="DG173" s="21">
        <f>EXP(-LN(2)/25)*DG172+(1-EXP(-LN(2)/25))/(LN(2)/25)*Calculateur!DB173*Calculateur!DD173*VLOOKUP('Données projet'!$B$13,Paramètres!$A$1:$I$89,3,0)*0.475*44/12</f>
        <v>4.1465216921976831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15.124299285358052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304.99999999999983</v>
      </c>
      <c r="DP173" s="17">
        <f>DO173*VLOOKUP('Données projet'!$B$14,Paramètres!$A$1:$I$89,3,0)*VLOOKUP('Données projet'!$B$14,Paramètres!$A$1:$I$89,5,0)</f>
        <v>275.96399999999983</v>
      </c>
      <c r="DQ173" s="13">
        <f t="shared" si="176"/>
        <v>66.113366665488854</v>
      </c>
      <c r="DR173" s="20">
        <f t="shared" si="177"/>
        <v>595.78474694239264</v>
      </c>
      <c r="DS173" s="59">
        <f t="shared" si="125"/>
        <v>884.43873215867848</v>
      </c>
      <c r="DT173" s="59">
        <f ca="1">AVERAGE(OFFSET($DS$3,0,0,'Données projet'!$E$14+1,1))-AVERAGE(OFFSET($H$3,0,0,'Données projet'!$E$14+1,1))</f>
        <v>376.51107072413777</v>
      </c>
      <c r="DU173" s="59">
        <f t="shared" si="152"/>
        <v>532.90758914457615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0.10101667076237873</v>
      </c>
      <c r="EB173" s="21">
        <f>EXP(-LN(2)/25)*EB172+(1-EXP(-LN(2)/25))/(LN(2)/25)*Calculateur!DW173*Calculateur!DY173*VLOOKUP('Données projet'!$B$14,Paramètres!$A$1:$I$89,3,0)*0.475*44/12</f>
        <v>0.15221769766947971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0.25323436843185843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-1.7053025658242404E-13</v>
      </c>
      <c r="EK173" s="17">
        <f>EJ173*VLOOKUP('Données projet'!$B$15,Paramètres!$A$1:$I$89,3,0)*VLOOKUP('Données projet'!$B$15,Paramètres!$A$1:$I$89,5,0)</f>
        <v>-1.0197709343628959E-13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337.99164391755608</v>
      </c>
      <c r="EP173" s="59">
        <f t="shared" si="154"/>
        <v>421.45428231923393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17.032740763573631</v>
      </c>
      <c r="EW173" s="21">
        <f>EXP(-LN(2)/25)*EW172+(1-EXP(-LN(2)/25))/(LN(2)/25)*Calculateur!ER173*Calculateur!ET173*VLOOKUP('Données projet'!$B$15,Paramètres!$A$1:$I$89,3,0)*0.475*44/12</f>
        <v>1.8738342137031443</v>
      </c>
      <c r="EX173" s="21">
        <f>EXP(-LN(2)/2)*EX172+(1-EXP(-LN(2)/2))/(LN(2)/2)*ER173*EU173*VLOOKUP('Données projet'!$B$15,Paramètres!$A$1:$I$89,3,0)*0.475*44/12</f>
        <v>2.8037552101407522E-16</v>
      </c>
      <c r="EY173" s="22">
        <f t="shared" si="181"/>
        <v>18.906574977276776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-4.5474735088646412E-13</v>
      </c>
      <c r="O174" s="13">
        <f>N174*VLOOKUP('Données projet'!$B$9,Paramètres!$A$1:$I$89,3,0)*VLOOKUP('Données projet'!$B$9,Paramètres!$A$1:$I$89,5,0)</f>
        <v>-4.1145540308207271E-13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388.1278150896951</v>
      </c>
      <c r="T174" s="59">
        <f t="shared" si="142"/>
        <v>232.26614607059227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116.60234972309357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116.60234972309357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-4.5474735088646412E-13</v>
      </c>
      <c r="AJ174" s="13">
        <f>AI174*VLOOKUP('Données projet'!$B$10,Paramètres!$A$1:$I$89,3,0)*VLOOKUP('Données projet'!$B$10,Paramètres!$A$1:$I$89,5,0)</f>
        <v>-4.6111381379887462E-13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424.89201140676084</v>
      </c>
      <c r="AO174" s="59">
        <f t="shared" si="144"/>
        <v>253.0016648946303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130.67504710346697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130.67504710346697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-4.5474735088646412E-13</v>
      </c>
      <c r="BE174" s="13">
        <f>BD174*VLOOKUP('Données projet'!$B$11,Paramètres!$A$1:$I$89,3,0)*VLOOKUP('Données projet'!$B$11,Paramètres!$A$1:$I$89,5,0)</f>
        <v>-4.3273757910355926E-13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403.89478276355294</v>
      </c>
      <c r="BJ174" s="59">
        <f t="shared" si="146"/>
        <v>241.1593989733278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122.63350574325358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122.63350574325358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319</v>
      </c>
      <c r="BZ174" s="13">
        <f>BY174*VLOOKUP('Données projet'!$B$12,Paramètres!$A$1:$I$89,3,0)*VLOOKUP('Données projet'!$B$12,Paramètres!$A$1:$I$89,5,0)</f>
        <v>253.79640000000001</v>
      </c>
      <c r="CA174" s="13">
        <f t="shared" si="170"/>
        <v>61.39816832228076</v>
      </c>
      <c r="CB174" s="20">
        <f t="shared" si="171"/>
        <v>548.96387316130563</v>
      </c>
      <c r="CC174" s="59">
        <f t="shared" si="119"/>
        <v>837.6990346059672</v>
      </c>
      <c r="CD174" s="59">
        <f ca="1">AVERAGE(OFFSET($CC$3,0,0,'Données projet'!$E$12+1,1))-AVERAGE(OFFSET($H$3,0,0,'Données projet'!$E$12+1,1))</f>
        <v>377.27600411578322</v>
      </c>
      <c r="CE174" s="59">
        <f t="shared" si="148"/>
        <v>364.58250627635425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7.3857513045579966</v>
      </c>
      <c r="CL174" s="21">
        <f>EXP(-LN(2)/25)*CL173+(1-EXP(-LN(2)/25))/(LN(2)/25)*Calculateur!CG174*Calculateur!CI174*VLOOKUP('Données projet'!$B$12,Paramètres!$A$1:$I$89,3,0)*0.475*44/12</f>
        <v>0.60524801473820278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7.9909993192961997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1.7053025658242404E-13</v>
      </c>
      <c r="CU174" s="17">
        <f>CT174*VLOOKUP('Données projet'!$B$13,Paramètres!$A$1:$I$89,3,0)*VLOOKUP('Données projet'!$B$13,Paramètres!$A$1:$I$89,5,0)</f>
        <v>1.3301360013429075E-13</v>
      </c>
      <c r="CV174" s="13">
        <f t="shared" si="173"/>
        <v>1.9329766731057041E-12</v>
      </c>
      <c r="CW174" s="20">
        <f t="shared" si="174"/>
        <v>3.5982663925596575E-12</v>
      </c>
      <c r="CX174" s="59">
        <f t="shared" si="122"/>
        <v>288.7351614446651</v>
      </c>
      <c r="CY174" s="59">
        <f ca="1">AVERAGE(OFFSET($CX$3,0,0,'Données projet'!$E$13+1,1))-AVERAGE(OFFSET($H$3,0,0,'Données projet'!$E$13+1,1))</f>
        <v>308.82719216177946</v>
      </c>
      <c r="CZ174" s="59">
        <f t="shared" si="150"/>
        <v>302.59481222418219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10.762510070341671</v>
      </c>
      <c r="DG174" s="21">
        <f>EXP(-LN(2)/25)*DG173+(1-EXP(-LN(2)/25))/(LN(2)/25)*Calculateur!DB174*Calculateur!DD174*VLOOKUP('Données projet'!$B$13,Paramètres!$A$1:$I$89,3,0)*0.475*44/12</f>
        <v>4.0331348384684382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14.795644908810109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304.99999999999983</v>
      </c>
      <c r="DP174" s="17">
        <f>DO174*VLOOKUP('Données projet'!$B$14,Paramètres!$A$1:$I$89,3,0)*VLOOKUP('Données projet'!$B$14,Paramètres!$A$1:$I$89,5,0)</f>
        <v>275.96399999999983</v>
      </c>
      <c r="DQ174" s="13">
        <f t="shared" si="176"/>
        <v>66.113366665488854</v>
      </c>
      <c r="DR174" s="20">
        <f t="shared" si="177"/>
        <v>595.78474694239264</v>
      </c>
      <c r="DS174" s="59">
        <f t="shared" si="125"/>
        <v>884.5199083870541</v>
      </c>
      <c r="DT174" s="59">
        <f ca="1">AVERAGE(OFFSET($DS$3,0,0,'Données projet'!$E$14+1,1))-AVERAGE(OFFSET($H$3,0,0,'Données projet'!$E$14+1,1))</f>
        <v>376.51107072413777</v>
      </c>
      <c r="DU174" s="59">
        <f t="shared" si="152"/>
        <v>532.90758914457615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9.9035795462813769E-2</v>
      </c>
      <c r="EB174" s="21">
        <f>EXP(-LN(2)/25)*EB173+(1-EXP(-LN(2)/25))/(LN(2)/25)*Calculateur!DW174*Calculateur!DY174*VLOOKUP('Données projet'!$B$14,Paramètres!$A$1:$I$89,3,0)*0.475*44/12</f>
        <v>0.14805529672192697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0.24709109218474073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-1.7053025658242404E-13</v>
      </c>
      <c r="EK174" s="17">
        <f>EJ174*VLOOKUP('Données projet'!$B$15,Paramètres!$A$1:$I$89,3,0)*VLOOKUP('Données projet'!$B$15,Paramètres!$A$1:$I$89,5,0)</f>
        <v>-1.0197709343628959E-13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337.99164391755608</v>
      </c>
      <c r="EP174" s="59">
        <f t="shared" si="154"/>
        <v>421.45428231923393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16.698739106145997</v>
      </c>
      <c r="EW174" s="21">
        <f>EXP(-LN(2)/25)*EW173+(1-EXP(-LN(2)/25))/(LN(2)/25)*Calculateur!ER174*Calculateur!ET174*VLOOKUP('Données projet'!$B$15,Paramètres!$A$1:$I$89,3,0)*0.475*44/12</f>
        <v>1.8225941185887733</v>
      </c>
      <c r="EX174" s="21">
        <f>EXP(-LN(2)/2)*EX173+(1-EXP(-LN(2)/2))/(LN(2)/2)*ER174*EU174*VLOOKUP('Données projet'!$B$15,Paramètres!$A$1:$I$89,3,0)*0.475*44/12</f>
        <v>1.9825543218776395E-16</v>
      </c>
      <c r="EY174" s="22">
        <f t="shared" si="181"/>
        <v>18.521333224734772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-4.5474735088646412E-13</v>
      </c>
      <c r="O175" s="13">
        <f>N175*VLOOKUP('Données projet'!$B$9,Paramètres!$A$1:$I$89,3,0)*VLOOKUP('Données projet'!$B$9,Paramètres!$A$1:$I$89,5,0)</f>
        <v>-4.1145540308207271E-13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388.1278150896951</v>
      </c>
      <c r="T175" s="59">
        <f t="shared" si="142"/>
        <v>232.26614607059227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114.31584876543448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114.31584876543448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-4.5474735088646412E-13</v>
      </c>
      <c r="AJ175" s="13">
        <f>AI175*VLOOKUP('Données projet'!$B$10,Paramètres!$A$1:$I$89,3,0)*VLOOKUP('Données projet'!$B$10,Paramètres!$A$1:$I$89,5,0)</f>
        <v>-4.6111381379887462E-13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424.89201140676084</v>
      </c>
      <c r="AO175" s="59">
        <f t="shared" si="144"/>
        <v>253.0016648946303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128.11258913367661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128.11258913367661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-4.5474735088646412E-13</v>
      </c>
      <c r="BE175" s="13">
        <f>BD175*VLOOKUP('Données projet'!$B$11,Paramètres!$A$1:$I$89,3,0)*VLOOKUP('Données projet'!$B$11,Paramètres!$A$1:$I$89,5,0)</f>
        <v>-4.3273757910355926E-13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403.89478276355294</v>
      </c>
      <c r="BJ175" s="59">
        <f t="shared" si="146"/>
        <v>241.1593989733278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120.22873749468108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120.22873749468108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319</v>
      </c>
      <c r="BZ175" s="13">
        <f>BY175*VLOOKUP('Données projet'!$B$12,Paramètres!$A$1:$I$89,3,0)*VLOOKUP('Données projet'!$B$12,Paramètres!$A$1:$I$89,5,0)</f>
        <v>253.79640000000001</v>
      </c>
      <c r="CA175" s="13">
        <f t="shared" si="170"/>
        <v>61.39816832228076</v>
      </c>
      <c r="CB175" s="20">
        <f t="shared" si="171"/>
        <v>548.96387316130563</v>
      </c>
      <c r="CC175" s="59">
        <f t="shared" si="119"/>
        <v>837.77880260826328</v>
      </c>
      <c r="CD175" s="59">
        <f ca="1">AVERAGE(OFFSET($CC$3,0,0,'Données projet'!$E$12+1,1))-AVERAGE(OFFSET($H$3,0,0,'Données projet'!$E$12+1,1))</f>
        <v>377.27600411578322</v>
      </c>
      <c r="CE175" s="59">
        <f t="shared" si="148"/>
        <v>364.58250627635425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7.2409212263390916</v>
      </c>
      <c r="CL175" s="21">
        <f>EXP(-LN(2)/25)*CL174+(1-EXP(-LN(2)/25))/(LN(2)/25)*Calculateur!CG175*Calculateur!CI175*VLOOKUP('Données projet'!$B$12,Paramètres!$A$1:$I$89,3,0)*0.475*44/12</f>
        <v>0.58869747594657684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7.8296187022856687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1.7053025658242404E-13</v>
      </c>
      <c r="CU175" s="17">
        <f>CT175*VLOOKUP('Données projet'!$B$13,Paramètres!$A$1:$I$89,3,0)*VLOOKUP('Données projet'!$B$13,Paramètres!$A$1:$I$89,5,0)</f>
        <v>1.3301360013429075E-13</v>
      </c>
      <c r="CV175" s="13">
        <f t="shared" si="173"/>
        <v>1.9329766731057041E-12</v>
      </c>
      <c r="CW175" s="20">
        <f t="shared" si="174"/>
        <v>3.5982663925596575E-12</v>
      </c>
      <c r="CX175" s="59">
        <f t="shared" si="122"/>
        <v>288.81492944696123</v>
      </c>
      <c r="CY175" s="59">
        <f ca="1">AVERAGE(OFFSET($CX$3,0,0,'Données projet'!$E$13+1,1))-AVERAGE(OFFSET($H$3,0,0,'Données projet'!$E$13+1,1))</f>
        <v>308.82719216177946</v>
      </c>
      <c r="CZ175" s="59">
        <f t="shared" si="150"/>
        <v>302.59481222418219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10.551463812345224</v>
      </c>
      <c r="DG175" s="21">
        <f>EXP(-LN(2)/25)*DG174+(1-EXP(-LN(2)/25))/(LN(2)/25)*Calculateur!DB175*Calculateur!DD175*VLOOKUP('Données projet'!$B$13,Paramètres!$A$1:$I$89,3,0)*0.475*44/12</f>
        <v>3.9228485542171754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14.474312366562399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304.99999999999983</v>
      </c>
      <c r="DP175" s="17">
        <f>DO175*VLOOKUP('Données projet'!$B$14,Paramètres!$A$1:$I$89,3,0)*VLOOKUP('Données projet'!$B$14,Paramètres!$A$1:$I$89,5,0)</f>
        <v>275.96399999999983</v>
      </c>
      <c r="DQ175" s="13">
        <f t="shared" si="176"/>
        <v>66.113366665488854</v>
      </c>
      <c r="DR175" s="20">
        <f t="shared" si="177"/>
        <v>595.78474694239264</v>
      </c>
      <c r="DS175" s="59">
        <f t="shared" si="125"/>
        <v>884.59967638935029</v>
      </c>
      <c r="DT175" s="59">
        <f ca="1">AVERAGE(OFFSET($DS$3,0,0,'Données projet'!$E$14+1,1))-AVERAGE(OFFSET($H$3,0,0,'Données projet'!$E$14+1,1))</f>
        <v>376.51107072413777</v>
      </c>
      <c r="DU175" s="59">
        <f t="shared" si="152"/>
        <v>532.90758914457615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9.7093763919658641E-2</v>
      </c>
      <c r="EB175" s="21">
        <f>EXP(-LN(2)/25)*EB174+(1-EXP(-LN(2)/25))/(LN(2)/25)*Calculateur!DW175*Calculateur!DY175*VLOOKUP('Données projet'!$B$14,Paramètres!$A$1:$I$89,3,0)*0.475*44/12</f>
        <v>0.1440067168471762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0.24110048076683482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-1.7053025658242404E-13</v>
      </c>
      <c r="EK175" s="17">
        <f>EJ175*VLOOKUP('Données projet'!$B$15,Paramètres!$A$1:$I$89,3,0)*VLOOKUP('Données projet'!$B$15,Paramètres!$A$1:$I$89,5,0)</f>
        <v>-1.0197709343628959E-13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337.99164391755608</v>
      </c>
      <c r="EP175" s="59">
        <f t="shared" si="154"/>
        <v>421.45428231923393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16.371287017499622</v>
      </c>
      <c r="EW175" s="21">
        <f>EXP(-LN(2)/25)*EW174+(1-EXP(-LN(2)/25))/(LN(2)/25)*Calculateur!ER175*Calculateur!ET175*VLOOKUP('Données projet'!$B$15,Paramètres!$A$1:$I$89,3,0)*0.475*44/12</f>
        <v>1.7727551865699043</v>
      </c>
      <c r="EX175" s="21">
        <f>EXP(-LN(2)/2)*EX174+(1-EXP(-LN(2)/2))/(LN(2)/2)*ER175*EU175*VLOOKUP('Données projet'!$B$15,Paramètres!$A$1:$I$89,3,0)*0.475*44/12</f>
        <v>1.4018776050703761E-16</v>
      </c>
      <c r="EY175" s="22">
        <f t="shared" si="181"/>
        <v>18.144042204069525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-4.5474735088646412E-13</v>
      </c>
      <c r="O176" s="13">
        <f>N176*VLOOKUP('Données projet'!$B$9,Paramètres!$A$1:$I$89,3,0)*VLOOKUP('Données projet'!$B$9,Paramètres!$A$1:$I$89,5,0)</f>
        <v>-4.1145540308207271E-13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388.1278150896951</v>
      </c>
      <c r="T176" s="59">
        <f t="shared" si="142"/>
        <v>232.26614607059227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112.0741846969272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112.0741846969272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-4.5474735088646412E-13</v>
      </c>
      <c r="AJ176" s="13">
        <f>AI176*VLOOKUP('Données projet'!$B$10,Paramètres!$A$1:$I$89,3,0)*VLOOKUP('Données projet'!$B$10,Paramètres!$A$1:$I$89,5,0)</f>
        <v>-4.6111381379887462E-13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424.89201140676084</v>
      </c>
      <c r="AO176" s="59">
        <f t="shared" si="144"/>
        <v>253.0016648946303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125.6003794017288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125.6003794017288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-4.5474735088646412E-13</v>
      </c>
      <c r="BE176" s="13">
        <f>BD176*VLOOKUP('Données projet'!$B$11,Paramètres!$A$1:$I$89,3,0)*VLOOKUP('Données projet'!$B$11,Paramètres!$A$1:$I$89,5,0)</f>
        <v>-4.3273757910355926E-13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403.89478276355294</v>
      </c>
      <c r="BJ176" s="59">
        <f t="shared" si="146"/>
        <v>241.1593989733278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117.8711252846993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117.8711252846993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319</v>
      </c>
      <c r="BZ176" s="13">
        <f>BY176*VLOOKUP('Données projet'!$B$12,Paramètres!$A$1:$I$89,3,0)*VLOOKUP('Données projet'!$B$12,Paramètres!$A$1:$I$89,5,0)</f>
        <v>253.79640000000001</v>
      </c>
      <c r="CA176" s="13">
        <f t="shared" si="170"/>
        <v>61.39816832228076</v>
      </c>
      <c r="CB176" s="20">
        <f t="shared" si="171"/>
        <v>548.96387316130563</v>
      </c>
      <c r="CC176" s="59">
        <f t="shared" si="119"/>
        <v>837.8571868140541</v>
      </c>
      <c r="CD176" s="59">
        <f ca="1">AVERAGE(OFFSET($CC$3,0,0,'Données projet'!$E$12+1,1))-AVERAGE(OFFSET($H$3,0,0,'Données projet'!$E$12+1,1))</f>
        <v>377.27600411578322</v>
      </c>
      <c r="CE176" s="59">
        <f t="shared" si="148"/>
        <v>364.58250627635425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7.0989311776164348</v>
      </c>
      <c r="CL176" s="21">
        <f>EXP(-LN(2)/25)*CL175+(1-EXP(-LN(2)/25))/(LN(2)/25)*Calculateur!CG176*Calculateur!CI176*VLOOKUP('Données projet'!$B$12,Paramètres!$A$1:$I$89,3,0)*0.475*44/12</f>
        <v>0.57259951250856289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7.6715306901249978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1.7053025658242404E-13</v>
      </c>
      <c r="CU176" s="17">
        <f>CT176*VLOOKUP('Données projet'!$B$13,Paramètres!$A$1:$I$89,3,0)*VLOOKUP('Données projet'!$B$13,Paramètres!$A$1:$I$89,5,0)</f>
        <v>1.3301360013429075E-13</v>
      </c>
      <c r="CV176" s="13">
        <f t="shared" si="173"/>
        <v>1.9329766731057041E-12</v>
      </c>
      <c r="CW176" s="20">
        <f t="shared" si="174"/>
        <v>3.5982663925596575E-12</v>
      </c>
      <c r="CX176" s="59">
        <f t="shared" si="122"/>
        <v>288.89331365275206</v>
      </c>
      <c r="CY176" s="59">
        <f ca="1">AVERAGE(OFFSET($CX$3,0,0,'Données projet'!$E$13+1,1))-AVERAGE(OFFSET($H$3,0,0,'Données projet'!$E$13+1,1))</f>
        <v>308.82719216177946</v>
      </c>
      <c r="CZ176" s="59">
        <f t="shared" si="150"/>
        <v>302.59481222418219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10.344556042742582</v>
      </c>
      <c r="DG176" s="21">
        <f>EXP(-LN(2)/25)*DG175+(1-EXP(-LN(2)/25))/(LN(2)/25)*Calculateur!DB176*Calculateur!DD176*VLOOKUP('Données projet'!$B$13,Paramètres!$A$1:$I$89,3,0)*0.475*44/12</f>
        <v>3.815578054208467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14.160134096951049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304.99999999999983</v>
      </c>
      <c r="DP176" s="17">
        <f>DO176*VLOOKUP('Données projet'!$B$14,Paramètres!$A$1:$I$89,3,0)*VLOOKUP('Données projet'!$B$14,Paramètres!$A$1:$I$89,5,0)</f>
        <v>275.96399999999983</v>
      </c>
      <c r="DQ176" s="13">
        <f t="shared" si="176"/>
        <v>66.113366665488854</v>
      </c>
      <c r="DR176" s="20">
        <f t="shared" si="177"/>
        <v>595.78474694239264</v>
      </c>
      <c r="DS176" s="59">
        <f t="shared" si="125"/>
        <v>884.67806059514112</v>
      </c>
      <c r="DT176" s="59">
        <f ca="1">AVERAGE(OFFSET($DS$3,0,0,'Données projet'!$E$14+1,1))-AVERAGE(OFFSET($H$3,0,0,'Données projet'!$E$14+1,1))</f>
        <v>376.51107072413777</v>
      </c>
      <c r="DU176" s="59">
        <f t="shared" si="152"/>
        <v>532.90758914457615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9.5189814430542502E-2</v>
      </c>
      <c r="EB176" s="21">
        <f>EXP(-LN(2)/25)*EB175+(1-EXP(-LN(2)/25))/(LN(2)/25)*Calculateur!DW176*Calculateur!DY176*VLOOKUP('Données projet'!$B$14,Paramètres!$A$1:$I$89,3,0)*0.475*44/12</f>
        <v>0.14006884560200605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0.23525866003254856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-1.7053025658242404E-13</v>
      </c>
      <c r="EK176" s="17">
        <f>EJ176*VLOOKUP('Données projet'!$B$15,Paramètres!$A$1:$I$89,3,0)*VLOOKUP('Données projet'!$B$15,Paramètres!$A$1:$I$89,5,0)</f>
        <v>-1.0197709343628959E-13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337.99164391755608</v>
      </c>
      <c r="EP176" s="59">
        <f t="shared" si="154"/>
        <v>421.45428231923393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16.05025606458555</v>
      </c>
      <c r="EW176" s="21">
        <f>EXP(-LN(2)/25)*EW175+(1-EXP(-LN(2)/25))/(LN(2)/25)*Calculateur!ER176*Calculateur!ET176*VLOOKUP('Données projet'!$B$15,Paramètres!$A$1:$I$89,3,0)*0.475*44/12</f>
        <v>1.7242791027680067</v>
      </c>
      <c r="EX176" s="21">
        <f>EXP(-LN(2)/2)*EX175+(1-EXP(-LN(2)/2))/(LN(2)/2)*ER176*EU176*VLOOKUP('Données projet'!$B$15,Paramètres!$A$1:$I$89,3,0)*0.475*44/12</f>
        <v>9.9127716093881974E-17</v>
      </c>
      <c r="EY176" s="22">
        <f t="shared" si="181"/>
        <v>17.774535167353555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-4.5474735088646412E-13</v>
      </c>
      <c r="O177" s="13">
        <f>N177*VLOOKUP('Données projet'!$B$9,Paramètres!$A$1:$I$89,3,0)*VLOOKUP('Données projet'!$B$9,Paramètres!$A$1:$I$89,5,0)</f>
        <v>-4.1145540308207271E-13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388.1278150896951</v>
      </c>
      <c r="T177" s="59">
        <f t="shared" si="142"/>
        <v>232.26614607059227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109.87647829352329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109.87647829352329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-4.5474735088646412E-13</v>
      </c>
      <c r="AJ177" s="13">
        <f>AI177*VLOOKUP('Données projet'!$B$10,Paramètres!$A$1:$I$89,3,0)*VLOOKUP('Données projet'!$B$10,Paramètres!$A$1:$I$89,5,0)</f>
        <v>-4.6111381379887462E-13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424.89201140676084</v>
      </c>
      <c r="AO177" s="59">
        <f t="shared" si="144"/>
        <v>253.0016648946303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123.13743257032786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123.13743257032786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-4.5474735088646412E-13</v>
      </c>
      <c r="BE177" s="13">
        <f>BD177*VLOOKUP('Données projet'!$B$11,Paramètres!$A$1:$I$89,3,0)*VLOOKUP('Données projet'!$B$11,Paramètres!$A$1:$I$89,5,0)</f>
        <v>-4.3273757910355926E-13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403.89478276355294</v>
      </c>
      <c r="BJ177" s="59">
        <f t="shared" si="146"/>
        <v>241.1593989733278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115.5597444121538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115.5597444121538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319</v>
      </c>
      <c r="BZ177" s="13">
        <f>BY177*VLOOKUP('Données projet'!$B$12,Paramètres!$A$1:$I$89,3,0)*VLOOKUP('Données projet'!$B$12,Paramètres!$A$1:$I$89,5,0)</f>
        <v>253.79640000000001</v>
      </c>
      <c r="CA177" s="13">
        <f t="shared" si="170"/>
        <v>61.39816832228076</v>
      </c>
      <c r="CB177" s="20">
        <f t="shared" si="171"/>
        <v>548.96387316130563</v>
      </c>
      <c r="CC177" s="59">
        <f t="shared" si="119"/>
        <v>837.93421122911536</v>
      </c>
      <c r="CD177" s="59">
        <f ca="1">AVERAGE(OFFSET($CC$3,0,0,'Données projet'!$E$12+1,1))-AVERAGE(OFFSET($H$3,0,0,'Données projet'!$E$12+1,1))</f>
        <v>377.27600411578322</v>
      </c>
      <c r="CE177" s="59">
        <f t="shared" si="148"/>
        <v>364.58250627635425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6.9597254671438504</v>
      </c>
      <c r="CL177" s="21">
        <f>EXP(-LN(2)/25)*CL176+(1-EXP(-LN(2)/25))/(LN(2)/25)*Calculateur!CG177*Calculateur!CI177*VLOOKUP('Données projet'!$B$12,Paramètres!$A$1:$I$89,3,0)*0.475*44/12</f>
        <v>0.55694174872731661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7.5166672158711672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1.7053025658242404E-13</v>
      </c>
      <c r="CU177" s="17">
        <f>CT177*VLOOKUP('Données projet'!$B$13,Paramètres!$A$1:$I$89,3,0)*VLOOKUP('Données projet'!$B$13,Paramètres!$A$1:$I$89,5,0)</f>
        <v>1.3301360013429075E-13</v>
      </c>
      <c r="CV177" s="13">
        <f t="shared" si="173"/>
        <v>1.9329766731057041E-12</v>
      </c>
      <c r="CW177" s="20">
        <f t="shared" si="174"/>
        <v>3.5982663925596575E-12</v>
      </c>
      <c r="CX177" s="59">
        <f t="shared" si="122"/>
        <v>288.97033806781332</v>
      </c>
      <c r="CY177" s="59">
        <f ca="1">AVERAGE(OFFSET($CX$3,0,0,'Données projet'!$E$13+1,1))-AVERAGE(OFFSET($H$3,0,0,'Données projet'!$E$13+1,1))</f>
        <v>308.82719216177946</v>
      </c>
      <c r="CZ177" s="59">
        <f t="shared" si="150"/>
        <v>302.59481222418219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10.141705608300569</v>
      </c>
      <c r="DG177" s="21">
        <f>EXP(-LN(2)/25)*DG176+(1-EXP(-LN(2)/25))/(LN(2)/25)*Calculateur!DB177*Calculateur!DD177*VLOOKUP('Données projet'!$B$13,Paramètres!$A$1:$I$89,3,0)*0.475*44/12</f>
        <v>3.7112408716636072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13.852946479964176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304.99999999999983</v>
      </c>
      <c r="DP177" s="17">
        <f>DO177*VLOOKUP('Données projet'!$B$14,Paramètres!$A$1:$I$89,3,0)*VLOOKUP('Données projet'!$B$14,Paramètres!$A$1:$I$89,5,0)</f>
        <v>275.96399999999983</v>
      </c>
      <c r="DQ177" s="13">
        <f t="shared" si="176"/>
        <v>66.113366665488854</v>
      </c>
      <c r="DR177" s="20">
        <f t="shared" si="177"/>
        <v>595.78474694239264</v>
      </c>
      <c r="DS177" s="59">
        <f t="shared" si="125"/>
        <v>884.75508501020238</v>
      </c>
      <c r="DT177" s="59">
        <f ca="1">AVERAGE(OFFSET($DS$3,0,0,'Données projet'!$E$14+1,1))-AVERAGE(OFFSET($H$3,0,0,'Données projet'!$E$14+1,1))</f>
        <v>376.51107072413777</v>
      </c>
      <c r="DU177" s="59">
        <f t="shared" si="152"/>
        <v>532.90758914457615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9.3323200229613407E-2</v>
      </c>
      <c r="EB177" s="21">
        <f>EXP(-LN(2)/25)*EB176+(1-EXP(-LN(2)/25))/(LN(2)/25)*Calculateur!DW177*Calculateur!DY177*VLOOKUP('Données projet'!$B$14,Paramètres!$A$1:$I$89,3,0)*0.475*44/12</f>
        <v>0.13623865565311874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0.22956185588273215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-1.7053025658242404E-13</v>
      </c>
      <c r="EK177" s="17">
        <f>EJ177*VLOOKUP('Données projet'!$B$15,Paramètres!$A$1:$I$89,3,0)*VLOOKUP('Données projet'!$B$15,Paramètres!$A$1:$I$89,5,0)</f>
        <v>-1.0197709343628959E-13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337.99164391755608</v>
      </c>
      <c r="EP177" s="59">
        <f t="shared" si="154"/>
        <v>421.45428231923393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15.735520332848575</v>
      </c>
      <c r="EW177" s="21">
        <f>EXP(-LN(2)/25)*EW176+(1-EXP(-LN(2)/25))/(LN(2)/25)*Calculateur!ER177*Calculateur!ET177*VLOOKUP('Données projet'!$B$15,Paramètres!$A$1:$I$89,3,0)*0.475*44/12</f>
        <v>1.6771286000269183</v>
      </c>
      <c r="EX177" s="21">
        <f>EXP(-LN(2)/2)*EX176+(1-EXP(-LN(2)/2))/(LN(2)/2)*ER177*EU177*VLOOKUP('Données projet'!$B$15,Paramètres!$A$1:$I$89,3,0)*0.475*44/12</f>
        <v>7.0093880253518805E-17</v>
      </c>
      <c r="EY177" s="22">
        <f t="shared" si="181"/>
        <v>17.412648932875491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-4.5474735088646412E-13</v>
      </c>
      <c r="O178" s="13">
        <f>N178*VLOOKUP('Données projet'!$B$9,Paramètres!$A$1:$I$89,3,0)*VLOOKUP('Données projet'!$B$9,Paramètres!$A$1:$I$89,5,0)</f>
        <v>-4.1145540308207271E-13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388.1278150896951</v>
      </c>
      <c r="T178" s="59">
        <f t="shared" si="142"/>
        <v>232.26614607059227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107.72186757222158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107.72186757222158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-4.5474735088646412E-13</v>
      </c>
      <c r="AJ178" s="13">
        <f>AI178*VLOOKUP('Données projet'!$B$10,Paramètres!$A$1:$I$89,3,0)*VLOOKUP('Données projet'!$B$10,Paramètres!$A$1:$I$89,5,0)</f>
        <v>-4.6111381379887462E-13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424.89201140676084</v>
      </c>
      <c r="AO178" s="59">
        <f t="shared" si="144"/>
        <v>253.0016648946303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120.72278262404146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120.72278262404146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-4.5474735088646412E-13</v>
      </c>
      <c r="BE178" s="13">
        <f>BD178*VLOOKUP('Données projet'!$B$11,Paramètres!$A$1:$I$89,3,0)*VLOOKUP('Données projet'!$B$11,Paramètres!$A$1:$I$89,5,0)</f>
        <v>-4.3273757910355926E-13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403.89478276355294</v>
      </c>
      <c r="BJ178" s="59">
        <f t="shared" si="146"/>
        <v>241.1593989733278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113.2936883087158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113.2936883087158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319</v>
      </c>
      <c r="BZ178" s="13">
        <f>BY178*VLOOKUP('Données projet'!$B$12,Paramètres!$A$1:$I$89,3,0)*VLOOKUP('Données projet'!$B$12,Paramètres!$A$1:$I$89,5,0)</f>
        <v>253.79640000000001</v>
      </c>
      <c r="CA178" s="13">
        <f t="shared" si="170"/>
        <v>61.39816832228076</v>
      </c>
      <c r="CB178" s="20">
        <f t="shared" si="171"/>
        <v>548.96387316130563</v>
      </c>
      <c r="CC178" s="59">
        <f t="shared" si="119"/>
        <v>838.00989944277603</v>
      </c>
      <c r="CD178" s="59">
        <f ca="1">AVERAGE(OFFSET($CC$3,0,0,'Données projet'!$E$12+1,1))-AVERAGE(OFFSET($H$3,0,0,'Données projet'!$E$12+1,1))</f>
        <v>377.27600411578322</v>
      </c>
      <c r="CE178" s="59">
        <f t="shared" si="148"/>
        <v>364.58250627635425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6.8232494957465342</v>
      </c>
      <c r="CL178" s="21">
        <f>EXP(-LN(2)/25)*CL177+(1-EXP(-LN(2)/25))/(LN(2)/25)*Calculateur!CG178*Calculateur!CI178*VLOOKUP('Données projet'!$B$12,Paramètres!$A$1:$I$89,3,0)*0.475*44/12</f>
        <v>0.54171214732007444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7.3649616430666089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1.7053025658242404E-13</v>
      </c>
      <c r="CU178" s="17">
        <f>CT178*VLOOKUP('Données projet'!$B$13,Paramètres!$A$1:$I$89,3,0)*VLOOKUP('Données projet'!$B$13,Paramètres!$A$1:$I$89,5,0)</f>
        <v>1.3301360013429075E-13</v>
      </c>
      <c r="CV178" s="13">
        <f t="shared" si="173"/>
        <v>1.9329766731057041E-12</v>
      </c>
      <c r="CW178" s="20">
        <f t="shared" si="174"/>
        <v>3.5982663925596575E-12</v>
      </c>
      <c r="CX178" s="59">
        <f t="shared" si="122"/>
        <v>289.04602628147398</v>
      </c>
      <c r="CY178" s="59">
        <f ca="1">AVERAGE(OFFSET($CX$3,0,0,'Données projet'!$E$13+1,1))-AVERAGE(OFFSET($H$3,0,0,'Données projet'!$E$13+1,1))</f>
        <v>308.82719216177946</v>
      </c>
      <c r="CZ178" s="59">
        <f t="shared" si="150"/>
        <v>302.59481222418219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9.9428329471514161</v>
      </c>
      <c r="DG178" s="21">
        <f>EXP(-LN(2)/25)*DG177+(1-EXP(-LN(2)/25))/(LN(2)/25)*Calculateur!DB178*Calculateur!DD178*VLOOKUP('Données projet'!$B$13,Paramètres!$A$1:$I$89,3,0)*0.475*44/12</f>
        <v>3.6097567948622906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13.552589742013707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304.99999999999983</v>
      </c>
      <c r="DP178" s="17">
        <f>DO178*VLOOKUP('Données projet'!$B$14,Paramètres!$A$1:$I$89,3,0)*VLOOKUP('Données projet'!$B$14,Paramètres!$A$1:$I$89,5,0)</f>
        <v>275.96399999999983</v>
      </c>
      <c r="DQ178" s="13">
        <f t="shared" si="176"/>
        <v>66.113366665488854</v>
      </c>
      <c r="DR178" s="20">
        <f t="shared" si="177"/>
        <v>595.78474694239264</v>
      </c>
      <c r="DS178" s="59">
        <f t="shared" si="125"/>
        <v>884.83077322386305</v>
      </c>
      <c r="DT178" s="59">
        <f ca="1">AVERAGE(OFFSET($DS$3,0,0,'Données projet'!$E$14+1,1))-AVERAGE(OFFSET($H$3,0,0,'Données projet'!$E$14+1,1))</f>
        <v>376.51107072413777</v>
      </c>
      <c r="DU178" s="59">
        <f t="shared" si="152"/>
        <v>532.90758914457615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9.1493189194642291E-2</v>
      </c>
      <c r="EB178" s="21">
        <f>EXP(-LN(2)/25)*EB177+(1-EXP(-LN(2)/25))/(LN(2)/25)*Calculateur!DW178*Calculateur!DY178*VLOOKUP('Données projet'!$B$14,Paramètres!$A$1:$I$89,3,0)*0.475*44/12</f>
        <v>0.13251320244980469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0.22400639164444697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-1.7053025658242404E-13</v>
      </c>
      <c r="EK178" s="17">
        <f>EJ178*VLOOKUP('Données projet'!$B$15,Paramètres!$A$1:$I$89,3,0)*VLOOKUP('Données projet'!$B$15,Paramètres!$A$1:$I$89,5,0)</f>
        <v>-1.0197709343628959E-13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337.99164391755608</v>
      </c>
      <c r="EP178" s="59">
        <f t="shared" si="154"/>
        <v>421.45428231923393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15.426956376841121</v>
      </c>
      <c r="EW178" s="21">
        <f>EXP(-LN(2)/25)*EW177+(1-EXP(-LN(2)/25))/(LN(2)/25)*Calculateur!ER178*Calculateur!ET178*VLOOKUP('Données projet'!$B$15,Paramètres!$A$1:$I$89,3,0)*0.475*44/12</f>
        <v>1.6312674302628223</v>
      </c>
      <c r="EX178" s="21">
        <f>EXP(-LN(2)/2)*EX177+(1-EXP(-LN(2)/2))/(LN(2)/2)*ER178*EU178*VLOOKUP('Données projet'!$B$15,Paramètres!$A$1:$I$89,3,0)*0.475*44/12</f>
        <v>4.9563858046940987E-17</v>
      </c>
      <c r="EY178" s="22">
        <f t="shared" si="181"/>
        <v>17.058223807103943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-4.5474735088646412E-13</v>
      </c>
      <c r="O179" s="13">
        <f>N179*VLOOKUP('Données projet'!$B$9,Paramètres!$A$1:$I$89,3,0)*VLOOKUP('Données projet'!$B$9,Paramètres!$A$1:$I$89,5,0)</f>
        <v>-4.1145540308207271E-13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388.1278150896951</v>
      </c>
      <c r="T179" s="59">
        <f t="shared" si="142"/>
        <v>232.26614607059227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105.60950745298182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105.60950745298182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-4.5474735088646412E-13</v>
      </c>
      <c r="AJ179" s="13">
        <f>AI179*VLOOKUP('Données projet'!$B$10,Paramètres!$A$1:$I$89,3,0)*VLOOKUP('Données projet'!$B$10,Paramètres!$A$1:$I$89,5,0)</f>
        <v>-4.6111381379887462E-13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424.89201140676084</v>
      </c>
      <c r="AO179" s="59">
        <f t="shared" si="144"/>
        <v>253.0016648946303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118.35548249041069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118.35548249041069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-4.5474735088646412E-13</v>
      </c>
      <c r="BE179" s="13">
        <f>BD179*VLOOKUP('Données projet'!$B$11,Paramètres!$A$1:$I$89,3,0)*VLOOKUP('Données projet'!$B$11,Paramètres!$A$1:$I$89,5,0)</f>
        <v>-4.3273757910355926E-13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403.89478276355294</v>
      </c>
      <c r="BJ179" s="59">
        <f t="shared" si="146"/>
        <v>241.1593989733278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111.07206818330846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111.07206818330846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319</v>
      </c>
      <c r="BZ179" s="13">
        <f>BY179*VLOOKUP('Données projet'!$B$12,Paramètres!$A$1:$I$89,3,0)*VLOOKUP('Données projet'!$B$12,Paramètres!$A$1:$I$89,5,0)</f>
        <v>253.79640000000001</v>
      </c>
      <c r="CA179" s="13">
        <f t="shared" si="170"/>
        <v>61.39816832228076</v>
      </c>
      <c r="CB179" s="20">
        <f t="shared" si="171"/>
        <v>548.96387316130563</v>
      </c>
      <c r="CC179" s="59">
        <f t="shared" si="119"/>
        <v>838.08427463514317</v>
      </c>
      <c r="CD179" s="59">
        <f ca="1">AVERAGE(OFFSET($CC$3,0,0,'Données projet'!$E$12+1,1))-AVERAGE(OFFSET($H$3,0,0,'Données projet'!$E$12+1,1))</f>
        <v>377.27600411578322</v>
      </c>
      <c r="CE179" s="59">
        <f t="shared" si="148"/>
        <v>364.58250627635425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6.6894497349061961</v>
      </c>
      <c r="CL179" s="21">
        <f>EXP(-LN(2)/25)*CL178+(1-EXP(-LN(2)/25))/(LN(2)/25)*Calculateur!CG179*Calculateur!CI179*VLOOKUP('Données projet'!$B$12,Paramètres!$A$1:$I$89,3,0)*0.475*44/12</f>
        <v>0.52689900016420332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7.2163487350703992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1.7053025658242404E-13</v>
      </c>
      <c r="CU179" s="17">
        <f>CT179*VLOOKUP('Données projet'!$B$13,Paramètres!$A$1:$I$89,3,0)*VLOOKUP('Données projet'!$B$13,Paramètres!$A$1:$I$89,5,0)</f>
        <v>1.3301360013429075E-13</v>
      </c>
      <c r="CV179" s="13">
        <f t="shared" si="173"/>
        <v>1.9329766731057041E-12</v>
      </c>
      <c r="CW179" s="20">
        <f t="shared" si="174"/>
        <v>3.5982663925596575E-12</v>
      </c>
      <c r="CX179" s="59">
        <f t="shared" si="122"/>
        <v>289.12040147384118</v>
      </c>
      <c r="CY179" s="59">
        <f ca="1">AVERAGE(OFFSET($CX$3,0,0,'Données projet'!$E$13+1,1))-AVERAGE(OFFSET($H$3,0,0,'Données projet'!$E$13+1,1))</f>
        <v>308.82719216177946</v>
      </c>
      <c r="CZ179" s="59">
        <f t="shared" si="150"/>
        <v>302.59481222418219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9.7478600575870527</v>
      </c>
      <c r="DG179" s="21">
        <f>EXP(-LN(2)/25)*DG178+(1-EXP(-LN(2)/25))/(LN(2)/25)*Calculateur!DB179*Calculateur!DD179*VLOOKUP('Données projet'!$B$13,Paramètres!$A$1:$I$89,3,0)*0.475*44/12</f>
        <v>3.5110478054779217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13.258907863064975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304.99999999999983</v>
      </c>
      <c r="DP179" s="17">
        <f>DO179*VLOOKUP('Données projet'!$B$14,Paramètres!$A$1:$I$89,3,0)*VLOOKUP('Données projet'!$B$14,Paramètres!$A$1:$I$89,5,0)</f>
        <v>275.96399999999983</v>
      </c>
      <c r="DQ179" s="13">
        <f t="shared" si="176"/>
        <v>66.113366665488854</v>
      </c>
      <c r="DR179" s="20">
        <f t="shared" si="177"/>
        <v>595.78474694239264</v>
      </c>
      <c r="DS179" s="59">
        <f t="shared" si="125"/>
        <v>884.9051484162303</v>
      </c>
      <c r="DT179" s="59">
        <f ca="1">AVERAGE(OFFSET($DS$3,0,0,'Données projet'!$E$14+1,1))-AVERAGE(OFFSET($H$3,0,0,'Données projet'!$E$14+1,1))</f>
        <v>376.51107072413777</v>
      </c>
      <c r="DU179" s="59">
        <f t="shared" si="152"/>
        <v>532.90758914457615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8.9699063559870451E-2</v>
      </c>
      <c r="EB179" s="21">
        <f>EXP(-LN(2)/25)*EB178+(1-EXP(-LN(2)/25))/(LN(2)/25)*Calculateur!DW179*Calculateur!DY179*VLOOKUP('Données projet'!$B$14,Paramètres!$A$1:$I$89,3,0)*0.475*44/12</f>
        <v>0.12888962196024834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0.21858868552011879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-1.7053025658242404E-13</v>
      </c>
      <c r="EK179" s="17">
        <f>EJ179*VLOOKUP('Données projet'!$B$15,Paramètres!$A$1:$I$89,3,0)*VLOOKUP('Données projet'!$B$15,Paramètres!$A$1:$I$89,5,0)</f>
        <v>-1.0197709343628959E-13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337.99164391755608</v>
      </c>
      <c r="EP179" s="59">
        <f t="shared" si="154"/>
        <v>421.45428231923393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15.124443171805543</v>
      </c>
      <c r="EW179" s="21">
        <f>EXP(-LN(2)/25)*EW178+(1-EXP(-LN(2)/25))/(LN(2)/25)*Calculateur!ER179*Calculateur!ET179*VLOOKUP('Données projet'!$B$15,Paramètres!$A$1:$I$89,3,0)*0.475*44/12</f>
        <v>1.5866603365976595</v>
      </c>
      <c r="EX179" s="21">
        <f>EXP(-LN(2)/2)*EX178+(1-EXP(-LN(2)/2))/(LN(2)/2)*ER179*EU179*VLOOKUP('Données projet'!$B$15,Paramètres!$A$1:$I$89,3,0)*0.475*44/12</f>
        <v>3.5046940126759403E-17</v>
      </c>
      <c r="EY179" s="22">
        <f t="shared" si="181"/>
        <v>16.711103508403202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-4.5474735088646412E-13</v>
      </c>
      <c r="O180" s="13">
        <f>N180*VLOOKUP('Données projet'!$B$9,Paramètres!$A$1:$I$89,3,0)*VLOOKUP('Données projet'!$B$9,Paramètres!$A$1:$I$89,5,0)</f>
        <v>-4.1145540308207271E-13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388.1278150896951</v>
      </c>
      <c r="T180" s="59">
        <f t="shared" si="142"/>
        <v>232.26614607059227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103.53856942726789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103.53856942726789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-4.5474735088646412E-13</v>
      </c>
      <c r="AJ180" s="13">
        <f>AI180*VLOOKUP('Données projet'!$B$10,Paramètres!$A$1:$I$89,3,0)*VLOOKUP('Données projet'!$B$10,Paramètres!$A$1:$I$89,5,0)</f>
        <v>-4.6111381379887462E-13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424.89201140676084</v>
      </c>
      <c r="AO180" s="59">
        <f t="shared" si="144"/>
        <v>253.0016648946303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116.03460366848992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116.03460366848992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-4.5474735088646412E-13</v>
      </c>
      <c r="BE180" s="13">
        <f>BD180*VLOOKUP('Données projet'!$B$11,Paramètres!$A$1:$I$89,3,0)*VLOOKUP('Données projet'!$B$11,Paramètres!$A$1:$I$89,5,0)</f>
        <v>-4.3273757910355926E-13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403.89478276355294</v>
      </c>
      <c r="BJ180" s="59">
        <f t="shared" si="146"/>
        <v>241.1593989733278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108.89401267350588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108.89401267350588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319</v>
      </c>
      <c r="BZ180" s="13">
        <f>BY180*VLOOKUP('Données projet'!$B$12,Paramètres!$A$1:$I$89,3,0)*VLOOKUP('Données projet'!$B$12,Paramètres!$A$1:$I$89,5,0)</f>
        <v>253.79640000000001</v>
      </c>
      <c r="CA180" s="13">
        <f t="shared" si="170"/>
        <v>61.39816832228076</v>
      </c>
      <c r="CB180" s="20">
        <f t="shared" si="171"/>
        <v>548.96387316130563</v>
      </c>
      <c r="CC180" s="59">
        <f t="shared" si="119"/>
        <v>838.15735958420089</v>
      </c>
      <c r="CD180" s="59">
        <f ca="1">AVERAGE(OFFSET($CC$3,0,0,'Données projet'!$E$12+1,1))-AVERAGE(OFFSET($H$3,0,0,'Données projet'!$E$12+1,1))</f>
        <v>377.27600411578322</v>
      </c>
      <c r="CE180" s="59">
        <f t="shared" si="148"/>
        <v>364.58250627635425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6.5582737057661413</v>
      </c>
      <c r="CL180" s="21">
        <f>EXP(-LN(2)/25)*CL179+(1-EXP(-LN(2)/25))/(LN(2)/25)*Calculateur!CG180*Calculateur!CI180*VLOOKUP('Données projet'!$B$12,Paramètres!$A$1:$I$89,3,0)*0.475*44/12</f>
        <v>0.51249091929629897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7.0707646250624405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1.7053025658242404E-13</v>
      </c>
      <c r="CU180" s="17">
        <f>CT180*VLOOKUP('Données projet'!$B$13,Paramètres!$A$1:$I$89,3,0)*VLOOKUP('Données projet'!$B$13,Paramètres!$A$1:$I$89,5,0)</f>
        <v>1.3301360013429075E-13</v>
      </c>
      <c r="CV180" s="13">
        <f t="shared" si="173"/>
        <v>1.9329766731057041E-12</v>
      </c>
      <c r="CW180" s="20">
        <f t="shared" si="174"/>
        <v>3.5982663925596575E-12</v>
      </c>
      <c r="CX180" s="59">
        <f t="shared" si="122"/>
        <v>289.19348642289884</v>
      </c>
      <c r="CY180" s="59">
        <f ca="1">AVERAGE(OFFSET($CX$3,0,0,'Données projet'!$E$13+1,1))-AVERAGE(OFFSET($H$3,0,0,'Données projet'!$E$13+1,1))</f>
        <v>308.82719216177946</v>
      </c>
      <c r="CZ180" s="59">
        <f t="shared" si="150"/>
        <v>302.59481222418219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9.5567104674653258</v>
      </c>
      <c r="DG180" s="21">
        <f>EXP(-LN(2)/25)*DG179+(1-EXP(-LN(2)/25))/(LN(2)/25)*Calculateur!DB180*Calculateur!DD180*VLOOKUP('Données projet'!$B$13,Paramètres!$A$1:$I$89,3,0)*0.475*44/12</f>
        <v>3.4150380185991485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12.971748486064474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304.99999999999983</v>
      </c>
      <c r="DP180" s="17">
        <f>DO180*VLOOKUP('Données projet'!$B$14,Paramètres!$A$1:$I$89,3,0)*VLOOKUP('Données projet'!$B$14,Paramètres!$A$1:$I$89,5,0)</f>
        <v>275.96399999999983</v>
      </c>
      <c r="DQ180" s="13">
        <f t="shared" si="176"/>
        <v>66.113366665488854</v>
      </c>
      <c r="DR180" s="20">
        <f t="shared" si="177"/>
        <v>595.78474694239264</v>
      </c>
      <c r="DS180" s="59">
        <f t="shared" si="125"/>
        <v>884.97823336528791</v>
      </c>
      <c r="DT180" s="59">
        <f ca="1">AVERAGE(OFFSET($DS$3,0,0,'Données projet'!$E$14+1,1))-AVERAGE(OFFSET($H$3,0,0,'Données projet'!$E$14+1,1))</f>
        <v>376.51107072413777</v>
      </c>
      <c r="DU180" s="59">
        <f t="shared" si="152"/>
        <v>532.90758914457615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8.7940119634487904E-2</v>
      </c>
      <c r="EB180" s="21">
        <f>EXP(-LN(2)/25)*EB179+(1-EXP(-LN(2)/25))/(LN(2)/25)*Calculateur!DW180*Calculateur!DY180*VLOOKUP('Données projet'!$B$14,Paramètres!$A$1:$I$89,3,0)*0.475*44/12</f>
        <v>0.12536512846973472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0.21330524810422263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-1.7053025658242404E-13</v>
      </c>
      <c r="EK180" s="17">
        <f>EJ180*VLOOKUP('Données projet'!$B$15,Paramètres!$A$1:$I$89,3,0)*VLOOKUP('Données projet'!$B$15,Paramètres!$A$1:$I$89,5,0)</f>
        <v>-1.0197709343628959E-13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337.99164391755608</v>
      </c>
      <c r="EP180" s="59">
        <f t="shared" si="154"/>
        <v>421.45428231923393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14.827862066205878</v>
      </c>
      <c r="EW180" s="21">
        <f>EXP(-LN(2)/25)*EW179+(1-EXP(-LN(2)/25))/(LN(2)/25)*Calculateur!ER180*Calculateur!ET180*VLOOKUP('Données projet'!$B$15,Paramètres!$A$1:$I$89,3,0)*0.475*44/12</f>
        <v>1.5432730262545558</v>
      </c>
      <c r="EX180" s="21">
        <f>EXP(-LN(2)/2)*EX179+(1-EXP(-LN(2)/2))/(LN(2)/2)*ER180*EU180*VLOOKUP('Données projet'!$B$15,Paramètres!$A$1:$I$89,3,0)*0.475*44/12</f>
        <v>2.4781929023470494E-17</v>
      </c>
      <c r="EY180" s="22">
        <f t="shared" si="181"/>
        <v>16.371135092460435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-4.5474735088646412E-13</v>
      </c>
      <c r="O181" s="13">
        <f>N181*VLOOKUP('Données projet'!$B$9,Paramètres!$A$1:$I$89,3,0)*VLOOKUP('Données projet'!$B$9,Paramètres!$A$1:$I$89,5,0)</f>
        <v>-4.1145540308207271E-13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388.1278150896951</v>
      </c>
      <c r="T181" s="59">
        <f t="shared" si="142"/>
        <v>232.26614607059227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101.50824123309074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101.50824123309074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-4.5474735088646412E-13</v>
      </c>
      <c r="AJ181" s="13">
        <f>AI181*VLOOKUP('Données projet'!$B$10,Paramètres!$A$1:$I$89,3,0)*VLOOKUP('Données projet'!$B$10,Paramètres!$A$1:$I$89,5,0)</f>
        <v>-4.6111381379887462E-13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424.89201140676084</v>
      </c>
      <c r="AO181" s="59">
        <f t="shared" si="144"/>
        <v>253.0016648946303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113.75923586467071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113.75923586467071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-4.5474735088646412E-13</v>
      </c>
      <c r="BE181" s="13">
        <f>BD181*VLOOKUP('Données projet'!$B$11,Paramètres!$A$1:$I$89,3,0)*VLOOKUP('Données projet'!$B$11,Paramètres!$A$1:$I$89,5,0)</f>
        <v>-4.3273757910355926E-13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403.89478276355294</v>
      </c>
      <c r="BJ181" s="59">
        <f t="shared" si="146"/>
        <v>241.1593989733278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106.75866750376785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106.75866750376785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319</v>
      </c>
      <c r="BZ181" s="13">
        <f>BY181*VLOOKUP('Données projet'!$B$12,Paramètres!$A$1:$I$89,3,0)*VLOOKUP('Données projet'!$B$12,Paramètres!$A$1:$I$89,5,0)</f>
        <v>253.79640000000001</v>
      </c>
      <c r="CA181" s="13">
        <f t="shared" si="170"/>
        <v>61.39816832228076</v>
      </c>
      <c r="CB181" s="20">
        <f t="shared" si="171"/>
        <v>548.96387316130563</v>
      </c>
      <c r="CC181" s="59">
        <f t="shared" si="119"/>
        <v>838.2291766727858</v>
      </c>
      <c r="CD181" s="59">
        <f ca="1">AVERAGE(OFFSET($CC$3,0,0,'Données projet'!$E$12+1,1))-AVERAGE(OFFSET($H$3,0,0,'Données projet'!$E$12+1,1))</f>
        <v>377.27600411578322</v>
      </c>
      <c r="CE181" s="59">
        <f t="shared" si="148"/>
        <v>364.58250627635425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6.4296699585480459</v>
      </c>
      <c r="CL181" s="21">
        <f>EXP(-LN(2)/25)*CL180+(1-EXP(-LN(2)/25))/(LN(2)/25)*Calculateur!CG181*Calculateur!CI181*VLOOKUP('Données projet'!$B$12,Paramètres!$A$1:$I$89,3,0)*0.475*44/12</f>
        <v>0.49847682815741556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6.9281467867054616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1.7053025658242404E-13</v>
      </c>
      <c r="CU181" s="17">
        <f>CT181*VLOOKUP('Données projet'!$B$13,Paramètres!$A$1:$I$89,3,0)*VLOOKUP('Données projet'!$B$13,Paramètres!$A$1:$I$89,5,0)</f>
        <v>1.3301360013429075E-13</v>
      </c>
      <c r="CV181" s="13">
        <f t="shared" si="173"/>
        <v>1.9329766731057041E-12</v>
      </c>
      <c r="CW181" s="20">
        <f t="shared" si="174"/>
        <v>3.5982663925596575E-12</v>
      </c>
      <c r="CX181" s="59">
        <f t="shared" si="122"/>
        <v>289.26530351148375</v>
      </c>
      <c r="CY181" s="59">
        <f ca="1">AVERAGE(OFFSET($CX$3,0,0,'Données projet'!$E$13+1,1))-AVERAGE(OFFSET($H$3,0,0,'Données projet'!$E$13+1,1))</f>
        <v>308.82719216177946</v>
      </c>
      <c r="CZ181" s="59">
        <f t="shared" si="150"/>
        <v>302.59481222418219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9.3693092042161474</v>
      </c>
      <c r="DG181" s="21">
        <f>EXP(-LN(2)/25)*DG180+(1-EXP(-LN(2)/25))/(LN(2)/25)*Calculateur!DB181*Calculateur!DD181*VLOOKUP('Données projet'!$B$13,Paramètres!$A$1:$I$89,3,0)*0.475*44/12</f>
        <v>3.3216536243915105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12.690962828607658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304.99999999999983</v>
      </c>
      <c r="DP181" s="17">
        <f>DO181*VLOOKUP('Données projet'!$B$14,Paramètres!$A$1:$I$89,3,0)*VLOOKUP('Données projet'!$B$14,Paramètres!$A$1:$I$89,5,0)</f>
        <v>275.96399999999983</v>
      </c>
      <c r="DQ181" s="13">
        <f t="shared" si="176"/>
        <v>66.113366665488854</v>
      </c>
      <c r="DR181" s="20">
        <f t="shared" si="177"/>
        <v>595.78474694239264</v>
      </c>
      <c r="DS181" s="59">
        <f t="shared" si="125"/>
        <v>885.05005045387281</v>
      </c>
      <c r="DT181" s="59">
        <f ca="1">AVERAGE(OFFSET($DS$3,0,0,'Données projet'!$E$14+1,1))-AVERAGE(OFFSET($H$3,0,0,'Données projet'!$E$14+1,1))</f>
        <v>376.51107072413777</v>
      </c>
      <c r="DU181" s="59">
        <f t="shared" si="152"/>
        <v>532.90758914457615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8.6215667526632248E-2</v>
      </c>
      <c r="EB181" s="21">
        <f>EXP(-LN(2)/25)*EB180+(1-EXP(-LN(2)/25))/(LN(2)/25)*Calculateur!DW181*Calculateur!DY181*VLOOKUP('Données projet'!$B$14,Paramètres!$A$1:$I$89,3,0)*0.475*44/12</f>
        <v>0.12193701243906424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0.20815267996569647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-1.7053025658242404E-13</v>
      </c>
      <c r="EK181" s="17">
        <f>EJ181*VLOOKUP('Données projet'!$B$15,Paramètres!$A$1:$I$89,3,0)*VLOOKUP('Données projet'!$B$15,Paramètres!$A$1:$I$89,5,0)</f>
        <v>-1.0197709343628959E-13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337.99164391755608</v>
      </c>
      <c r="EP181" s="59">
        <f t="shared" si="154"/>
        <v>421.45428231923393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14.53709673519041</v>
      </c>
      <c r="EW181" s="21">
        <f>EXP(-LN(2)/25)*EW180+(1-EXP(-LN(2)/25))/(LN(2)/25)*Calculateur!ER181*Calculateur!ET181*VLOOKUP('Données projet'!$B$15,Paramètres!$A$1:$I$89,3,0)*0.475*44/12</f>
        <v>1.5010721441944237</v>
      </c>
      <c r="EX181" s="21">
        <f>EXP(-LN(2)/2)*EX180+(1-EXP(-LN(2)/2))/(LN(2)/2)*ER181*EU181*VLOOKUP('Données projet'!$B$15,Paramètres!$A$1:$I$89,3,0)*0.475*44/12</f>
        <v>1.7523470063379701E-17</v>
      </c>
      <c r="EY181" s="22">
        <f t="shared" si="181"/>
        <v>16.038168879384834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-4.5474735088646412E-13</v>
      </c>
      <c r="O182" s="13">
        <f>N182*VLOOKUP('Données projet'!$B$9,Paramètres!$A$1:$I$89,3,0)*VLOOKUP('Données projet'!$B$9,Paramètres!$A$1:$I$89,5,0)</f>
        <v>-4.1145540308207271E-13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388.1278150896951</v>
      </c>
      <c r="T182" s="59">
        <f t="shared" si="142"/>
        <v>232.26614607059227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99.517726536423496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99.517726536423496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-4.5474735088646412E-13</v>
      </c>
      <c r="AJ182" s="13">
        <f>AI182*VLOOKUP('Données projet'!$B$10,Paramètres!$A$1:$I$89,3,0)*VLOOKUP('Données projet'!$B$10,Paramètres!$A$1:$I$89,5,0)</f>
        <v>-4.6111381379887462E-13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424.89201140676084</v>
      </c>
      <c r="AO182" s="59">
        <f t="shared" si="144"/>
        <v>253.0016648946303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111.52848663564707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111.52848663564707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-4.5474735088646412E-13</v>
      </c>
      <c r="BE182" s="13">
        <f>BD182*VLOOKUP('Données projet'!$B$11,Paramètres!$A$1:$I$89,3,0)*VLOOKUP('Données projet'!$B$11,Paramètres!$A$1:$I$89,5,0)</f>
        <v>-4.3273757910355926E-13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403.89478276355294</v>
      </c>
      <c r="BJ182" s="59">
        <f t="shared" si="146"/>
        <v>241.1593989733278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104.66519515037643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104.66519515037643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319</v>
      </c>
      <c r="BZ182" s="13">
        <f>BY182*VLOOKUP('Données projet'!$B$12,Paramètres!$A$1:$I$89,3,0)*VLOOKUP('Données projet'!$B$12,Paramètres!$A$1:$I$89,5,0)</f>
        <v>253.79640000000001</v>
      </c>
      <c r="CA182" s="13">
        <f t="shared" si="170"/>
        <v>61.39816832228076</v>
      </c>
      <c r="CB182" s="20">
        <f t="shared" si="171"/>
        <v>548.96387316130563</v>
      </c>
      <c r="CC182" s="59">
        <f t="shared" si="119"/>
        <v>838.29974789544281</v>
      </c>
      <c r="CD182" s="59">
        <f ca="1">AVERAGE(OFFSET($CC$3,0,0,'Données projet'!$E$12+1,1))-AVERAGE(OFFSET($H$3,0,0,'Données projet'!$E$12+1,1))</f>
        <v>377.27600411578322</v>
      </c>
      <c r="CE182" s="59">
        <f t="shared" si="148"/>
        <v>364.58250627635425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6.3035880523723566</v>
      </c>
      <c r="CL182" s="21">
        <f>EXP(-LN(2)/25)*CL181+(1-EXP(-LN(2)/25))/(LN(2)/25)*Calculateur!CG182*Calculateur!CI182*VLOOKUP('Données projet'!$B$12,Paramètres!$A$1:$I$89,3,0)*0.475*44/12</f>
        <v>0.4848459530776939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6.7884340054500507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1.7053025658242404E-13</v>
      </c>
      <c r="CU182" s="17">
        <f>CT182*VLOOKUP('Données projet'!$B$13,Paramètres!$A$1:$I$89,3,0)*VLOOKUP('Données projet'!$B$13,Paramètres!$A$1:$I$89,5,0)</f>
        <v>1.3301360013429075E-13</v>
      </c>
      <c r="CV182" s="13">
        <f t="shared" si="173"/>
        <v>1.9329766731057041E-12</v>
      </c>
      <c r="CW182" s="20">
        <f t="shared" si="174"/>
        <v>3.5982663925596575E-12</v>
      </c>
      <c r="CX182" s="59">
        <f t="shared" si="122"/>
        <v>289.3358747341407</v>
      </c>
      <c r="CY182" s="59">
        <f ca="1">AVERAGE(OFFSET($CX$3,0,0,'Données projet'!$E$13+1,1))-AVERAGE(OFFSET($H$3,0,0,'Données projet'!$E$13+1,1))</f>
        <v>308.82719216177946</v>
      </c>
      <c r="CZ182" s="59">
        <f t="shared" si="150"/>
        <v>302.59481222418219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9.185582765435802</v>
      </c>
      <c r="DG182" s="21">
        <f>EXP(-LN(2)/25)*DG181+(1-EXP(-LN(2)/25))/(LN(2)/25)*Calculateur!DB182*Calculateur!DD182*VLOOKUP('Données projet'!$B$13,Paramètres!$A$1:$I$89,3,0)*0.475*44/12</f>
        <v>3.2308228313543523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12.416405596790154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304.99999999999983</v>
      </c>
      <c r="DP182" s="17">
        <f>DO182*VLOOKUP('Données projet'!$B$14,Paramètres!$A$1:$I$89,3,0)*VLOOKUP('Données projet'!$B$14,Paramètres!$A$1:$I$89,5,0)</f>
        <v>275.96399999999983</v>
      </c>
      <c r="DQ182" s="13">
        <f t="shared" si="176"/>
        <v>66.113366665488854</v>
      </c>
      <c r="DR182" s="20">
        <f t="shared" si="177"/>
        <v>595.78474694239264</v>
      </c>
      <c r="DS182" s="59">
        <f t="shared" si="125"/>
        <v>885.12062167652971</v>
      </c>
      <c r="DT182" s="59">
        <f ca="1">AVERAGE(OFFSET($DS$3,0,0,'Données projet'!$E$14+1,1))-AVERAGE(OFFSET($H$3,0,0,'Données projet'!$E$14+1,1))</f>
        <v>376.51107072413777</v>
      </c>
      <c r="DU182" s="59">
        <f t="shared" si="152"/>
        <v>532.90758914457615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8.4525030872799709E-2</v>
      </c>
      <c r="EB182" s="21">
        <f>EXP(-LN(2)/25)*EB181+(1-EXP(-LN(2)/25))/(LN(2)/25)*Calculateur!DW182*Calculateur!DY182*VLOOKUP('Données projet'!$B$14,Paramètres!$A$1:$I$89,3,0)*0.475*44/12</f>
        <v>0.11860263842152924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0.20312766929432896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-1.7053025658242404E-13</v>
      </c>
      <c r="EK182" s="17">
        <f>EJ182*VLOOKUP('Données projet'!$B$15,Paramètres!$A$1:$I$89,3,0)*VLOOKUP('Données projet'!$B$15,Paramètres!$A$1:$I$89,5,0)</f>
        <v>-1.0197709343628959E-13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337.99164391755608</v>
      </c>
      <c r="EP182" s="59">
        <f t="shared" si="154"/>
        <v>421.45428231923393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14.252033134966815</v>
      </c>
      <c r="EW182" s="21">
        <f>EXP(-LN(2)/25)*EW181+(1-EXP(-LN(2)/25))/(LN(2)/25)*Calculateur!ER182*Calculateur!ET182*VLOOKUP('Données projet'!$B$15,Paramètres!$A$1:$I$89,3,0)*0.475*44/12</f>
        <v>1.4600252474734738</v>
      </c>
      <c r="EX182" s="21">
        <f>EXP(-LN(2)/2)*EX181+(1-EXP(-LN(2)/2))/(LN(2)/2)*ER182*EU182*VLOOKUP('Données projet'!$B$15,Paramètres!$A$1:$I$89,3,0)*0.475*44/12</f>
        <v>1.2390964511735247E-17</v>
      </c>
      <c r="EY182" s="22">
        <f t="shared" si="181"/>
        <v>15.71205838244029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-4.5474735088646412E-13</v>
      </c>
      <c r="O183" s="13">
        <f>N183*VLOOKUP('Données projet'!$B$9,Paramètres!$A$1:$I$89,3,0)*VLOOKUP('Données projet'!$B$9,Paramètres!$A$1:$I$89,5,0)</f>
        <v>-4.1145540308207271E-13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388.1278150896951</v>
      </c>
      <c r="T183" s="59">
        <f t="shared" si="142"/>
        <v>232.26614607059227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97.566244618863806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97.566244618863806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-4.5474735088646412E-13</v>
      </c>
      <c r="AJ183" s="13">
        <f>AI183*VLOOKUP('Données projet'!$B$10,Paramètres!$A$1:$I$89,3,0)*VLOOKUP('Données projet'!$B$10,Paramètres!$A$1:$I$89,5,0)</f>
        <v>-4.6111381379887462E-13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424.89201140676084</v>
      </c>
      <c r="AO183" s="59">
        <f t="shared" si="144"/>
        <v>253.0016648946303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109.3414810383819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109.3414810383819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-4.5474735088646412E-13</v>
      </c>
      <c r="BE183" s="13">
        <f>BD183*VLOOKUP('Données projet'!$B$11,Paramètres!$A$1:$I$89,3,0)*VLOOKUP('Données projet'!$B$11,Paramètres!$A$1:$I$89,5,0)</f>
        <v>-4.3273757910355926E-13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403.89478276355294</v>
      </c>
      <c r="BJ183" s="59">
        <f t="shared" si="146"/>
        <v>241.1593989733278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102.61277451294298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102.61277451294298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319</v>
      </c>
      <c r="BZ183" s="13">
        <f>BY183*VLOOKUP('Données projet'!$B$12,Paramètres!$A$1:$I$89,3,0)*VLOOKUP('Données projet'!$B$12,Paramètres!$A$1:$I$89,5,0)</f>
        <v>253.79640000000001</v>
      </c>
      <c r="CA183" s="13">
        <f t="shared" si="170"/>
        <v>61.39816832228076</v>
      </c>
      <c r="CB183" s="20">
        <f t="shared" si="171"/>
        <v>548.96387316130563</v>
      </c>
      <c r="CC183" s="59">
        <f t="shared" si="119"/>
        <v>838.36909486516026</v>
      </c>
      <c r="CD183" s="59">
        <f ca="1">AVERAGE(OFFSET($CC$3,0,0,'Données projet'!$E$12+1,1))-AVERAGE(OFFSET($H$3,0,0,'Données projet'!$E$12+1,1))</f>
        <v>377.27600411578322</v>
      </c>
      <c r="CE183" s="59">
        <f t="shared" si="148"/>
        <v>364.58250627635425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6.1799785354744037</v>
      </c>
      <c r="CL183" s="21">
        <f>EXP(-LN(2)/25)*CL182+(1-EXP(-LN(2)/25))/(LN(2)/25)*Calculateur!CG183*Calculateur!CI183*VLOOKUP('Données projet'!$B$12,Paramètres!$A$1:$I$89,3,0)*0.475*44/12</f>
        <v>0.47158781499384383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6.6515663504682472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1.7053025658242404E-13</v>
      </c>
      <c r="CU183" s="17">
        <f>CT183*VLOOKUP('Données projet'!$B$13,Paramètres!$A$1:$I$89,3,0)*VLOOKUP('Données projet'!$B$13,Paramètres!$A$1:$I$89,5,0)</f>
        <v>1.3301360013429075E-13</v>
      </c>
      <c r="CV183" s="13">
        <f t="shared" si="173"/>
        <v>1.9329766731057041E-12</v>
      </c>
      <c r="CW183" s="20">
        <f t="shared" si="174"/>
        <v>3.5982663925596575E-12</v>
      </c>
      <c r="CX183" s="59">
        <f t="shared" si="122"/>
        <v>289.40522170385822</v>
      </c>
      <c r="CY183" s="59">
        <f ca="1">AVERAGE(OFFSET($CX$3,0,0,'Données projet'!$E$13+1,1))-AVERAGE(OFFSET($H$3,0,0,'Données projet'!$E$13+1,1))</f>
        <v>308.82719216177946</v>
      </c>
      <c r="CZ183" s="59">
        <f t="shared" si="150"/>
        <v>302.59481222418219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9.0054590900578777</v>
      </c>
      <c r="DG183" s="21">
        <f>EXP(-LN(2)/25)*DG182+(1-EXP(-LN(2)/25))/(LN(2)/25)*Calculateur!DB183*Calculateur!DD183*VLOOKUP('Données projet'!$B$13,Paramètres!$A$1:$I$89,3,0)*0.475*44/12</f>
        <v>3.1424758111293789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12.147934901187256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304.99999999999983</v>
      </c>
      <c r="DP183" s="17">
        <f>DO183*VLOOKUP('Données projet'!$B$14,Paramètres!$A$1:$I$89,3,0)*VLOOKUP('Données projet'!$B$14,Paramètres!$A$1:$I$89,5,0)</f>
        <v>275.96399999999983</v>
      </c>
      <c r="DQ183" s="13">
        <f t="shared" si="176"/>
        <v>66.113366665488854</v>
      </c>
      <c r="DR183" s="20">
        <f t="shared" si="177"/>
        <v>595.78474694239264</v>
      </c>
      <c r="DS183" s="59">
        <f t="shared" si="125"/>
        <v>885.18996864624728</v>
      </c>
      <c r="DT183" s="59">
        <f ca="1">AVERAGE(OFFSET($DS$3,0,0,'Données projet'!$E$14+1,1))-AVERAGE(OFFSET($H$3,0,0,'Données projet'!$E$14+1,1))</f>
        <v>376.51107072413777</v>
      </c>
      <c r="DU183" s="59">
        <f t="shared" si="152"/>
        <v>532.90758914457615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8.286754657256229E-2</v>
      </c>
      <c r="EB183" s="21">
        <f>EXP(-LN(2)/25)*EB182+(1-EXP(-LN(2)/25))/(LN(2)/25)*Calculateur!DW183*Calculateur!DY183*VLOOKUP('Données projet'!$B$14,Paramètres!$A$1:$I$89,3,0)*0.475*44/12</f>
        <v>0.11535944303685083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0.19822698960941312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-1.7053025658242404E-13</v>
      </c>
      <c r="EK183" s="17">
        <f>EJ183*VLOOKUP('Données projet'!$B$15,Paramètres!$A$1:$I$89,3,0)*VLOOKUP('Données projet'!$B$15,Paramètres!$A$1:$I$89,5,0)</f>
        <v>-1.0197709343628959E-13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337.99164391755608</v>
      </c>
      <c r="EP183" s="59">
        <f t="shared" si="154"/>
        <v>421.45428231923393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13.972559458071977</v>
      </c>
      <c r="EW183" s="21">
        <f>EXP(-LN(2)/25)*EW182+(1-EXP(-LN(2)/25))/(LN(2)/25)*Calculateur!ER183*Calculateur!ET183*VLOOKUP('Données projet'!$B$15,Paramètres!$A$1:$I$89,3,0)*0.475*44/12</f>
        <v>1.4201007803019208</v>
      </c>
      <c r="EX183" s="21">
        <f>EXP(-LN(2)/2)*EX182+(1-EXP(-LN(2)/2))/(LN(2)/2)*ER183*EU183*VLOOKUP('Données projet'!$B$15,Paramètres!$A$1:$I$89,3,0)*0.475*44/12</f>
        <v>8.7617350316898507E-18</v>
      </c>
      <c r="EY183" s="22">
        <f t="shared" si="181"/>
        <v>15.392660238373898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-4.5474735088646412E-13</v>
      </c>
      <c r="O184" s="13">
        <f>N184*VLOOKUP('Données projet'!$B$9,Paramètres!$A$1:$I$89,3,0)*VLOOKUP('Données projet'!$B$9,Paramètres!$A$1:$I$89,5,0)</f>
        <v>-4.1145540308207271E-13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388.1278150896951</v>
      </c>
      <c r="T184" s="59">
        <f t="shared" si="142"/>
        <v>232.26614607059227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95.653030071421028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95.653030071421028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-4.5474735088646412E-13</v>
      </c>
      <c r="AJ184" s="13">
        <f>AI184*VLOOKUP('Données projet'!$B$10,Paramètres!$A$1:$I$89,3,0)*VLOOKUP('Données projet'!$B$10,Paramètres!$A$1:$I$89,5,0)</f>
        <v>-4.6111381379887462E-13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424.89201140676084</v>
      </c>
      <c r="AO184" s="59">
        <f t="shared" si="144"/>
        <v>253.0016648946303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107.19736128693741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107.19736128693741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-4.5474735088646412E-13</v>
      </c>
      <c r="BE184" s="13">
        <f>BD184*VLOOKUP('Données projet'!$B$11,Paramètres!$A$1:$I$89,3,0)*VLOOKUP('Données projet'!$B$11,Paramètres!$A$1:$I$89,5,0)</f>
        <v>-4.3273757910355926E-13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403.89478276355294</v>
      </c>
      <c r="BJ184" s="59">
        <f t="shared" si="146"/>
        <v>241.1593989733278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100.6006005923566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100.6006005923566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319</v>
      </c>
      <c r="BZ184" s="13">
        <f>BY184*VLOOKUP('Données projet'!$B$12,Paramètres!$A$1:$I$89,3,0)*VLOOKUP('Données projet'!$B$12,Paramètres!$A$1:$I$89,5,0)</f>
        <v>253.79640000000001</v>
      </c>
      <c r="CA184" s="13">
        <f t="shared" si="170"/>
        <v>61.39816832228076</v>
      </c>
      <c r="CB184" s="20">
        <f t="shared" si="171"/>
        <v>548.96387316130563</v>
      </c>
      <c r="CC184" s="59">
        <f t="shared" si="119"/>
        <v>838.43723881998972</v>
      </c>
      <c r="CD184" s="59">
        <f ca="1">AVERAGE(OFFSET($CC$3,0,0,'Données projet'!$E$12+1,1))-AVERAGE(OFFSET($H$3,0,0,'Données projet'!$E$12+1,1))</f>
        <v>377.27600411578322</v>
      </c>
      <c r="CE184" s="59">
        <f t="shared" si="148"/>
        <v>364.58250627635425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6.0587929258084587</v>
      </c>
      <c r="CL184" s="21">
        <f>EXP(-LN(2)/25)*CL183+(1-EXP(-LN(2)/25))/(LN(2)/25)*Calculateur!CG184*Calculateur!CI184*VLOOKUP('Données projet'!$B$12,Paramètres!$A$1:$I$89,3,0)*0.475*44/12</f>
        <v>0.45869222139311183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6.5174851472015707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1.7053025658242404E-13</v>
      </c>
      <c r="CU184" s="17">
        <f>CT184*VLOOKUP('Données projet'!$B$13,Paramètres!$A$1:$I$89,3,0)*VLOOKUP('Données projet'!$B$13,Paramètres!$A$1:$I$89,5,0)</f>
        <v>1.3301360013429075E-13</v>
      </c>
      <c r="CV184" s="13">
        <f t="shared" si="173"/>
        <v>1.9329766731057041E-12</v>
      </c>
      <c r="CW184" s="20">
        <f t="shared" si="174"/>
        <v>3.5982663925596575E-12</v>
      </c>
      <c r="CX184" s="59">
        <f t="shared" si="122"/>
        <v>289.47336565868767</v>
      </c>
      <c r="CY184" s="59">
        <f ca="1">AVERAGE(OFFSET($CX$3,0,0,'Données projet'!$E$13+1,1))-AVERAGE(OFFSET($H$3,0,0,'Données projet'!$E$13+1,1))</f>
        <v>308.82719216177946</v>
      </c>
      <c r="CZ184" s="59">
        <f t="shared" si="150"/>
        <v>302.59481222418219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8.8288675300895196</v>
      </c>
      <c r="DG184" s="21">
        <f>EXP(-LN(2)/25)*DG183+(1-EXP(-LN(2)/25))/(LN(2)/25)*Calculateur!DB184*Calculateur!DD184*VLOOKUP('Données projet'!$B$13,Paramètres!$A$1:$I$89,3,0)*0.475*44/12</f>
        <v>3.0565446448184255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11.885412174907945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304.99999999999983</v>
      </c>
      <c r="DP184" s="17">
        <f>DO184*VLOOKUP('Données projet'!$B$14,Paramètres!$A$1:$I$89,3,0)*VLOOKUP('Données projet'!$B$14,Paramètres!$A$1:$I$89,5,0)</f>
        <v>275.96399999999983</v>
      </c>
      <c r="DQ184" s="13">
        <f t="shared" si="176"/>
        <v>66.113366665488854</v>
      </c>
      <c r="DR184" s="20">
        <f t="shared" si="177"/>
        <v>595.78474694239264</v>
      </c>
      <c r="DS184" s="59">
        <f t="shared" si="125"/>
        <v>885.25811260107673</v>
      </c>
      <c r="DT184" s="59">
        <f ca="1">AVERAGE(OFFSET($DS$3,0,0,'Données projet'!$E$14+1,1))-AVERAGE(OFFSET($H$3,0,0,'Données projet'!$E$14+1,1))</f>
        <v>376.51107072413777</v>
      </c>
      <c r="DU184" s="59">
        <f t="shared" si="152"/>
        <v>532.90758914457615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8.1242564528486924E-2</v>
      </c>
      <c r="EB184" s="21">
        <f>EXP(-LN(2)/25)*EB183+(1-EXP(-LN(2)/25))/(LN(2)/25)*Calculateur!DW184*Calculateur!DY184*VLOOKUP('Données projet'!$B$14,Paramètres!$A$1:$I$89,3,0)*0.475*44/12</f>
        <v>0.1122049330005187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0.19344749752900564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-1.7053025658242404E-13</v>
      </c>
      <c r="EK184" s="17">
        <f>EJ184*VLOOKUP('Données projet'!$B$15,Paramètres!$A$1:$I$89,3,0)*VLOOKUP('Données projet'!$B$15,Paramètres!$A$1:$I$89,5,0)</f>
        <v>-1.0197709343628959E-13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337.99164391755608</v>
      </c>
      <c r="EP184" s="59">
        <f t="shared" si="154"/>
        <v>421.45428231923393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13.698566089518936</v>
      </c>
      <c r="EW184" s="21">
        <f>EXP(-LN(2)/25)*EW183+(1-EXP(-LN(2)/25))/(LN(2)/25)*Calculateur!ER184*Calculateur!ET184*VLOOKUP('Données projet'!$B$15,Paramètres!$A$1:$I$89,3,0)*0.475*44/12</f>
        <v>1.3812680497847103</v>
      </c>
      <c r="EX184" s="21">
        <f>EXP(-LN(2)/2)*EX183+(1-EXP(-LN(2)/2))/(LN(2)/2)*ER184*EU184*VLOOKUP('Données projet'!$B$15,Paramètres!$A$1:$I$89,3,0)*0.475*44/12</f>
        <v>6.1954822558676234E-18</v>
      </c>
      <c r="EY184" s="22">
        <f t="shared" si="181"/>
        <v>15.079834139303646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-4.5474735088646412E-13</v>
      </c>
      <c r="O185" s="13">
        <f>N185*VLOOKUP('Données projet'!$B$9,Paramètres!$A$1:$I$89,3,0)*VLOOKUP('Données projet'!$B$9,Paramètres!$A$1:$I$89,5,0)</f>
        <v>-4.1145540308207271E-13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388.1278150896951</v>
      </c>
      <c r="T185" s="59">
        <f t="shared" si="142"/>
        <v>232.26614607059227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93.777332494307956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93.777332494307956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-4.5474735088646412E-13</v>
      </c>
      <c r="AJ185" s="13">
        <f>AI185*VLOOKUP('Données projet'!$B$10,Paramètres!$A$1:$I$89,3,0)*VLOOKUP('Données projet'!$B$10,Paramètres!$A$1:$I$89,5,0)</f>
        <v>-4.6111381379887462E-13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424.89201140676084</v>
      </c>
      <c r="AO185" s="59">
        <f t="shared" si="144"/>
        <v>253.0016648946303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105.09528641603482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105.09528641603482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-4.5474735088646412E-13</v>
      </c>
      <c r="BE185" s="13">
        <f>BD185*VLOOKUP('Données projet'!$B$11,Paramètres!$A$1:$I$89,3,0)*VLOOKUP('Données projet'!$B$11,Paramètres!$A$1:$I$89,5,0)</f>
        <v>-4.3273757910355926E-13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403.89478276355294</v>
      </c>
      <c r="BJ185" s="59">
        <f t="shared" si="146"/>
        <v>241.1593989733278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98.627884175048024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98.627884175048024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319</v>
      </c>
      <c r="BZ185" s="13">
        <f>BY185*VLOOKUP('Données projet'!$B$12,Paramètres!$A$1:$I$89,3,0)*VLOOKUP('Données projet'!$B$12,Paramètres!$A$1:$I$89,5,0)</f>
        <v>253.79640000000001</v>
      </c>
      <c r="CA185" s="13">
        <f t="shared" si="170"/>
        <v>61.39816832228076</v>
      </c>
      <c r="CB185" s="20">
        <f t="shared" si="171"/>
        <v>548.96387316130563</v>
      </c>
      <c r="CC185" s="59">
        <f t="shared" si="119"/>
        <v>838.50420062955004</v>
      </c>
      <c r="CD185" s="59">
        <f ca="1">AVERAGE(OFFSET($CC$3,0,0,'Données projet'!$E$12+1,1))-AVERAGE(OFFSET($H$3,0,0,'Données projet'!$E$12+1,1))</f>
        <v>377.27600411578322</v>
      </c>
      <c r="CE185" s="59">
        <f t="shared" si="148"/>
        <v>364.58250627635425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5.9399836920321398</v>
      </c>
      <c r="CL185" s="21">
        <f>EXP(-LN(2)/25)*CL184+(1-EXP(-LN(2)/25))/(LN(2)/25)*Calculateur!CG185*Calculateur!CI185*VLOOKUP('Données projet'!$B$12,Paramètres!$A$1:$I$89,3,0)*0.475*44/12</f>
        <v>0.44614925847754161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6.3861329505096815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1.7053025658242404E-13</v>
      </c>
      <c r="CU185" s="17">
        <f>CT185*VLOOKUP('Données projet'!$B$13,Paramètres!$A$1:$I$89,3,0)*VLOOKUP('Données projet'!$B$13,Paramètres!$A$1:$I$89,5,0)</f>
        <v>1.3301360013429075E-13</v>
      </c>
      <c r="CV185" s="13">
        <f t="shared" si="173"/>
        <v>1.9329766731057041E-12</v>
      </c>
      <c r="CW185" s="20">
        <f t="shared" si="174"/>
        <v>3.5982663925596575E-12</v>
      </c>
      <c r="CX185" s="59">
        <f t="shared" si="122"/>
        <v>289.54032746824799</v>
      </c>
      <c r="CY185" s="59">
        <f ca="1">AVERAGE(OFFSET($CX$3,0,0,'Données projet'!$E$13+1,1))-AVERAGE(OFFSET($H$3,0,0,'Données projet'!$E$13+1,1))</f>
        <v>308.82719216177946</v>
      </c>
      <c r="CZ185" s="59">
        <f t="shared" si="150"/>
        <v>302.59481222418219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8.6557388229019256</v>
      </c>
      <c r="DG185" s="21">
        <f>EXP(-LN(2)/25)*DG184+(1-EXP(-LN(2)/25))/(LN(2)/25)*Calculateur!DB185*Calculateur!DD185*VLOOKUP('Données projet'!$B$13,Paramètres!$A$1:$I$89,3,0)*0.475*44/12</f>
        <v>2.9729632707691684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11.628702093671095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304.99999999999983</v>
      </c>
      <c r="DP185" s="17">
        <f>DO185*VLOOKUP('Données projet'!$B$14,Paramètres!$A$1:$I$89,3,0)*VLOOKUP('Données projet'!$B$14,Paramètres!$A$1:$I$89,5,0)</f>
        <v>275.96399999999983</v>
      </c>
      <c r="DQ185" s="13">
        <f t="shared" si="176"/>
        <v>66.113366665488854</v>
      </c>
      <c r="DR185" s="20">
        <f t="shared" si="177"/>
        <v>595.78474694239264</v>
      </c>
      <c r="DS185" s="59">
        <f t="shared" si="125"/>
        <v>885.32507441063706</v>
      </c>
      <c r="DT185" s="59">
        <f ca="1">AVERAGE(OFFSET($DS$3,0,0,'Données projet'!$E$14+1,1))-AVERAGE(OFFSET($H$3,0,0,'Données projet'!$E$14+1,1))</f>
        <v>376.51107072413777</v>
      </c>
      <c r="DU185" s="59">
        <f t="shared" si="152"/>
        <v>532.90758914457615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7.9649447391154704E-2</v>
      </c>
      <c r="EB185" s="21">
        <f>EXP(-LN(2)/25)*EB184+(1-EXP(-LN(2)/25))/(LN(2)/25)*Calculateur!DW185*Calculateur!DY185*VLOOKUP('Données projet'!$B$14,Paramètres!$A$1:$I$89,3,0)*0.475*44/12</f>
        <v>0.10913668320701854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0.18878613059817323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-1.7053025658242404E-13</v>
      </c>
      <c r="EK185" s="17">
        <f>EJ185*VLOOKUP('Données projet'!$B$15,Paramètres!$A$1:$I$89,3,0)*VLOOKUP('Données projet'!$B$15,Paramètres!$A$1:$I$89,5,0)</f>
        <v>-1.0197709343628959E-13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337.99164391755608</v>
      </c>
      <c r="EP185" s="59">
        <f t="shared" si="154"/>
        <v>421.45428231923393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13.429945563803766</v>
      </c>
      <c r="EW185" s="21">
        <f>EXP(-LN(2)/25)*EW184+(1-EXP(-LN(2)/25))/(LN(2)/25)*Calculateur!ER185*Calculateur!ET185*VLOOKUP('Données projet'!$B$15,Paramètres!$A$1:$I$89,3,0)*0.475*44/12</f>
        <v>1.3434972023256175</v>
      </c>
      <c r="EX185" s="21">
        <f>EXP(-LN(2)/2)*EX184+(1-EXP(-LN(2)/2))/(LN(2)/2)*ER185*EU185*VLOOKUP('Données projet'!$B$15,Paramètres!$A$1:$I$89,3,0)*0.475*44/12</f>
        <v>4.3808675158449253E-18</v>
      </c>
      <c r="EY185" s="22">
        <f t="shared" si="181"/>
        <v>14.773442766129383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-4.5474735088646412E-13</v>
      </c>
      <c r="O186" s="13">
        <f>N186*VLOOKUP('Données projet'!$B$9,Paramètres!$A$1:$I$89,3,0)*VLOOKUP('Données projet'!$B$9,Paramètres!$A$1:$I$89,5,0)</f>
        <v>-4.1145540308207271E-13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388.1278150896951</v>
      </c>
      <c r="T186" s="59">
        <f t="shared" si="142"/>
        <v>232.26614607059227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91.938416202619507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91.938416202619507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-4.5474735088646412E-13</v>
      </c>
      <c r="AJ186" s="13">
        <f>AI186*VLOOKUP('Données projet'!$B$10,Paramètres!$A$1:$I$89,3,0)*VLOOKUP('Données projet'!$B$10,Paramètres!$A$1:$I$89,5,0)</f>
        <v>-4.6111381379887462E-13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424.89201140676084</v>
      </c>
      <c r="AO186" s="59">
        <f t="shared" si="144"/>
        <v>253.0016648946303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103.03443195121157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103.03443195121157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-4.5474735088646412E-13</v>
      </c>
      <c r="BE186" s="13">
        <f>BD186*VLOOKUP('Données projet'!$B$11,Paramètres!$A$1:$I$89,3,0)*VLOOKUP('Données projet'!$B$11,Paramètres!$A$1:$I$89,5,0)</f>
        <v>-4.3273757910355926E-13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403.89478276355294</v>
      </c>
      <c r="BJ186" s="59">
        <f t="shared" si="146"/>
        <v>241.1593989733278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96.693851523444664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96.693851523444664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319</v>
      </c>
      <c r="BZ186" s="13">
        <f>BY186*VLOOKUP('Données projet'!$B$12,Paramètres!$A$1:$I$89,3,0)*VLOOKUP('Données projet'!$B$12,Paramètres!$A$1:$I$89,5,0)</f>
        <v>253.79640000000001</v>
      </c>
      <c r="CA186" s="13">
        <f t="shared" si="170"/>
        <v>61.39816832228076</v>
      </c>
      <c r="CB186" s="20">
        <f t="shared" si="171"/>
        <v>548.96387316130563</v>
      </c>
      <c r="CC186" s="59">
        <f t="shared" si="119"/>
        <v>838.57000080141859</v>
      </c>
      <c r="CD186" s="59">
        <f ca="1">AVERAGE(OFFSET($CC$3,0,0,'Données projet'!$E$12+1,1))-AVERAGE(OFFSET($H$3,0,0,'Données projet'!$E$12+1,1))</f>
        <v>377.27600411578322</v>
      </c>
      <c r="CE186" s="59">
        <f t="shared" si="148"/>
        <v>364.58250627635425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5.8235042348636972</v>
      </c>
      <c r="CL186" s="21">
        <f>EXP(-LN(2)/25)*CL185+(1-EXP(-LN(2)/25))/(LN(2)/25)*Calculateur!CG186*Calculateur!CI186*VLOOKUP('Données projet'!$B$12,Paramètres!$A$1:$I$89,3,0)*0.475*44/12</f>
        <v>0.43394928354250339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6.2574535184062006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1.7053025658242404E-13</v>
      </c>
      <c r="CU186" s="17">
        <f>CT186*VLOOKUP('Données projet'!$B$13,Paramètres!$A$1:$I$89,3,0)*VLOOKUP('Données projet'!$B$13,Paramètres!$A$1:$I$89,5,0)</f>
        <v>1.3301360013429075E-13</v>
      </c>
      <c r="CV186" s="13">
        <f t="shared" si="173"/>
        <v>1.9329766731057041E-12</v>
      </c>
      <c r="CW186" s="20">
        <f t="shared" si="174"/>
        <v>3.5982663925596575E-12</v>
      </c>
      <c r="CX186" s="59">
        <f t="shared" si="122"/>
        <v>289.60612764011654</v>
      </c>
      <c r="CY186" s="59">
        <f ca="1">AVERAGE(OFFSET($CX$3,0,0,'Données projet'!$E$13+1,1))-AVERAGE(OFFSET($H$3,0,0,'Données projet'!$E$13+1,1))</f>
        <v>308.82719216177946</v>
      </c>
      <c r="CZ186" s="59">
        <f t="shared" si="150"/>
        <v>302.59481222418219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8.4860050640641962</v>
      </c>
      <c r="DG186" s="21">
        <f>EXP(-LN(2)/25)*DG185+(1-EXP(-LN(2)/25))/(LN(2)/25)*Calculateur!DB186*Calculateur!DD186*VLOOKUP('Données projet'!$B$13,Paramètres!$A$1:$I$89,3,0)*0.475*44/12</f>
        <v>2.8916674337886419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11.377672497852839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304.99999999999983</v>
      </c>
      <c r="DP186" s="17">
        <f>DO186*VLOOKUP('Données projet'!$B$14,Paramètres!$A$1:$I$89,3,0)*VLOOKUP('Données projet'!$B$14,Paramètres!$A$1:$I$89,5,0)</f>
        <v>275.96399999999983</v>
      </c>
      <c r="DQ186" s="13">
        <f t="shared" si="176"/>
        <v>66.113366665488854</v>
      </c>
      <c r="DR186" s="20">
        <f t="shared" si="177"/>
        <v>595.78474694239264</v>
      </c>
      <c r="DS186" s="59">
        <f t="shared" si="125"/>
        <v>885.3908745825056</v>
      </c>
      <c r="DT186" s="59">
        <f ca="1">AVERAGE(OFFSET($DS$3,0,0,'Données projet'!$E$14+1,1))-AVERAGE(OFFSET($H$3,0,0,'Données projet'!$E$14+1,1))</f>
        <v>376.51107072413777</v>
      </c>
      <c r="DU186" s="59">
        <f t="shared" si="152"/>
        <v>532.90758914457615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7.8087570309180052E-2</v>
      </c>
      <c r="EB186" s="21">
        <f>EXP(-LN(2)/25)*EB185+(1-EXP(-LN(2)/25))/(LN(2)/25)*Calculateur!DW186*Calculateur!DY186*VLOOKUP('Données projet'!$B$14,Paramètres!$A$1:$I$89,3,0)*0.475*44/12</f>
        <v>0.10615233486547389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0.18423990517465394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-1.7053025658242404E-13</v>
      </c>
      <c r="EK186" s="17">
        <f>EJ186*VLOOKUP('Données projet'!$B$15,Paramètres!$A$1:$I$89,3,0)*VLOOKUP('Données projet'!$B$15,Paramètres!$A$1:$I$89,5,0)</f>
        <v>-1.0197709343628959E-13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337.99164391755608</v>
      </c>
      <c r="EP186" s="59">
        <f t="shared" si="154"/>
        <v>421.45428231923393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13.166592522755529</v>
      </c>
      <c r="EW186" s="21">
        <f>EXP(-LN(2)/25)*EW185+(1-EXP(-LN(2)/25))/(LN(2)/25)*Calculateur!ER186*Calculateur!ET186*VLOOKUP('Données projet'!$B$15,Paramètres!$A$1:$I$89,3,0)*0.475*44/12</f>
        <v>1.3067592006765762</v>
      </c>
      <c r="EX186" s="21">
        <f>EXP(-LN(2)/2)*EX185+(1-EXP(-LN(2)/2))/(LN(2)/2)*ER186*EU186*VLOOKUP('Données projet'!$B$15,Paramètres!$A$1:$I$89,3,0)*0.475*44/12</f>
        <v>3.0977411279338117E-18</v>
      </c>
      <c r="EY186" s="22">
        <f t="shared" si="181"/>
        <v>14.473351723432106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-4.5474735088646412E-13</v>
      </c>
      <c r="O187" s="13">
        <f>N187*VLOOKUP('Données projet'!$B$9,Paramètres!$A$1:$I$89,3,0)*VLOOKUP('Données projet'!$B$9,Paramètres!$A$1:$I$89,5,0)</f>
        <v>-4.1145540308207271E-13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388.1278150896951</v>
      </c>
      <c r="T187" s="59">
        <f t="shared" si="142"/>
        <v>232.26614607059227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90.135559937782887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90.135559937782887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-4.5474735088646412E-13</v>
      </c>
      <c r="AJ187" s="13">
        <f>AI187*VLOOKUP('Données projet'!$B$10,Paramètres!$A$1:$I$89,3,0)*VLOOKUP('Données projet'!$B$10,Paramètres!$A$1:$I$89,5,0)</f>
        <v>-4.6111381379887462E-13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424.89201140676084</v>
      </c>
      <c r="AO187" s="59">
        <f t="shared" si="144"/>
        <v>253.0016648946303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101.0139895854464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101.0139895854464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-4.5474735088646412E-13</v>
      </c>
      <c r="BE187" s="13">
        <f>BD187*VLOOKUP('Données projet'!$B$11,Paramètres!$A$1:$I$89,3,0)*VLOOKUP('Données projet'!$B$11,Paramètres!$A$1:$I$89,5,0)</f>
        <v>-4.3273757910355926E-13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403.89478276355294</v>
      </c>
      <c r="BJ187" s="59">
        <f t="shared" si="146"/>
        <v>241.1593989733278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94.797744072495803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94.797744072495803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319</v>
      </c>
      <c r="BZ187" s="13">
        <f>BY187*VLOOKUP('Données projet'!$B$12,Paramètres!$A$1:$I$89,3,0)*VLOOKUP('Données projet'!$B$12,Paramètres!$A$1:$I$89,5,0)</f>
        <v>253.79640000000001</v>
      </c>
      <c r="CA187" s="13">
        <f t="shared" si="170"/>
        <v>61.39816832228076</v>
      </c>
      <c r="CB187" s="20">
        <f t="shared" si="171"/>
        <v>548.96387316130563</v>
      </c>
      <c r="CC187" s="59">
        <f t="shared" si="119"/>
        <v>838.63465948741236</v>
      </c>
      <c r="CD187" s="59">
        <f ca="1">AVERAGE(OFFSET($CC$3,0,0,'Données projet'!$E$12+1,1))-AVERAGE(OFFSET($H$3,0,0,'Données projet'!$E$12+1,1))</f>
        <v>377.27600411578322</v>
      </c>
      <c r="CE187" s="59">
        <f t="shared" si="148"/>
        <v>364.58250627635425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5.7093088688048734</v>
      </c>
      <c r="CL187" s="21">
        <f>EXP(-LN(2)/25)*CL186+(1-EXP(-LN(2)/25))/(LN(2)/25)*Calculateur!CG187*Calculateur!CI187*VLOOKUP('Données projet'!$B$12,Paramètres!$A$1:$I$89,3,0)*0.475*44/12</f>
        <v>0.42208291756363264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6.1313917863685061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1.7053025658242404E-13</v>
      </c>
      <c r="CU187" s="17">
        <f>CT187*VLOOKUP('Données projet'!$B$13,Paramètres!$A$1:$I$89,3,0)*VLOOKUP('Données projet'!$B$13,Paramètres!$A$1:$I$89,5,0)</f>
        <v>1.3301360013429075E-13</v>
      </c>
      <c r="CV187" s="13">
        <f t="shared" si="173"/>
        <v>1.9329766731057041E-12</v>
      </c>
      <c r="CW187" s="20">
        <f t="shared" si="174"/>
        <v>3.5982663925596575E-12</v>
      </c>
      <c r="CX187" s="59">
        <f t="shared" si="122"/>
        <v>289.67078632611032</v>
      </c>
      <c r="CY187" s="59">
        <f ca="1">AVERAGE(OFFSET($CX$3,0,0,'Données projet'!$E$13+1,1))-AVERAGE(OFFSET($H$3,0,0,'Données projet'!$E$13+1,1))</f>
        <v>308.82719216177946</v>
      </c>
      <c r="CZ187" s="59">
        <f t="shared" si="150"/>
        <v>302.59481222418219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8.3195996807099029</v>
      </c>
      <c r="DG187" s="21">
        <f>EXP(-LN(2)/25)*DG186+(1-EXP(-LN(2)/25))/(LN(2)/25)*Calculateur!DB187*Calculateur!DD187*VLOOKUP('Données projet'!$B$13,Paramètres!$A$1:$I$89,3,0)*0.475*44/12</f>
        <v>2.8125946357455103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11.132194316455413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304.99999999999983</v>
      </c>
      <c r="DP187" s="17">
        <f>DO187*VLOOKUP('Données projet'!$B$14,Paramètres!$A$1:$I$89,3,0)*VLOOKUP('Données projet'!$B$14,Paramètres!$A$1:$I$89,5,0)</f>
        <v>275.96399999999983</v>
      </c>
      <c r="DQ187" s="13">
        <f t="shared" si="176"/>
        <v>66.113366665488854</v>
      </c>
      <c r="DR187" s="20">
        <f t="shared" si="177"/>
        <v>595.78474694239264</v>
      </c>
      <c r="DS187" s="59">
        <f t="shared" si="125"/>
        <v>885.45553326849938</v>
      </c>
      <c r="DT187" s="59">
        <f ca="1">AVERAGE(OFFSET($DS$3,0,0,'Données projet'!$E$14+1,1))-AVERAGE(OFFSET($H$3,0,0,'Données projet'!$E$14+1,1))</f>
        <v>376.51107072413777</v>
      </c>
      <c r="DU187" s="59">
        <f t="shared" si="152"/>
        <v>532.90758914457615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7.655632068413197E-2</v>
      </c>
      <c r="EB187" s="21">
        <f>EXP(-LN(2)/25)*EB186+(1-EXP(-LN(2)/25))/(LN(2)/25)*Calculateur!DW187*Calculateur!DY187*VLOOKUP('Données projet'!$B$14,Paramètres!$A$1:$I$89,3,0)*0.475*44/12</f>
        <v>0.10324959368626883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0.1798059143704008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-1.7053025658242404E-13</v>
      </c>
      <c r="EK187" s="17">
        <f>EJ187*VLOOKUP('Données projet'!$B$15,Paramètres!$A$1:$I$89,3,0)*VLOOKUP('Données projet'!$B$15,Paramètres!$A$1:$I$89,5,0)</f>
        <v>-1.0197709343628959E-13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337.99164391755608</v>
      </c>
      <c r="EP187" s="59">
        <f t="shared" si="154"/>
        <v>421.45428231923393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12.908403674212753</v>
      </c>
      <c r="EW187" s="21">
        <f>EXP(-LN(2)/25)*EW186+(1-EXP(-LN(2)/25))/(LN(2)/25)*Calculateur!ER187*Calculateur!ET187*VLOOKUP('Données projet'!$B$15,Paramètres!$A$1:$I$89,3,0)*0.475*44/12</f>
        <v>1.2710258016145954</v>
      </c>
      <c r="EX187" s="21">
        <f>EXP(-LN(2)/2)*EX186+(1-EXP(-LN(2)/2))/(LN(2)/2)*ER187*EU187*VLOOKUP('Données projet'!$B$15,Paramètres!$A$1:$I$89,3,0)*0.475*44/12</f>
        <v>2.1904337579224627E-18</v>
      </c>
      <c r="EY187" s="22">
        <f t="shared" si="181"/>
        <v>14.179429475827348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-4.5474735088646412E-13</v>
      </c>
      <c r="O188" s="13">
        <f>N188*VLOOKUP('Données projet'!$B$9,Paramètres!$A$1:$I$89,3,0)*VLOOKUP('Données projet'!$B$9,Paramètres!$A$1:$I$89,5,0)</f>
        <v>-4.1145540308207271E-13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388.1278150896951</v>
      </c>
      <c r="T188" s="59">
        <f t="shared" si="142"/>
        <v>232.26614607059227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88.368056584665979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88.368056584665979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-4.5474735088646412E-13</v>
      </c>
      <c r="AJ188" s="13">
        <f>AI188*VLOOKUP('Données projet'!$B$10,Paramètres!$A$1:$I$89,3,0)*VLOOKUP('Données projet'!$B$10,Paramètres!$A$1:$I$89,5,0)</f>
        <v>-4.6111381379887462E-13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424.89201140676084</v>
      </c>
      <c r="AO188" s="59">
        <f t="shared" si="144"/>
        <v>253.0016648946303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99.033166862125711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99.033166862125711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-4.5474735088646412E-13</v>
      </c>
      <c r="BE188" s="13">
        <f>BD188*VLOOKUP('Données projet'!$B$11,Paramètres!$A$1:$I$89,3,0)*VLOOKUP('Données projet'!$B$11,Paramètres!$A$1:$I$89,5,0)</f>
        <v>-4.3273757910355926E-13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403.89478276355294</v>
      </c>
      <c r="BJ188" s="59">
        <f t="shared" si="146"/>
        <v>241.1593989733278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92.938818132148697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92.938818132148697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319</v>
      </c>
      <c r="BZ188" s="13">
        <f>BY188*VLOOKUP('Données projet'!$B$12,Paramètres!$A$1:$I$89,3,0)*VLOOKUP('Données projet'!$B$12,Paramètres!$A$1:$I$89,5,0)</f>
        <v>253.79640000000001</v>
      </c>
      <c r="CA188" s="13">
        <f t="shared" si="170"/>
        <v>61.39816832228076</v>
      </c>
      <c r="CB188" s="20">
        <f t="shared" si="171"/>
        <v>548.96387316130563</v>
      </c>
      <c r="CC188" s="59">
        <f t="shared" si="119"/>
        <v>838.69819648975931</v>
      </c>
      <c r="CD188" s="59">
        <f ca="1">AVERAGE(OFFSET($CC$3,0,0,'Données projet'!$E$12+1,1))-AVERAGE(OFFSET($H$3,0,0,'Données projet'!$E$12+1,1))</f>
        <v>377.27600411578322</v>
      </c>
      <c r="CE188" s="59">
        <f t="shared" si="148"/>
        <v>364.58250627635425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5.5973528042221679</v>
      </c>
      <c r="CL188" s="21">
        <f>EXP(-LN(2)/25)*CL187+(1-EXP(-LN(2)/25))/(LN(2)/25)*Calculateur!CG188*Calculateur!CI188*VLOOKUP('Données projet'!$B$12,Paramètres!$A$1:$I$89,3,0)*0.475*44/12</f>
        <v>0.41054103798647917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6.007893842208647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1.7053025658242404E-13</v>
      </c>
      <c r="CU188" s="17">
        <f>CT188*VLOOKUP('Données projet'!$B$13,Paramètres!$A$1:$I$89,3,0)*VLOOKUP('Données projet'!$B$13,Paramètres!$A$1:$I$89,5,0)</f>
        <v>1.3301360013429075E-13</v>
      </c>
      <c r="CV188" s="13">
        <f t="shared" si="173"/>
        <v>1.9329766731057041E-12</v>
      </c>
      <c r="CW188" s="20">
        <f t="shared" si="174"/>
        <v>3.5982663925596575E-12</v>
      </c>
      <c r="CX188" s="59">
        <f t="shared" si="122"/>
        <v>289.73432332845732</v>
      </c>
      <c r="CY188" s="59">
        <f ca="1">AVERAGE(OFFSET($CX$3,0,0,'Données projet'!$E$13+1,1))-AVERAGE(OFFSET($H$3,0,0,'Données projet'!$E$13+1,1))</f>
        <v>308.82719216177946</v>
      </c>
      <c r="CZ188" s="59">
        <f t="shared" si="150"/>
        <v>302.59481222418219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8.1564574054259253</v>
      </c>
      <c r="DG188" s="21">
        <f>EXP(-LN(2)/25)*DG187+(1-EXP(-LN(2)/25))/(LN(2)/25)*Calculateur!DB188*Calculateur!DD188*VLOOKUP('Données projet'!$B$13,Paramètres!$A$1:$I$89,3,0)*0.475*44/12</f>
        <v>2.7356840875231256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10.892141492949051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304.99999999999983</v>
      </c>
      <c r="DP188" s="17">
        <f>DO188*VLOOKUP('Données projet'!$B$14,Paramètres!$A$1:$I$89,3,0)*VLOOKUP('Données projet'!$B$14,Paramètres!$A$1:$I$89,5,0)</f>
        <v>275.96399999999983</v>
      </c>
      <c r="DQ188" s="13">
        <f t="shared" si="176"/>
        <v>66.113366665488854</v>
      </c>
      <c r="DR188" s="20">
        <f t="shared" si="177"/>
        <v>595.78474694239264</v>
      </c>
      <c r="DS188" s="59">
        <f t="shared" si="125"/>
        <v>885.51907027084644</v>
      </c>
      <c r="DT188" s="59">
        <f ca="1">AVERAGE(OFFSET($DS$3,0,0,'Données projet'!$E$14+1,1))-AVERAGE(OFFSET($H$3,0,0,'Données projet'!$E$14+1,1))</f>
        <v>376.51107072413777</v>
      </c>
      <c r="DU188" s="59">
        <f t="shared" si="152"/>
        <v>532.90758914457615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7.5055097930261036E-2</v>
      </c>
      <c r="EB188" s="21">
        <f>EXP(-LN(2)/25)*EB187+(1-EXP(-LN(2)/25))/(LN(2)/25)*Calculateur!DW188*Calculateur!DY188*VLOOKUP('Données projet'!$B$14,Paramètres!$A$1:$I$89,3,0)*0.475*44/12</f>
        <v>0.10042622811725765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0.1754813260475187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-1.7053025658242404E-13</v>
      </c>
      <c r="EK188" s="17">
        <f>EJ188*VLOOKUP('Données projet'!$B$15,Paramètres!$A$1:$I$89,3,0)*VLOOKUP('Données projet'!$B$15,Paramètres!$A$1:$I$89,5,0)</f>
        <v>-1.0197709343628959E-13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337.99164391755608</v>
      </c>
      <c r="EP188" s="59">
        <f t="shared" si="154"/>
        <v>421.45428231923393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12.655277751510253</v>
      </c>
      <c r="EW188" s="21">
        <f>EXP(-LN(2)/25)*EW187+(1-EXP(-LN(2)/25))/(LN(2)/25)*Calculateur!ER188*Calculateur!ET188*VLOOKUP('Données projet'!$B$15,Paramètres!$A$1:$I$89,3,0)*0.475*44/12</f>
        <v>1.2362695342291024</v>
      </c>
      <c r="EX188" s="21">
        <f>EXP(-LN(2)/2)*EX187+(1-EXP(-LN(2)/2))/(LN(2)/2)*ER188*EU188*VLOOKUP('Données projet'!$B$15,Paramètres!$A$1:$I$89,3,0)*0.475*44/12</f>
        <v>1.5488705639669058E-18</v>
      </c>
      <c r="EY188" s="22">
        <f t="shared" si="181"/>
        <v>13.891547285739355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-4.5474735088646412E-13</v>
      </c>
      <c r="O189" s="13">
        <f>N189*VLOOKUP('Données projet'!$B$9,Paramètres!$A$1:$I$89,3,0)*VLOOKUP('Données projet'!$B$9,Paramètres!$A$1:$I$89,5,0)</f>
        <v>-4.1145540308207271E-13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388.1278150896951</v>
      </c>
      <c r="T189" s="59">
        <f t="shared" si="142"/>
        <v>232.26614607059227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86.635212894233092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86.635212894233092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-4.5474735088646412E-13</v>
      </c>
      <c r="AJ189" s="13">
        <f>AI189*VLOOKUP('Données projet'!$B$10,Paramètres!$A$1:$I$89,3,0)*VLOOKUP('Données projet'!$B$10,Paramètres!$A$1:$I$89,5,0)</f>
        <v>-4.6111381379887462E-13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424.89201140676084</v>
      </c>
      <c r="AO189" s="59">
        <f t="shared" si="144"/>
        <v>253.0016648946303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97.091186864226785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97.091186864226785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-4.5474735088646412E-13</v>
      </c>
      <c r="BE189" s="13">
        <f>BD189*VLOOKUP('Données projet'!$B$11,Paramètres!$A$1:$I$89,3,0)*VLOOKUP('Données projet'!$B$11,Paramètres!$A$1:$I$89,5,0)</f>
        <v>-4.3273757910355926E-13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403.89478276355294</v>
      </c>
      <c r="BJ189" s="59">
        <f t="shared" si="146"/>
        <v>241.1593989733278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91.116344595658944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91.116344595658944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319</v>
      </c>
      <c r="BZ189" s="13">
        <f>BY189*VLOOKUP('Données projet'!$B$12,Paramètres!$A$1:$I$89,3,0)*VLOOKUP('Données projet'!$B$12,Paramètres!$A$1:$I$89,5,0)</f>
        <v>253.79640000000001</v>
      </c>
      <c r="CA189" s="13">
        <f t="shared" si="170"/>
        <v>61.39816832228076</v>
      </c>
      <c r="CB189" s="20">
        <f t="shared" si="171"/>
        <v>548.96387316130563</v>
      </c>
      <c r="CC189" s="59">
        <f t="shared" si="119"/>
        <v>838.76063126716303</v>
      </c>
      <c r="CD189" s="59">
        <f ca="1">AVERAGE(OFFSET($CC$3,0,0,'Données projet'!$E$12+1,1))-AVERAGE(OFFSET($H$3,0,0,'Données projet'!$E$12+1,1))</f>
        <v>377.27600411578322</v>
      </c>
      <c r="CE189" s="59">
        <f t="shared" si="148"/>
        <v>364.58250627635425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5.4875921297794727</v>
      </c>
      <c r="CL189" s="21">
        <f>EXP(-LN(2)/25)*CL188+(1-EXP(-LN(2)/25))/(LN(2)/25)*Calculateur!CG189*Calculateur!CI189*VLOOKUP('Données projet'!$B$12,Paramètres!$A$1:$I$89,3,0)*0.475*44/12</f>
        <v>0.39931477171332402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5.8869069014927966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1.7053025658242404E-13</v>
      </c>
      <c r="CU189" s="17">
        <f>CT189*VLOOKUP('Données projet'!$B$13,Paramètres!$A$1:$I$89,3,0)*VLOOKUP('Données projet'!$B$13,Paramètres!$A$1:$I$89,5,0)</f>
        <v>1.3301360013429075E-13</v>
      </c>
      <c r="CV189" s="13">
        <f t="shared" si="173"/>
        <v>1.9329766731057041E-12</v>
      </c>
      <c r="CW189" s="20">
        <f t="shared" si="174"/>
        <v>3.5982663925596575E-12</v>
      </c>
      <c r="CX189" s="59">
        <f t="shared" si="122"/>
        <v>289.79675810586099</v>
      </c>
      <c r="CY189" s="59">
        <f ca="1">AVERAGE(OFFSET($CX$3,0,0,'Données projet'!$E$13+1,1))-AVERAGE(OFFSET($H$3,0,0,'Données projet'!$E$13+1,1))</f>
        <v>308.82719216177946</v>
      </c>
      <c r="CZ189" s="59">
        <f t="shared" si="150"/>
        <v>302.59481222418219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7.9965142506533047</v>
      </c>
      <c r="DG189" s="21">
        <f>EXP(-LN(2)/25)*DG188+(1-EXP(-LN(2)/25))/(LN(2)/25)*Calculateur!DB189*Calculateur!DD189*VLOOKUP('Données projet'!$B$13,Paramètres!$A$1:$I$89,3,0)*0.475*44/12</f>
        <v>2.6608766622864319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10.657390912939736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304.99999999999983</v>
      </c>
      <c r="DP189" s="17">
        <f>DO189*VLOOKUP('Données projet'!$B$14,Paramètres!$A$1:$I$89,3,0)*VLOOKUP('Données projet'!$B$14,Paramètres!$A$1:$I$89,5,0)</f>
        <v>275.96399999999983</v>
      </c>
      <c r="DQ189" s="13">
        <f t="shared" si="176"/>
        <v>66.113366665488854</v>
      </c>
      <c r="DR189" s="20">
        <f t="shared" si="177"/>
        <v>595.78474694239264</v>
      </c>
      <c r="DS189" s="59">
        <f t="shared" si="125"/>
        <v>885.58150504825005</v>
      </c>
      <c r="DT189" s="59">
        <f ca="1">AVERAGE(OFFSET($DS$3,0,0,'Données projet'!$E$14+1,1))-AVERAGE(OFFSET($H$3,0,0,'Données projet'!$E$14+1,1))</f>
        <v>376.51107072413777</v>
      </c>
      <c r="DU189" s="59">
        <f t="shared" si="152"/>
        <v>532.90758914457615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7.3583313238938047E-2</v>
      </c>
      <c r="EB189" s="21">
        <f>EXP(-LN(2)/25)*EB188+(1-EXP(-LN(2)/25))/(LN(2)/25)*Calculateur!DW189*Calculateur!DY189*VLOOKUP('Données projet'!$B$14,Paramètres!$A$1:$I$89,3,0)*0.475*44/12</f>
        <v>9.7680067628205428E-2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0.17126338086714349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-1.7053025658242404E-13</v>
      </c>
      <c r="EK189" s="17">
        <f>EJ189*VLOOKUP('Données projet'!$B$15,Paramètres!$A$1:$I$89,3,0)*VLOOKUP('Données projet'!$B$15,Paramètres!$A$1:$I$89,5,0)</f>
        <v>-1.0197709343628959E-13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337.99164391755608</v>
      </c>
      <c r="EP189" s="59">
        <f t="shared" si="154"/>
        <v>421.45428231923393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12.407115473760381</v>
      </c>
      <c r="EW189" s="21">
        <f>EXP(-LN(2)/25)*EW188+(1-EXP(-LN(2)/25))/(LN(2)/25)*Calculateur!ER189*Calculateur!ET189*VLOOKUP('Données projet'!$B$15,Paramètres!$A$1:$I$89,3,0)*0.475*44/12</f>
        <v>1.2024636788030183</v>
      </c>
      <c r="EX189" s="21">
        <f>EXP(-LN(2)/2)*EX188+(1-EXP(-LN(2)/2))/(LN(2)/2)*ER189*EU189*VLOOKUP('Données projet'!$B$15,Paramètres!$A$1:$I$89,3,0)*0.475*44/12</f>
        <v>1.0952168789612313E-18</v>
      </c>
      <c r="EY189" s="22">
        <f t="shared" si="181"/>
        <v>13.6095791525634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-4.5474735088646412E-13</v>
      </c>
      <c r="O190" s="13">
        <f>N190*VLOOKUP('Données projet'!$B$9,Paramètres!$A$1:$I$89,3,0)*VLOOKUP('Données projet'!$B$9,Paramètres!$A$1:$I$89,5,0)</f>
        <v>-4.1145540308207271E-13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388.1278150896951</v>
      </c>
      <c r="T190" s="59">
        <f t="shared" si="142"/>
        <v>232.26614607059227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84.93634921163931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84.93634921163931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-4.5474735088646412E-13</v>
      </c>
      <c r="AJ190" s="13">
        <f>AI190*VLOOKUP('Données projet'!$B$10,Paramètres!$A$1:$I$89,3,0)*VLOOKUP('Données projet'!$B$10,Paramètres!$A$1:$I$89,5,0)</f>
        <v>-4.6111381379887462E-13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424.89201140676084</v>
      </c>
      <c r="AO190" s="59">
        <f t="shared" si="144"/>
        <v>253.0016648946303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95.187287909595824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95.187287909595824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-4.5474735088646412E-13</v>
      </c>
      <c r="BE190" s="13">
        <f>BD190*VLOOKUP('Données projet'!$B$11,Paramètres!$A$1:$I$89,3,0)*VLOOKUP('Données projet'!$B$11,Paramètres!$A$1:$I$89,5,0)</f>
        <v>-4.3273757910355926E-13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403.89478276355294</v>
      </c>
      <c r="BJ190" s="59">
        <f t="shared" si="146"/>
        <v>241.1593989733278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89.329608653620653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89.329608653620653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319</v>
      </c>
      <c r="BZ190" s="13">
        <f>BY190*VLOOKUP('Données projet'!$B$12,Paramètres!$A$1:$I$89,3,0)*VLOOKUP('Données projet'!$B$12,Paramètres!$A$1:$I$89,5,0)</f>
        <v>253.79640000000001</v>
      </c>
      <c r="CA190" s="13">
        <f t="shared" si="170"/>
        <v>61.39816832228076</v>
      </c>
      <c r="CB190" s="20">
        <f t="shared" si="171"/>
        <v>548.96387316130563</v>
      </c>
      <c r="CC190" s="59">
        <f t="shared" si="119"/>
        <v>838.82198294076204</v>
      </c>
      <c r="CD190" s="59">
        <f ca="1">AVERAGE(OFFSET($CC$3,0,0,'Données projet'!$E$12+1,1))-AVERAGE(OFFSET($H$3,0,0,'Données projet'!$E$12+1,1))</f>
        <v>377.27600411578322</v>
      </c>
      <c r="CE190" s="59">
        <f t="shared" si="148"/>
        <v>364.58250627635425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5.3799837952151979</v>
      </c>
      <c r="CL190" s="21">
        <f>EXP(-LN(2)/25)*CL189+(1-EXP(-LN(2)/25))/(LN(2)/25)*Calculateur!CG190*Calculateur!CI190*VLOOKUP('Données projet'!$B$12,Paramètres!$A$1:$I$89,3,0)*0.475*44/12</f>
        <v>0.38839548828177201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5.7683792834969703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1.7053025658242404E-13</v>
      </c>
      <c r="CU190" s="17">
        <f>CT190*VLOOKUP('Données projet'!$B$13,Paramètres!$A$1:$I$89,3,0)*VLOOKUP('Données projet'!$B$13,Paramètres!$A$1:$I$89,5,0)</f>
        <v>1.3301360013429075E-13</v>
      </c>
      <c r="CV190" s="13">
        <f t="shared" si="173"/>
        <v>1.9329766731057041E-12</v>
      </c>
      <c r="CW190" s="20">
        <f t="shared" si="174"/>
        <v>3.5982663925596575E-12</v>
      </c>
      <c r="CX190" s="59">
        <f t="shared" si="122"/>
        <v>289.85810977945999</v>
      </c>
      <c r="CY190" s="59">
        <f ca="1">AVERAGE(OFFSET($CX$3,0,0,'Données projet'!$E$13+1,1))-AVERAGE(OFFSET($H$3,0,0,'Données projet'!$E$13+1,1))</f>
        <v>308.82719216177946</v>
      </c>
      <c r="CZ190" s="59">
        <f t="shared" si="150"/>
        <v>302.59481222418219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7.8397074835900842</v>
      </c>
      <c r="DG190" s="21">
        <f>EXP(-LN(2)/25)*DG189+(1-EXP(-LN(2)/25))/(LN(2)/25)*Calculateur!DB190*Calculateur!DD190*VLOOKUP('Données projet'!$B$13,Paramètres!$A$1:$I$89,3,0)*0.475*44/12</f>
        <v>2.5881148500267872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10.427822333616872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304.99999999999983</v>
      </c>
      <c r="DP190" s="17">
        <f>DO190*VLOOKUP('Données projet'!$B$14,Paramètres!$A$1:$I$89,3,0)*VLOOKUP('Données projet'!$B$14,Paramètres!$A$1:$I$89,5,0)</f>
        <v>275.96399999999983</v>
      </c>
      <c r="DQ190" s="13">
        <f t="shared" si="176"/>
        <v>66.113366665488854</v>
      </c>
      <c r="DR190" s="20">
        <f t="shared" si="177"/>
        <v>595.78474694239264</v>
      </c>
      <c r="DS190" s="59">
        <f t="shared" si="125"/>
        <v>885.64285672184906</v>
      </c>
      <c r="DT190" s="59">
        <f ca="1">AVERAGE(OFFSET($DS$3,0,0,'Données projet'!$E$14+1,1))-AVERAGE(OFFSET($H$3,0,0,'Données projet'!$E$14+1,1))</f>
        <v>376.51107072413777</v>
      </c>
      <c r="DU190" s="59">
        <f t="shared" si="152"/>
        <v>532.90758914457615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7.2140389347711872E-2</v>
      </c>
      <c r="EB190" s="21">
        <f>EXP(-LN(2)/25)*EB189+(1-EXP(-LN(2)/25))/(LN(2)/25)*Calculateur!DW190*Calculateur!DY190*VLOOKUP('Données projet'!$B$14,Paramètres!$A$1:$I$89,3,0)*0.475*44/12</f>
        <v>9.5009001042140648E-2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0.16714939038985252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-1.7053025658242404E-13</v>
      </c>
      <c r="EK190" s="17">
        <f>EJ190*VLOOKUP('Données projet'!$B$15,Paramètres!$A$1:$I$89,3,0)*VLOOKUP('Données projet'!$B$15,Paramètres!$A$1:$I$89,5,0)</f>
        <v>-1.0197709343628959E-13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337.99164391755608</v>
      </c>
      <c r="EP190" s="59">
        <f t="shared" si="154"/>
        <v>421.45428231923393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12.163819506913141</v>
      </c>
      <c r="EW190" s="21">
        <f>EXP(-LN(2)/25)*EW189+(1-EXP(-LN(2)/25))/(LN(2)/25)*Calculateur!ER190*Calculateur!ET190*VLOOKUP('Données projet'!$B$15,Paramètres!$A$1:$I$89,3,0)*0.475*44/12</f>
        <v>1.1695822462713332</v>
      </c>
      <c r="EX190" s="21">
        <f>EXP(-LN(2)/2)*EX189+(1-EXP(-LN(2)/2))/(LN(2)/2)*ER190*EU190*VLOOKUP('Données projet'!$B$15,Paramètres!$A$1:$I$89,3,0)*0.475*44/12</f>
        <v>7.7443528198345292E-19</v>
      </c>
      <c r="EY190" s="22">
        <f t="shared" si="181"/>
        <v>13.333401753184475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-4.5474735088646412E-13</v>
      </c>
      <c r="O191" s="13">
        <f>N191*VLOOKUP('Données projet'!$B$9,Paramètres!$A$1:$I$89,3,0)*VLOOKUP('Données projet'!$B$9,Paramètres!$A$1:$I$89,5,0)</f>
        <v>-4.1145540308207271E-13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388.1278150896951</v>
      </c>
      <c r="T191" s="59">
        <f t="shared" si="142"/>
        <v>232.26614607059227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83.270799209656658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83.270799209656658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-4.5474735088646412E-13</v>
      </c>
      <c r="AJ191" s="13">
        <f>AI191*VLOOKUP('Données projet'!$B$10,Paramètres!$A$1:$I$89,3,0)*VLOOKUP('Données projet'!$B$10,Paramètres!$A$1:$I$89,5,0)</f>
        <v>-4.6111381379887462E-13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424.89201140676084</v>
      </c>
      <c r="AO191" s="59">
        <f t="shared" si="144"/>
        <v>253.0016648946303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93.320723252201475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93.320723252201475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-4.5474735088646412E-13</v>
      </c>
      <c r="BE191" s="13">
        <f>BD191*VLOOKUP('Données projet'!$B$11,Paramètres!$A$1:$I$89,3,0)*VLOOKUP('Données projet'!$B$11,Paramètres!$A$1:$I$89,5,0)</f>
        <v>-4.3273757910355926E-13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403.89478276355294</v>
      </c>
      <c r="BJ191" s="59">
        <f t="shared" si="146"/>
        <v>241.1593989733278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87.577909513604411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87.577909513604411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319</v>
      </c>
      <c r="BZ191" s="13">
        <f>BY191*VLOOKUP('Données projet'!$B$12,Paramètres!$A$1:$I$89,3,0)*VLOOKUP('Données projet'!$B$12,Paramètres!$A$1:$I$89,5,0)</f>
        <v>253.79640000000001</v>
      </c>
      <c r="CA191" s="13">
        <f t="shared" si="170"/>
        <v>61.39816832228076</v>
      </c>
      <c r="CB191" s="20">
        <f t="shared" si="171"/>
        <v>548.96387316130563</v>
      </c>
      <c r="CC191" s="59">
        <f t="shared" si="119"/>
        <v>838.88227029998586</v>
      </c>
      <c r="CD191" s="59">
        <f ca="1">AVERAGE(OFFSET($CC$3,0,0,'Données projet'!$E$12+1,1))-AVERAGE(OFFSET($H$3,0,0,'Données projet'!$E$12+1,1))</f>
        <v>377.27600411578322</v>
      </c>
      <c r="CE191" s="59">
        <f t="shared" si="148"/>
        <v>364.58250627635425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5.2744855944571247</v>
      </c>
      <c r="CL191" s="21">
        <f>EXP(-LN(2)/25)*CL190+(1-EXP(-LN(2)/25))/(LN(2)/25)*Calculateur!CG191*Calculateur!CI191*VLOOKUP('Données projet'!$B$12,Paramètres!$A$1:$I$89,3,0)*0.475*44/12</f>
        <v>0.37777479322987589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5.6522603876870008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1.7053025658242404E-13</v>
      </c>
      <c r="CU191" s="17">
        <f>CT191*VLOOKUP('Données projet'!$B$13,Paramètres!$A$1:$I$89,3,0)*VLOOKUP('Données projet'!$B$13,Paramètres!$A$1:$I$89,5,0)</f>
        <v>1.3301360013429075E-13</v>
      </c>
      <c r="CV191" s="13">
        <f t="shared" si="173"/>
        <v>1.9329766731057041E-12</v>
      </c>
      <c r="CW191" s="20">
        <f t="shared" si="174"/>
        <v>3.5982663925596575E-12</v>
      </c>
      <c r="CX191" s="59">
        <f t="shared" si="122"/>
        <v>289.91839713868382</v>
      </c>
      <c r="CY191" s="59">
        <f ca="1">AVERAGE(OFFSET($CX$3,0,0,'Données projet'!$E$13+1,1))-AVERAGE(OFFSET($H$3,0,0,'Données projet'!$E$13+1,1))</f>
        <v>308.82719216177946</v>
      </c>
      <c r="CZ191" s="59">
        <f t="shared" si="150"/>
        <v>302.59481222418219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7.6859756015862892</v>
      </c>
      <c r="DG191" s="21">
        <f>EXP(-LN(2)/25)*DG190+(1-EXP(-LN(2)/25))/(LN(2)/25)*Calculateur!DB191*Calculateur!DD191*VLOOKUP('Données projet'!$B$13,Paramètres!$A$1:$I$89,3,0)*0.475*44/12</f>
        <v>2.5173427133497599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10.203318314936048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304.99999999999983</v>
      </c>
      <c r="DP191" s="17">
        <f>DO191*VLOOKUP('Données projet'!$B$14,Paramètres!$A$1:$I$89,3,0)*VLOOKUP('Données projet'!$B$14,Paramètres!$A$1:$I$89,5,0)</f>
        <v>275.96399999999983</v>
      </c>
      <c r="DQ191" s="13">
        <f t="shared" si="176"/>
        <v>66.113366665488854</v>
      </c>
      <c r="DR191" s="20">
        <f t="shared" si="177"/>
        <v>595.78474694239264</v>
      </c>
      <c r="DS191" s="59">
        <f t="shared" si="125"/>
        <v>885.70314408107288</v>
      </c>
      <c r="DT191" s="59">
        <f ca="1">AVERAGE(OFFSET($DS$3,0,0,'Données projet'!$E$14+1,1))-AVERAGE(OFFSET($H$3,0,0,'Données projet'!$E$14+1,1))</f>
        <v>376.51107072413777</v>
      </c>
      <c r="DU191" s="59">
        <f t="shared" si="152"/>
        <v>532.90758914457615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7.0725760313895977E-2</v>
      </c>
      <c r="EB191" s="21">
        <f>EXP(-LN(2)/25)*EB190+(1-EXP(-LN(2)/25))/(LN(2)/25)*Calculateur!DW191*Calculateur!DY191*VLOOKUP('Données projet'!$B$14,Paramètres!$A$1:$I$89,3,0)*0.475*44/12</f>
        <v>9.2410974912337088E-2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0.16313673522623306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-1.7053025658242404E-13</v>
      </c>
      <c r="EK191" s="17">
        <f>EJ191*VLOOKUP('Données projet'!$B$15,Paramètres!$A$1:$I$89,3,0)*VLOOKUP('Données projet'!$B$15,Paramètres!$A$1:$I$89,5,0)</f>
        <v>-1.0197709343628959E-13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337.99164391755608</v>
      </c>
      <c r="EP191" s="59">
        <f t="shared" si="154"/>
        <v>421.45428231923393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11.925294425579889</v>
      </c>
      <c r="EW191" s="21">
        <f>EXP(-LN(2)/25)*EW190+(1-EXP(-LN(2)/25))/(LN(2)/25)*Calculateur!ER191*Calculateur!ET191*VLOOKUP('Données projet'!$B$15,Paramètres!$A$1:$I$89,3,0)*0.475*44/12</f>
        <v>1.1375999582413865</v>
      </c>
      <c r="EX191" s="21">
        <f>EXP(-LN(2)/2)*EX190+(1-EXP(-LN(2)/2))/(LN(2)/2)*ER191*EU191*VLOOKUP('Données projet'!$B$15,Paramètres!$A$1:$I$89,3,0)*0.475*44/12</f>
        <v>5.4760843948061567E-19</v>
      </c>
      <c r="EY191" s="22">
        <f t="shared" si="181"/>
        <v>13.062894383821275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-4.5474735088646412E-13</v>
      </c>
      <c r="O192" s="13">
        <f>N192*VLOOKUP('Données projet'!$B$9,Paramètres!$A$1:$I$89,3,0)*VLOOKUP('Données projet'!$B$9,Paramètres!$A$1:$I$89,5,0)</f>
        <v>-4.1145540308207271E-13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388.1278150896951</v>
      </c>
      <c r="T192" s="59">
        <f t="shared" si="142"/>
        <v>232.26614607059227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81.637909627327701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81.637909627327701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-4.5474735088646412E-13</v>
      </c>
      <c r="AJ192" s="13">
        <f>AI192*VLOOKUP('Données projet'!$B$10,Paramètres!$A$1:$I$89,3,0)*VLOOKUP('Données projet'!$B$10,Paramètres!$A$1:$I$89,5,0)</f>
        <v>-4.6111381379887462E-13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424.89201140676084</v>
      </c>
      <c r="AO192" s="59">
        <f t="shared" si="144"/>
        <v>253.0016648946303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91.490760789246607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91.490760789246607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-4.5474735088646412E-13</v>
      </c>
      <c r="BE192" s="13">
        <f>BD192*VLOOKUP('Données projet'!$B$11,Paramètres!$A$1:$I$89,3,0)*VLOOKUP('Données projet'!$B$11,Paramètres!$A$1:$I$89,5,0)</f>
        <v>-4.3273757910355926E-13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403.89478276355294</v>
      </c>
      <c r="BJ192" s="59">
        <f t="shared" si="146"/>
        <v>241.1593989733278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85.86056012529292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85.86056012529292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319</v>
      </c>
      <c r="BZ192" s="13">
        <f>BY192*VLOOKUP('Données projet'!$B$12,Paramètres!$A$1:$I$89,3,0)*VLOOKUP('Données projet'!$B$12,Paramètres!$A$1:$I$89,5,0)</f>
        <v>253.79640000000001</v>
      </c>
      <c r="CA192" s="13">
        <f t="shared" si="170"/>
        <v>61.39816832228076</v>
      </c>
      <c r="CB192" s="20">
        <f t="shared" si="171"/>
        <v>548.96387316130563</v>
      </c>
      <c r="CC192" s="59">
        <f t="shared" si="119"/>
        <v>838.94151180830954</v>
      </c>
      <c r="CD192" s="59">
        <f ca="1">AVERAGE(OFFSET($CC$3,0,0,'Données projet'!$E$12+1,1))-AVERAGE(OFFSET($H$3,0,0,'Données projet'!$E$12+1,1))</f>
        <v>377.27600411578322</v>
      </c>
      <c r="CE192" s="59">
        <f t="shared" si="148"/>
        <v>364.58250627635425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5.1710561490683693</v>
      </c>
      <c r="CL192" s="21">
        <f>EXP(-LN(2)/25)*CL191+(1-EXP(-LN(2)/25))/(LN(2)/25)*Calculateur!CG192*Calculateur!CI192*VLOOKUP('Données projet'!$B$12,Paramètres!$A$1:$I$89,3,0)*0.475*44/12</f>
        <v>0.36744452164269198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5.5385006707110609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1.7053025658242404E-13</v>
      </c>
      <c r="CU192" s="17">
        <f>CT192*VLOOKUP('Données projet'!$B$13,Paramètres!$A$1:$I$89,3,0)*VLOOKUP('Données projet'!$B$13,Paramètres!$A$1:$I$89,5,0)</f>
        <v>1.3301360013429075E-13</v>
      </c>
      <c r="CV192" s="13">
        <f t="shared" si="173"/>
        <v>1.9329766731057041E-12</v>
      </c>
      <c r="CW192" s="20">
        <f t="shared" si="174"/>
        <v>3.5982663925596575E-12</v>
      </c>
      <c r="CX192" s="59">
        <f t="shared" si="122"/>
        <v>289.97763864700744</v>
      </c>
      <c r="CY192" s="59">
        <f ca="1">AVERAGE(OFFSET($CX$3,0,0,'Données projet'!$E$13+1,1))-AVERAGE(OFFSET($H$3,0,0,'Données projet'!$E$13+1,1))</f>
        <v>308.82719216177946</v>
      </c>
      <c r="CZ192" s="59">
        <f t="shared" si="150"/>
        <v>302.59481222418219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7.5352583080213993</v>
      </c>
      <c r="DG192" s="21">
        <f>EXP(-LN(2)/25)*DG191+(1-EXP(-LN(2)/25))/(LN(2)/25)*Calculateur!DB192*Calculateur!DD192*VLOOKUP('Données projet'!$B$13,Paramètres!$A$1:$I$89,3,0)*0.475*44/12</f>
        <v>2.448505844471911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9.9837641524933112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304.99999999999983</v>
      </c>
      <c r="DP192" s="17">
        <f>DO192*VLOOKUP('Données projet'!$B$14,Paramètres!$A$1:$I$89,3,0)*VLOOKUP('Données projet'!$B$14,Paramètres!$A$1:$I$89,5,0)</f>
        <v>275.96399999999983</v>
      </c>
      <c r="DQ192" s="13">
        <f t="shared" si="176"/>
        <v>66.113366665488854</v>
      </c>
      <c r="DR192" s="20">
        <f t="shared" si="177"/>
        <v>595.78474694239264</v>
      </c>
      <c r="DS192" s="59">
        <f t="shared" si="125"/>
        <v>885.76238558939644</v>
      </c>
      <c r="DT192" s="59">
        <f ca="1">AVERAGE(OFFSET($DS$3,0,0,'Données projet'!$E$14+1,1))-AVERAGE(OFFSET($H$3,0,0,'Données projet'!$E$14+1,1))</f>
        <v>376.51107072413777</v>
      </c>
      <c r="DU192" s="59">
        <f t="shared" si="152"/>
        <v>532.90758914457615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6.9338871292594695E-2</v>
      </c>
      <c r="EB192" s="21">
        <f>EXP(-LN(2)/25)*EB191+(1-EXP(-LN(2)/25))/(LN(2)/25)*Calculateur!DW192*Calculateur!DY192*VLOOKUP('Données projet'!$B$14,Paramètres!$A$1:$I$89,3,0)*0.475*44/12</f>
        <v>8.9883991943677272E-2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0.15922286323627197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-1.7053025658242404E-13</v>
      </c>
      <c r="EK192" s="17">
        <f>EJ192*VLOOKUP('Données projet'!$B$15,Paramètres!$A$1:$I$89,3,0)*VLOOKUP('Données projet'!$B$15,Paramètres!$A$1:$I$89,5,0)</f>
        <v>-1.0197709343628959E-13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337.99164391755608</v>
      </c>
      <c r="EP192" s="59">
        <f t="shared" si="154"/>
        <v>421.45428231923393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11.691446675605647</v>
      </c>
      <c r="EW192" s="21">
        <f>EXP(-LN(2)/25)*EW191+(1-EXP(-LN(2)/25))/(LN(2)/25)*Calculateur!ER192*Calculateur!ET192*VLOOKUP('Données projet'!$B$15,Paramètres!$A$1:$I$89,3,0)*0.475*44/12</f>
        <v>1.1064922275594939</v>
      </c>
      <c r="EX192" s="21">
        <f>EXP(-LN(2)/2)*EX191+(1-EXP(-LN(2)/2))/(LN(2)/2)*ER192*EU192*VLOOKUP('Données projet'!$B$15,Paramètres!$A$1:$I$89,3,0)*0.475*44/12</f>
        <v>3.8721764099172646E-19</v>
      </c>
      <c r="EY192" s="22">
        <f t="shared" si="181"/>
        <v>12.797938903165141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-4.5474735088646412E-13</v>
      </c>
      <c r="O193" s="13">
        <f>N193*VLOOKUP('Données projet'!$B$9,Paramètres!$A$1:$I$89,3,0)*VLOOKUP('Données projet'!$B$9,Paramètres!$A$1:$I$89,5,0)</f>
        <v>-4.1145540308207271E-13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388.1278150896951</v>
      </c>
      <c r="T193" s="59">
        <f t="shared" si="142"/>
        <v>232.26614607059227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80.037040013743905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80.037040013743905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-4.5474735088646412E-13</v>
      </c>
      <c r="AJ193" s="13">
        <f>AI193*VLOOKUP('Données projet'!$B$10,Paramètres!$A$1:$I$89,3,0)*VLOOKUP('Données projet'!$B$10,Paramètres!$A$1:$I$89,5,0)</f>
        <v>-4.6111381379887462E-13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424.89201140676084</v>
      </c>
      <c r="AO193" s="59">
        <f t="shared" si="144"/>
        <v>253.0016648946303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89.696682774023387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89.696682774023387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-4.5474735088646412E-13</v>
      </c>
      <c r="BE193" s="13">
        <f>BD193*VLOOKUP('Données projet'!$B$11,Paramètres!$A$1:$I$89,3,0)*VLOOKUP('Données projet'!$B$11,Paramètres!$A$1:$I$89,5,0)</f>
        <v>-4.3273757910355926E-13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403.89478276355294</v>
      </c>
      <c r="BJ193" s="59">
        <f t="shared" si="146"/>
        <v>241.1593989733278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84.17688691100652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84.17688691100652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319</v>
      </c>
      <c r="BZ193" s="13">
        <f>BY193*VLOOKUP('Données projet'!$B$12,Paramètres!$A$1:$I$89,3,0)*VLOOKUP('Données projet'!$B$12,Paramètres!$A$1:$I$89,5,0)</f>
        <v>253.79640000000001</v>
      </c>
      <c r="CA193" s="13">
        <f t="shared" si="170"/>
        <v>61.39816832228076</v>
      </c>
      <c r="CB193" s="20">
        <f t="shared" si="171"/>
        <v>548.96387316130563</v>
      </c>
      <c r="CC193" s="59">
        <f t="shared" si="119"/>
        <v>838.99972560890797</v>
      </c>
      <c r="CD193" s="59">
        <f ca="1">AVERAGE(OFFSET($CC$3,0,0,'Données projet'!$E$12+1,1))-AVERAGE(OFFSET($H$3,0,0,'Données projet'!$E$12+1,1))</f>
        <v>377.27600411578322</v>
      </c>
      <c r="CE193" s="59">
        <f t="shared" si="148"/>
        <v>364.58250627635425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5.0696548920179545</v>
      </c>
      <c r="CL193" s="21">
        <f>EXP(-LN(2)/25)*CL192+(1-EXP(-LN(2)/25))/(LN(2)/25)*Calculateur!CG193*Calculateur!CI193*VLOOKUP('Données projet'!$B$12,Paramètres!$A$1:$I$89,3,0)*0.475*44/12</f>
        <v>0.35739673187530496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5.4270516238932593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1.7053025658242404E-13</v>
      </c>
      <c r="CU193" s="17">
        <f>CT193*VLOOKUP('Données projet'!$B$13,Paramètres!$A$1:$I$89,3,0)*VLOOKUP('Données projet'!$B$13,Paramètres!$A$1:$I$89,5,0)</f>
        <v>1.3301360013429075E-13</v>
      </c>
      <c r="CV193" s="13">
        <f t="shared" si="173"/>
        <v>1.9329766731057041E-12</v>
      </c>
      <c r="CW193" s="20">
        <f t="shared" si="174"/>
        <v>3.5982663925596575E-12</v>
      </c>
      <c r="CX193" s="59">
        <f t="shared" si="122"/>
        <v>290.03585244760586</v>
      </c>
      <c r="CY193" s="59">
        <f ca="1">AVERAGE(OFFSET($CX$3,0,0,'Données projet'!$E$13+1,1))-AVERAGE(OFFSET($H$3,0,0,'Données projet'!$E$13+1,1))</f>
        <v>308.82719216177946</v>
      </c>
      <c r="CZ193" s="59">
        <f t="shared" si="150"/>
        <v>302.59481222418219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7.3874964886548451</v>
      </c>
      <c r="DG193" s="21">
        <f>EXP(-LN(2)/25)*DG192+(1-EXP(-LN(2)/25))/(LN(2)/25)*Calculateur!DB193*Calculateur!DD193*VLOOKUP('Données projet'!$B$13,Paramètres!$A$1:$I$89,3,0)*0.475*44/12</f>
        <v>2.3815513233935004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9.7690478120483455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304.99999999999983</v>
      </c>
      <c r="DP193" s="17">
        <f>DO193*VLOOKUP('Données projet'!$B$14,Paramètres!$A$1:$I$89,3,0)*VLOOKUP('Données projet'!$B$14,Paramètres!$A$1:$I$89,5,0)</f>
        <v>275.96399999999983</v>
      </c>
      <c r="DQ193" s="13">
        <f t="shared" si="176"/>
        <v>66.113366665488854</v>
      </c>
      <c r="DR193" s="20">
        <f t="shared" si="177"/>
        <v>595.78474694239264</v>
      </c>
      <c r="DS193" s="59">
        <f t="shared" si="125"/>
        <v>885.82059938999487</v>
      </c>
      <c r="DT193" s="59">
        <f ca="1">AVERAGE(OFFSET($DS$3,0,0,'Données projet'!$E$14+1,1))-AVERAGE(OFFSET($H$3,0,0,'Données projet'!$E$14+1,1))</f>
        <v>376.51107072413777</v>
      </c>
      <c r="DU193" s="59">
        <f t="shared" si="152"/>
        <v>532.90758914457615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6.7979178319082359E-2</v>
      </c>
      <c r="EB193" s="21">
        <f>EXP(-LN(2)/25)*EB192+(1-EXP(-LN(2)/25))/(LN(2)/25)*Calculateur!DW193*Calculateur!DY193*VLOOKUP('Données projet'!$B$14,Paramètres!$A$1:$I$89,3,0)*0.475*44/12</f>
        <v>8.7426109457183709E-2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0.15540528777626605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-1.7053025658242404E-13</v>
      </c>
      <c r="EK193" s="17">
        <f>EJ193*VLOOKUP('Données projet'!$B$15,Paramètres!$A$1:$I$89,3,0)*VLOOKUP('Données projet'!$B$15,Paramètres!$A$1:$I$89,5,0)</f>
        <v>-1.0197709343628959E-13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337.99164391755608</v>
      </c>
      <c r="EP193" s="59">
        <f t="shared" si="154"/>
        <v>421.45428231923393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11.462184537375357</v>
      </c>
      <c r="EW193" s="21">
        <f>EXP(-LN(2)/25)*EW192+(1-EXP(-LN(2)/25))/(LN(2)/25)*Calculateur!ER193*Calculateur!ET193*VLOOKUP('Données projet'!$B$15,Paramètres!$A$1:$I$89,3,0)*0.475*44/12</f>
        <v>1.0762351394089822</v>
      </c>
      <c r="EX193" s="21">
        <f>EXP(-LN(2)/2)*EX192+(1-EXP(-LN(2)/2))/(LN(2)/2)*ER193*EU193*VLOOKUP('Données projet'!$B$15,Paramètres!$A$1:$I$89,3,0)*0.475*44/12</f>
        <v>2.7380421974030783E-19</v>
      </c>
      <c r="EY193" s="22">
        <f t="shared" si="181"/>
        <v>12.53841967678434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-4.5474735088646412E-13</v>
      </c>
      <c r="O194" s="13">
        <f>N194*VLOOKUP('Données projet'!$B$9,Paramètres!$A$1:$I$89,3,0)*VLOOKUP('Données projet'!$B$9,Paramètres!$A$1:$I$89,5,0)</f>
        <v>-4.1145540308207271E-13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388.1278150896951</v>
      </c>
      <c r="T194" s="59">
        <f t="shared" si="142"/>
        <v>232.26614607059227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78.467562476848443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78.467562476848443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-4.5474735088646412E-13</v>
      </c>
      <c r="AJ194" s="13">
        <f>AI194*VLOOKUP('Données projet'!$B$10,Paramètres!$A$1:$I$89,3,0)*VLOOKUP('Données projet'!$B$10,Paramètres!$A$1:$I$89,5,0)</f>
        <v>-4.6111381379887462E-13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424.89201140676084</v>
      </c>
      <c r="AO194" s="59">
        <f t="shared" si="144"/>
        <v>253.0016648946303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87.937785534399154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87.937785534399154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-4.5474735088646412E-13</v>
      </c>
      <c r="BE194" s="13">
        <f>BD194*VLOOKUP('Données projet'!$B$11,Paramètres!$A$1:$I$89,3,0)*VLOOKUP('Données projet'!$B$11,Paramètres!$A$1:$I$89,5,0)</f>
        <v>-4.3273757910355926E-13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403.89478276355294</v>
      </c>
      <c r="BJ194" s="59">
        <f t="shared" si="146"/>
        <v>241.1593989733278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82.526229501513015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82.526229501513015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319</v>
      </c>
      <c r="BZ194" s="13">
        <f>BY194*VLOOKUP('Données projet'!$B$12,Paramètres!$A$1:$I$89,3,0)*VLOOKUP('Données projet'!$B$12,Paramètres!$A$1:$I$89,5,0)</f>
        <v>253.79640000000001</v>
      </c>
      <c r="CA194" s="13">
        <f t="shared" si="170"/>
        <v>61.39816832228076</v>
      </c>
      <c r="CB194" s="20">
        <f t="shared" si="171"/>
        <v>548.96387316130563</v>
      </c>
      <c r="CC194" s="59">
        <f t="shared" si="119"/>
        <v>839.05692953021253</v>
      </c>
      <c r="CD194" s="59">
        <f ca="1">AVERAGE(OFFSET($CC$3,0,0,'Données projet'!$E$12+1,1))-AVERAGE(OFFSET($H$3,0,0,'Données projet'!$E$12+1,1))</f>
        <v>377.27600411578322</v>
      </c>
      <c r="CE194" s="59">
        <f t="shared" si="148"/>
        <v>364.58250627635425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4.9702420517696391</v>
      </c>
      <c r="CL194" s="21">
        <f>EXP(-LN(2)/25)*CL193+(1-EXP(-LN(2)/25))/(LN(2)/25)*Calculateur!CG194*Calculateur!CI194*VLOOKUP('Données projet'!$B$12,Paramètres!$A$1:$I$89,3,0)*0.475*44/12</f>
        <v>0.34762369944749744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5.3178657512171368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1.7053025658242404E-13</v>
      </c>
      <c r="CU194" s="17">
        <f>CT194*VLOOKUP('Données projet'!$B$13,Paramètres!$A$1:$I$89,3,0)*VLOOKUP('Données projet'!$B$13,Paramètres!$A$1:$I$89,5,0)</f>
        <v>1.3301360013429075E-13</v>
      </c>
      <c r="CV194" s="13">
        <f t="shared" si="173"/>
        <v>1.9329766731057041E-12</v>
      </c>
      <c r="CW194" s="20">
        <f t="shared" si="174"/>
        <v>3.5982663925596575E-12</v>
      </c>
      <c r="CX194" s="59">
        <f t="shared" si="122"/>
        <v>290.09305636891042</v>
      </c>
      <c r="CY194" s="59">
        <f ca="1">AVERAGE(OFFSET($CX$3,0,0,'Données projet'!$E$13+1,1))-AVERAGE(OFFSET($H$3,0,0,'Données projet'!$E$13+1,1))</f>
        <v>308.82719216177946</v>
      </c>
      <c r="CZ194" s="59">
        <f t="shared" si="150"/>
        <v>302.59481222418219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7.2426321884402585</v>
      </c>
      <c r="DG194" s="21">
        <f>EXP(-LN(2)/25)*DG193+(1-EXP(-LN(2)/25))/(LN(2)/25)*Calculateur!DB194*Calculateur!DD194*VLOOKUP('Données projet'!$B$13,Paramètres!$A$1:$I$89,3,0)*0.475*44/12</f>
        <v>2.3164276772149641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9.5590598656552217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304.99999999999983</v>
      </c>
      <c r="DP194" s="17">
        <f>DO194*VLOOKUP('Données projet'!$B$14,Paramètres!$A$1:$I$89,3,0)*VLOOKUP('Données projet'!$B$14,Paramètres!$A$1:$I$89,5,0)</f>
        <v>275.96399999999983</v>
      </c>
      <c r="DQ194" s="13">
        <f t="shared" si="176"/>
        <v>66.113366665488854</v>
      </c>
      <c r="DR194" s="20">
        <f t="shared" si="177"/>
        <v>595.78474694239264</v>
      </c>
      <c r="DS194" s="59">
        <f t="shared" si="125"/>
        <v>885.87780331129943</v>
      </c>
      <c r="DT194" s="59">
        <f ca="1">AVERAGE(OFFSET($DS$3,0,0,'Données projet'!$E$14+1,1))-AVERAGE(OFFSET($H$3,0,0,'Données projet'!$E$14+1,1))</f>
        <v>376.51107072413777</v>
      </c>
      <c r="DU194" s="59">
        <f t="shared" si="152"/>
        <v>532.90758914457615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6.6646148095449775E-2</v>
      </c>
      <c r="EB194" s="21">
        <f>EXP(-LN(2)/25)*EB193+(1-EXP(-LN(2)/25))/(LN(2)/25)*Calculateur!DW194*Calculateur!DY194*VLOOKUP('Données projet'!$B$14,Paramètres!$A$1:$I$89,3,0)*0.475*44/12</f>
        <v>8.5035437896537738E-2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0.1516815859919875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-1.7053025658242404E-13</v>
      </c>
      <c r="EK194" s="17">
        <f>EJ194*VLOOKUP('Données projet'!$B$15,Paramètres!$A$1:$I$89,3,0)*VLOOKUP('Données projet'!$B$15,Paramètres!$A$1:$I$89,5,0)</f>
        <v>-1.0197709343628959E-13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337.99164391755608</v>
      </c>
      <c r="EP194" s="59">
        <f t="shared" si="154"/>
        <v>421.45428231923393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11.237418089839666</v>
      </c>
      <c r="EW194" s="21">
        <f>EXP(-LN(2)/25)*EW193+(1-EXP(-LN(2)/25))/(LN(2)/25)*Calculateur!ER194*Calculateur!ET194*VLOOKUP('Données projet'!$B$15,Paramètres!$A$1:$I$89,3,0)*0.475*44/12</f>
        <v>1.0468054329250973</v>
      </c>
      <c r="EX194" s="21">
        <f>EXP(-LN(2)/2)*EX193+(1-EXP(-LN(2)/2))/(LN(2)/2)*ER194*EU194*VLOOKUP('Données projet'!$B$15,Paramètres!$A$1:$I$89,3,0)*0.475*44/12</f>
        <v>1.9360882049586323E-19</v>
      </c>
      <c r="EY194" s="22">
        <f t="shared" si="181"/>
        <v>12.284223522764764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-4.5474735088646412E-13</v>
      </c>
      <c r="O195" s="13">
        <f>N195*VLOOKUP('Données projet'!$B$9,Paramètres!$A$1:$I$89,3,0)*VLOOKUP('Données projet'!$B$9,Paramètres!$A$1:$I$89,5,0)</f>
        <v>-4.1145540308207271E-13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388.1278150896951</v>
      </c>
      <c r="T195" s="59">
        <f t="shared" si="142"/>
        <v>232.26614607059227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76.928861437164727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76.928861437164727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-4.5474735088646412E-13</v>
      </c>
      <c r="AJ195" s="13">
        <f>AI195*VLOOKUP('Données projet'!$B$10,Paramètres!$A$1:$I$89,3,0)*VLOOKUP('Données projet'!$B$10,Paramètres!$A$1:$I$89,5,0)</f>
        <v>-4.6111381379887462E-13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424.89201140676084</v>
      </c>
      <c r="AO195" s="59">
        <f t="shared" si="144"/>
        <v>253.0016648946303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86.213379196822572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86.213379196822572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-4.5474735088646412E-13</v>
      </c>
      <c r="BE195" s="13">
        <f>BD195*VLOOKUP('Données projet'!$B$11,Paramètres!$A$1:$I$89,3,0)*VLOOKUP('Données projet'!$B$11,Paramètres!$A$1:$I$89,5,0)</f>
        <v>-4.3273757910355926E-13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403.89478276355294</v>
      </c>
      <c r="BJ195" s="59">
        <f t="shared" si="146"/>
        <v>241.1593989733278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80.907940477018073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80.907940477018073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319</v>
      </c>
      <c r="BZ195" s="13">
        <f>BY195*VLOOKUP('Données projet'!$B$12,Paramètres!$A$1:$I$89,3,0)*VLOOKUP('Données projet'!$B$12,Paramètres!$A$1:$I$89,5,0)</f>
        <v>253.79640000000001</v>
      </c>
      <c r="CA195" s="13">
        <f t="shared" si="170"/>
        <v>61.39816832228076</v>
      </c>
      <c r="CB195" s="20">
        <f t="shared" si="171"/>
        <v>548.96387316130563</v>
      </c>
      <c r="CC195" s="59">
        <f t="shared" si="119"/>
        <v>839.11314109137129</v>
      </c>
      <c r="CD195" s="59">
        <f ca="1">AVERAGE(OFFSET($CC$3,0,0,'Données projet'!$E$12+1,1))-AVERAGE(OFFSET($H$3,0,0,'Données projet'!$E$12+1,1))</f>
        <v>377.27600411578322</v>
      </c>
      <c r="CE195" s="59">
        <f t="shared" si="148"/>
        <v>364.58250627635425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4.8727786366827477</v>
      </c>
      <c r="CL195" s="21">
        <f>EXP(-LN(2)/25)*CL194+(1-EXP(-LN(2)/25))/(LN(2)/25)*Calculateur!CG195*Calculateur!CI195*VLOOKUP('Données projet'!$B$12,Paramètres!$A$1:$I$89,3,0)*0.475*44/12</f>
        <v>0.33811791110536976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5.2108965477881171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1.7053025658242404E-13</v>
      </c>
      <c r="CU195" s="17">
        <f>CT195*VLOOKUP('Données projet'!$B$13,Paramètres!$A$1:$I$89,3,0)*VLOOKUP('Données projet'!$B$13,Paramètres!$A$1:$I$89,5,0)</f>
        <v>1.3301360013429075E-13</v>
      </c>
      <c r="CV195" s="13">
        <f t="shared" si="173"/>
        <v>1.9329766731057041E-12</v>
      </c>
      <c r="CW195" s="20">
        <f t="shared" si="174"/>
        <v>3.5982663925596575E-12</v>
      </c>
      <c r="CX195" s="59">
        <f t="shared" si="122"/>
        <v>290.14926793006924</v>
      </c>
      <c r="CY195" s="59">
        <f ca="1">AVERAGE(OFFSET($CX$3,0,0,'Données projet'!$E$13+1,1))-AVERAGE(OFFSET($H$3,0,0,'Données projet'!$E$13+1,1))</f>
        <v>308.82719216177946</v>
      </c>
      <c r="CZ195" s="59">
        <f t="shared" si="150"/>
        <v>302.59481222418219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7.1006085887943815</v>
      </c>
      <c r="DG195" s="21">
        <f>EXP(-LN(2)/25)*DG194+(1-EXP(-LN(2)/25))/(LN(2)/25)*Calculateur!DB195*Calculateur!DD195*VLOOKUP('Données projet'!$B$13,Paramètres!$A$1:$I$89,3,0)*0.475*44/12</f>
        <v>2.2530848405658834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9.3536934293602645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304.99999999999983</v>
      </c>
      <c r="DP195" s="17">
        <f>DO195*VLOOKUP('Données projet'!$B$14,Paramètres!$A$1:$I$89,3,0)*VLOOKUP('Données projet'!$B$14,Paramètres!$A$1:$I$89,5,0)</f>
        <v>275.96399999999983</v>
      </c>
      <c r="DQ195" s="13">
        <f t="shared" si="176"/>
        <v>66.113366665488854</v>
      </c>
      <c r="DR195" s="20">
        <f t="shared" si="177"/>
        <v>595.78474694239264</v>
      </c>
      <c r="DS195" s="59">
        <f t="shared" si="125"/>
        <v>885.93401487245831</v>
      </c>
      <c r="DT195" s="59">
        <f ca="1">AVERAGE(OFFSET($DS$3,0,0,'Données projet'!$E$14+1,1))-AVERAGE(OFFSET($H$3,0,0,'Données projet'!$E$14+1,1))</f>
        <v>376.51107072413777</v>
      </c>
      <c r="DU195" s="59">
        <f t="shared" si="152"/>
        <v>532.90758914457615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6.533925778143447E-2</v>
      </c>
      <c r="EB195" s="21">
        <f>EXP(-LN(2)/25)*EB194+(1-EXP(-LN(2)/25))/(LN(2)/25)*Calculateur!DW195*Calculateur!DY195*VLOOKUP('Données projet'!$B$14,Paramètres!$A$1:$I$89,3,0)*0.475*44/12</f>
        <v>8.2710139375437586E-2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0.14804939715687204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-1.7053025658242404E-13</v>
      </c>
      <c r="EK195" s="17">
        <f>EJ195*VLOOKUP('Données projet'!$B$15,Paramètres!$A$1:$I$89,3,0)*VLOOKUP('Données projet'!$B$15,Paramètres!$A$1:$I$89,5,0)</f>
        <v>-1.0197709343628959E-13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337.99164391755608</v>
      </c>
      <c r="EP195" s="59">
        <f t="shared" si="154"/>
        <v>421.45428231923393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11.017059175246155</v>
      </c>
      <c r="EW195" s="21">
        <f>EXP(-LN(2)/25)*EW194+(1-EXP(-LN(2)/25))/(LN(2)/25)*Calculateur!ER195*Calculateur!ET195*VLOOKUP('Données projet'!$B$15,Paramètres!$A$1:$I$89,3,0)*0.475*44/12</f>
        <v>1.0181804833126553</v>
      </c>
      <c r="EX195" s="21">
        <f>EXP(-LN(2)/2)*EX194+(1-EXP(-LN(2)/2))/(LN(2)/2)*ER195*EU195*VLOOKUP('Données projet'!$B$15,Paramètres!$A$1:$I$89,3,0)*0.475*44/12</f>
        <v>1.3690210987015392E-19</v>
      </c>
      <c r="EY195" s="22">
        <f t="shared" si="181"/>
        <v>12.03523965855881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-4.5474735088646412E-13</v>
      </c>
      <c r="O196" s="13">
        <f>N196*VLOOKUP('Données projet'!$B$9,Paramètres!$A$1:$I$89,3,0)*VLOOKUP('Données projet'!$B$9,Paramètres!$A$1:$I$89,5,0)</f>
        <v>-4.1145540308207271E-13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388.1278150896951</v>
      </c>
      <c r="T196" s="59">
        <f t="shared" si="142"/>
        <v>232.26614607059227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75.420333386354244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75.420333386354244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-4.5474735088646412E-13</v>
      </c>
      <c r="AJ196" s="13">
        <f>AI196*VLOOKUP('Données projet'!$B$10,Paramètres!$A$1:$I$89,3,0)*VLOOKUP('Données projet'!$B$10,Paramètres!$A$1:$I$89,5,0)</f>
        <v>-4.6111381379887462E-13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424.89201140676084</v>
      </c>
      <c r="AO196" s="59">
        <f t="shared" si="144"/>
        <v>253.0016648946303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84.52278741574186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84.52278741574186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-4.5474735088646412E-13</v>
      </c>
      <c r="BE196" s="13">
        <f>BD196*VLOOKUP('Données projet'!$B$11,Paramètres!$A$1:$I$89,3,0)*VLOOKUP('Données projet'!$B$11,Paramètres!$A$1:$I$89,5,0)</f>
        <v>-4.3273757910355926E-13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403.89478276355294</v>
      </c>
      <c r="BJ196" s="59">
        <f t="shared" si="146"/>
        <v>241.1593989733278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79.321385113234626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79.321385113234626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319</v>
      </c>
      <c r="BZ196" s="13">
        <f>BY196*VLOOKUP('Données projet'!$B$12,Paramètres!$A$1:$I$89,3,0)*VLOOKUP('Données projet'!$B$12,Paramètres!$A$1:$I$89,5,0)</f>
        <v>253.79640000000001</v>
      </c>
      <c r="CA196" s="13">
        <f t="shared" si="170"/>
        <v>61.39816832228076</v>
      </c>
      <c r="CB196" s="20">
        <f t="shared" si="171"/>
        <v>548.96387316130563</v>
      </c>
      <c r="CC196" s="59">
        <f t="shared" ref="CC196:CC203" si="195">CB196+(BT196+BU196)*44/12</f>
        <v>839.1683775076142</v>
      </c>
      <c r="CD196" s="59">
        <f ca="1">AVERAGE(OFFSET($CC$3,0,0,'Données projet'!$E$12+1,1))-AVERAGE(OFFSET($H$3,0,0,'Données projet'!$E$12+1,1))</f>
        <v>377.27600411578322</v>
      </c>
      <c r="CE196" s="59">
        <f t="shared" si="148"/>
        <v>364.58250627635425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4.7772264197188967</v>
      </c>
      <c r="CL196" s="21">
        <f>EXP(-LN(2)/25)*CL195+(1-EXP(-LN(2)/25))/(LN(2)/25)*Calculateur!CG196*Calculateur!CI196*VLOOKUP('Données projet'!$B$12,Paramètres!$A$1:$I$89,3,0)*0.475*44/12</f>
        <v>0.32887205904534528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5.1060984787642418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1.7053025658242404E-13</v>
      </c>
      <c r="CU196" s="17">
        <f>CT196*VLOOKUP('Données projet'!$B$13,Paramètres!$A$1:$I$89,3,0)*VLOOKUP('Données projet'!$B$13,Paramètres!$A$1:$I$89,5,0)</f>
        <v>1.3301360013429075E-13</v>
      </c>
      <c r="CV196" s="13">
        <f t="shared" si="173"/>
        <v>1.9329766731057041E-12</v>
      </c>
      <c r="CW196" s="20">
        <f t="shared" si="174"/>
        <v>3.5982663925596575E-12</v>
      </c>
      <c r="CX196" s="59">
        <f t="shared" ref="CX196:CX203" si="196">CW196+(CO196+CP196)*44/12</f>
        <v>290.20450434631209</v>
      </c>
      <c r="CY196" s="59">
        <f ca="1">AVERAGE(OFFSET($CX$3,0,0,'Données projet'!$E$13+1,1))-AVERAGE(OFFSET($H$3,0,0,'Données projet'!$E$13+1,1))</f>
        <v>308.82719216177946</v>
      </c>
      <c r="CZ196" s="59">
        <f t="shared" si="150"/>
        <v>302.59481222418219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6.9613699853117179</v>
      </c>
      <c r="DG196" s="21">
        <f>EXP(-LN(2)/25)*DG195+(1-EXP(-LN(2)/25))/(LN(2)/25)*Calculateur!DB196*Calculateur!DD196*VLOOKUP('Données projet'!$B$13,Paramètres!$A$1:$I$89,3,0)*0.475*44/12</f>
        <v>2.191474117116027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9.1528441024277445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304.99999999999983</v>
      </c>
      <c r="DP196" s="17">
        <f>DO196*VLOOKUP('Données projet'!$B$14,Paramètres!$A$1:$I$89,3,0)*VLOOKUP('Données projet'!$B$14,Paramètres!$A$1:$I$89,5,0)</f>
        <v>275.96399999999983</v>
      </c>
      <c r="DQ196" s="13">
        <f t="shared" si="176"/>
        <v>66.113366665488854</v>
      </c>
      <c r="DR196" s="20">
        <f t="shared" si="177"/>
        <v>595.78474694239264</v>
      </c>
      <c r="DS196" s="59">
        <f t="shared" ref="DS196:DS203" si="197">DR196+(DJ196+DK196)*44/12</f>
        <v>885.9892512887011</v>
      </c>
      <c r="DT196" s="59">
        <f ca="1">AVERAGE(OFFSET($DS$3,0,0,'Données projet'!$E$14+1,1))-AVERAGE(OFFSET($H$3,0,0,'Données projet'!$E$14+1,1))</f>
        <v>376.51107072413777</v>
      </c>
      <c r="DU196" s="59">
        <f t="shared" si="152"/>
        <v>532.90758914457615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6.4057994789352632E-2</v>
      </c>
      <c r="EB196" s="21">
        <f>EXP(-LN(2)/25)*EB195+(1-EXP(-LN(2)/25))/(LN(2)/25)*Calculateur!DW196*Calculateur!DY196*VLOOKUP('Données projet'!$B$14,Paramètres!$A$1:$I$89,3,0)*0.475*44/12</f>
        <v>8.0448426264679046E-2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0.14450642105403166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-1.7053025658242404E-13</v>
      </c>
      <c r="EK196" s="17">
        <f>EJ196*VLOOKUP('Données projet'!$B$15,Paramètres!$A$1:$I$89,3,0)*VLOOKUP('Données projet'!$B$15,Paramètres!$A$1:$I$89,5,0)</f>
        <v>-1.0197709343628959E-13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337.99164391755608</v>
      </c>
      <c r="EP196" s="59">
        <f t="shared" si="154"/>
        <v>421.45428231923393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10.801021364562155</v>
      </c>
      <c r="EW196" s="21">
        <f>EXP(-LN(2)/25)*EW195+(1-EXP(-LN(2)/25))/(LN(2)/25)*Calculateur!ER196*Calculateur!ET196*VLOOKUP('Données projet'!$B$15,Paramètres!$A$1:$I$89,3,0)*0.475*44/12</f>
        <v>0.99033828445268623</v>
      </c>
      <c r="EX196" s="21">
        <f>EXP(-LN(2)/2)*EX195+(1-EXP(-LN(2)/2))/(LN(2)/2)*ER196*EU196*VLOOKUP('Données projet'!$B$15,Paramètres!$A$1:$I$89,3,0)*0.475*44/12</f>
        <v>9.6804410247931615E-20</v>
      </c>
      <c r="EY196" s="22">
        <f t="shared" si="181"/>
        <v>11.791359649014842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-4.5474735088646412E-13</v>
      </c>
      <c r="O197" s="13">
        <f>N197*VLOOKUP('Données projet'!$B$9,Paramètres!$A$1:$I$89,3,0)*VLOOKUP('Données projet'!$B$9,Paramètres!$A$1:$I$89,5,0)</f>
        <v>-4.1145540308207271E-13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388.1278150896951</v>
      </c>
      <c r="T197" s="59">
        <f t="shared" ref="T197:T203" si="204">$T$3</f>
        <v>232.26614607059227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73.941386650508903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73.941386650508903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-4.5474735088646412E-13</v>
      </c>
      <c r="AJ197" s="13">
        <f>AI197*VLOOKUP('Données projet'!$B$10,Paramètres!$A$1:$I$89,3,0)*VLOOKUP('Données projet'!$B$10,Paramètres!$A$1:$I$89,5,0)</f>
        <v>-4.6111381379887462E-13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424.89201140676084</v>
      </c>
      <c r="AO197" s="59">
        <f t="shared" ref="AO197:AO203" si="205">$AO$3</f>
        <v>253.0016648946303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82.865347108328976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82.865347108328976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-4.5474735088646412E-13</v>
      </c>
      <c r="BE197" s="13">
        <f>BD197*VLOOKUP('Données projet'!$B$11,Paramètres!$A$1:$I$89,3,0)*VLOOKUP('Données projet'!$B$11,Paramètres!$A$1:$I$89,5,0)</f>
        <v>-4.3273757910355926E-13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403.89478276355294</v>
      </c>
      <c r="BJ197" s="59">
        <f t="shared" ref="BJ197:BJ203" si="206">$BJ$3</f>
        <v>241.1593989733278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77.765941132431763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77.765941132431763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319</v>
      </c>
      <c r="BZ197" s="13">
        <f>BY197*VLOOKUP('Données projet'!$B$12,Paramètres!$A$1:$I$89,3,0)*VLOOKUP('Données projet'!$B$12,Paramètres!$A$1:$I$89,5,0)</f>
        <v>253.79640000000001</v>
      </c>
      <c r="CA197" s="13">
        <f t="shared" si="170"/>
        <v>61.39816832228076</v>
      </c>
      <c r="CB197" s="20">
        <f t="shared" si="171"/>
        <v>548.96387316130563</v>
      </c>
      <c r="CC197" s="59">
        <f t="shared" si="195"/>
        <v>839.22265569552542</v>
      </c>
      <c r="CD197" s="59">
        <f ca="1">AVERAGE(OFFSET($CC$3,0,0,'Données projet'!$E$12+1,1))-AVERAGE(OFFSET($H$3,0,0,'Données projet'!$E$12+1,1))</f>
        <v>377.27600411578322</v>
      </c>
      <c r="CE197" s="59">
        <f t="shared" ref="CE197:CE203" si="207">$CE$3</f>
        <v>364.58250627635425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4.683547923448609</v>
      </c>
      <c r="CL197" s="21">
        <f>EXP(-LN(2)/25)*CL196+(1-EXP(-LN(2)/25))/(LN(2)/25)*Calculateur!CG197*Calculateur!CI197*VLOOKUP('Données projet'!$B$12,Paramètres!$A$1:$I$89,3,0)*0.475*44/12</f>
        <v>0.31987903529612038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5.0034269587447291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1.7053025658242404E-13</v>
      </c>
      <c r="CU197" s="17">
        <f>CT197*VLOOKUP('Données projet'!$B$13,Paramètres!$A$1:$I$89,3,0)*VLOOKUP('Données projet'!$B$13,Paramètres!$A$1:$I$89,5,0)</f>
        <v>1.3301360013429075E-13</v>
      </c>
      <c r="CV197" s="13">
        <f t="shared" si="173"/>
        <v>1.9329766731057041E-12</v>
      </c>
      <c r="CW197" s="20">
        <f t="shared" si="174"/>
        <v>3.5982663925596575E-12</v>
      </c>
      <c r="CX197" s="59">
        <f t="shared" si="196"/>
        <v>290.25878253422331</v>
      </c>
      <c r="CY197" s="59">
        <f ca="1">AVERAGE(OFFSET($CX$3,0,0,'Données projet'!$E$13+1,1))-AVERAGE(OFFSET($H$3,0,0,'Données projet'!$E$13+1,1))</f>
        <v>308.82719216177946</v>
      </c>
      <c r="CZ197" s="59">
        <f t="shared" ref="CZ197:CZ203" si="208">$CZ$3</f>
        <v>302.59481222418219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6.8248617659161868</v>
      </c>
      <c r="DG197" s="21">
        <f>EXP(-LN(2)/25)*DG196+(1-EXP(-LN(2)/25))/(LN(2)/25)*Calculateur!DB197*Calculateur!DD197*VLOOKUP('Données projet'!$B$13,Paramètres!$A$1:$I$89,3,0)*0.475*44/12</f>
        <v>2.131548142138874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8.9564099080550612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304.99999999999983</v>
      </c>
      <c r="DP197" s="17">
        <f>DO197*VLOOKUP('Données projet'!$B$14,Paramètres!$A$1:$I$89,3,0)*VLOOKUP('Données projet'!$B$14,Paramètres!$A$1:$I$89,5,0)</f>
        <v>275.96399999999983</v>
      </c>
      <c r="DQ197" s="13">
        <f t="shared" si="176"/>
        <v>66.113366665488854</v>
      </c>
      <c r="DR197" s="20">
        <f t="shared" si="177"/>
        <v>595.78474694239264</v>
      </c>
      <c r="DS197" s="59">
        <f t="shared" si="197"/>
        <v>886.04352947661232</v>
      </c>
      <c r="DT197" s="59">
        <f ca="1">AVERAGE(OFFSET($DS$3,0,0,'Données projet'!$E$14+1,1))-AVERAGE(OFFSET($H$3,0,0,'Données projet'!$E$14+1,1))</f>
        <v>376.51107072413777</v>
      </c>
      <c r="DU197" s="59">
        <f t="shared" ref="DU197:DU203" si="209">$DU$3</f>
        <v>532.90758914457615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6.2801856583052262E-2</v>
      </c>
      <c r="EB197" s="21">
        <f>EXP(-LN(2)/25)*EB196+(1-EXP(-LN(2)/25))/(LN(2)/25)*Calculateur!DW197*Calculateur!DY197*VLOOKUP('Données projet'!$B$14,Paramètres!$A$1:$I$89,3,0)*0.475*44/12</f>
        <v>7.8248559817872529E-2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0.14105041640092481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-1.7053025658242404E-13</v>
      </c>
      <c r="EK197" s="17">
        <f>EJ197*VLOOKUP('Données projet'!$B$15,Paramètres!$A$1:$I$89,3,0)*VLOOKUP('Données projet'!$B$15,Paramètres!$A$1:$I$89,5,0)</f>
        <v>-1.0197709343628959E-13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337.99164391755608</v>
      </c>
      <c r="EP197" s="59">
        <f t="shared" ref="EP197:EP203" si="210">$EP$3</f>
        <v>421.45428231923393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10.589219923575616</v>
      </c>
      <c r="EW197" s="21">
        <f>EXP(-LN(2)/25)*EW196+(1-EXP(-LN(2)/25))/(LN(2)/25)*Calculateur!ER197*Calculateur!ET197*VLOOKUP('Données projet'!$B$15,Paramètres!$A$1:$I$89,3,0)*0.475*44/12</f>
        <v>0.9632574319847006</v>
      </c>
      <c r="EX197" s="21">
        <f>EXP(-LN(2)/2)*EX196+(1-EXP(-LN(2)/2))/(LN(2)/2)*ER197*EU197*VLOOKUP('Données projet'!$B$15,Paramètres!$A$1:$I$89,3,0)*0.475*44/12</f>
        <v>6.8451054935076958E-20</v>
      </c>
      <c r="EY197" s="22">
        <f t="shared" si="181"/>
        <v>11.552477355560317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-4.5474735088646412E-13</v>
      </c>
      <c r="O198" s="13">
        <f>N198*VLOOKUP('Données projet'!$B$9,Paramètres!$A$1:$I$89,3,0)*VLOOKUP('Données projet'!$B$9,Paramètres!$A$1:$I$89,5,0)</f>
        <v>-4.1145540308207271E-13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388.1278150896951</v>
      </c>
      <c r="T198" s="59">
        <f t="shared" si="204"/>
        <v>232.26614607059227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72.491441158085053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72.491441158085053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-4.5474735088646412E-13</v>
      </c>
      <c r="AJ198" s="13">
        <f>AI198*VLOOKUP('Données projet'!$B$10,Paramètres!$A$1:$I$89,3,0)*VLOOKUP('Données projet'!$B$10,Paramètres!$A$1:$I$89,5,0)</f>
        <v>-4.6111381379887462E-13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424.89201140676084</v>
      </c>
      <c r="AO198" s="59">
        <f t="shared" si="205"/>
        <v>253.0016648946303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81.240408194405688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81.240408194405688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-4.5474735088646412E-13</v>
      </c>
      <c r="BE198" s="13">
        <f>BD198*VLOOKUP('Données projet'!$B$11,Paramètres!$A$1:$I$89,3,0)*VLOOKUP('Données projet'!$B$11,Paramètres!$A$1:$I$89,5,0)</f>
        <v>-4.3273757910355926E-13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403.89478276355294</v>
      </c>
      <c r="BJ198" s="59">
        <f t="shared" si="206"/>
        <v>241.1593989733278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76.240998459365287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76.240998459365287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319</v>
      </c>
      <c r="BZ198" s="13">
        <f>BY198*VLOOKUP('Données projet'!$B$12,Paramètres!$A$1:$I$89,3,0)*VLOOKUP('Données projet'!$B$12,Paramètres!$A$1:$I$89,5,0)</f>
        <v>253.79640000000001</v>
      </c>
      <c r="CA198" s="13">
        <f t="shared" si="170"/>
        <v>61.39816832228076</v>
      </c>
      <c r="CB198" s="20">
        <f t="shared" si="171"/>
        <v>548.96387316130563</v>
      </c>
      <c r="CC198" s="59">
        <f t="shared" si="195"/>
        <v>839.27599227822407</v>
      </c>
      <c r="CD198" s="59">
        <f ca="1">AVERAGE(OFFSET($CC$3,0,0,'Données projet'!$E$12+1,1))-AVERAGE(OFFSET($H$3,0,0,'Données projet'!$E$12+1,1))</f>
        <v>377.27600411578322</v>
      </c>
      <c r="CE198" s="59">
        <f t="shared" si="207"/>
        <v>364.58250627635425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4.5917064053519407</v>
      </c>
      <c r="CL198" s="21">
        <f>EXP(-LN(2)/25)*CL197+(1-EXP(-LN(2)/25))/(LN(2)/25)*Calculateur!CG198*Calculateur!CI198*VLOOKUP('Données projet'!$B$12,Paramètres!$A$1:$I$89,3,0)*0.475*44/12</f>
        <v>0.31113192625424058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4.9028383316061817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1.7053025658242404E-13</v>
      </c>
      <c r="CU198" s="17">
        <f>CT198*VLOOKUP('Données projet'!$B$13,Paramètres!$A$1:$I$89,3,0)*VLOOKUP('Données projet'!$B$13,Paramètres!$A$1:$I$89,5,0)</f>
        <v>1.3301360013429075E-13</v>
      </c>
      <c r="CV198" s="13">
        <f t="shared" si="173"/>
        <v>1.9329766731057041E-12</v>
      </c>
      <c r="CW198" s="20">
        <f t="shared" si="174"/>
        <v>3.5982663925596575E-12</v>
      </c>
      <c r="CX198" s="59">
        <f t="shared" si="196"/>
        <v>290.31211911692208</v>
      </c>
      <c r="CY198" s="59">
        <f ca="1">AVERAGE(OFFSET($CX$3,0,0,'Données projet'!$E$13+1,1))-AVERAGE(OFFSET($H$3,0,0,'Données projet'!$E$13+1,1))</f>
        <v>308.82719216177946</v>
      </c>
      <c r="CZ198" s="59">
        <f t="shared" si="208"/>
        <v>302.59481222418219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6.6910303894412095</v>
      </c>
      <c r="DG198" s="21">
        <f>EXP(-LN(2)/25)*DG197+(1-EXP(-LN(2)/25))/(LN(2)/25)*Calculateur!DB198*Calculateur!DD198*VLOOKUP('Données projet'!$B$13,Paramètres!$A$1:$I$89,3,0)*0.475*44/12</f>
        <v>2.0732608460988415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8.7642912355400515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304.99999999999983</v>
      </c>
      <c r="DP198" s="17">
        <f>DO198*VLOOKUP('Données projet'!$B$14,Paramètres!$A$1:$I$89,3,0)*VLOOKUP('Données projet'!$B$14,Paramètres!$A$1:$I$89,5,0)</f>
        <v>275.96399999999983</v>
      </c>
      <c r="DQ198" s="13">
        <f t="shared" si="176"/>
        <v>66.113366665488854</v>
      </c>
      <c r="DR198" s="20">
        <f t="shared" si="177"/>
        <v>595.78474694239264</v>
      </c>
      <c r="DS198" s="59">
        <f t="shared" si="197"/>
        <v>886.0968660593112</v>
      </c>
      <c r="DT198" s="59">
        <f ca="1">AVERAGE(OFFSET($DS$3,0,0,'Données projet'!$E$14+1,1))-AVERAGE(OFFSET($H$3,0,0,'Données projet'!$E$14+1,1))</f>
        <v>376.51107072413777</v>
      </c>
      <c r="DU198" s="59">
        <f t="shared" si="209"/>
        <v>532.90758914457615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6.1570350480808785E-2</v>
      </c>
      <c r="EB198" s="21">
        <f>EXP(-LN(2)/25)*EB197+(1-EXP(-LN(2)/25))/(LN(2)/25)*Calculateur!DW198*Calculateur!DY198*VLOOKUP('Données projet'!$B$14,Paramètres!$A$1:$I$89,3,0)*0.475*44/12</f>
        <v>7.6108848834739881E-2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0.13767919931554867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-1.7053025658242404E-13</v>
      </c>
      <c r="EK198" s="17">
        <f>EJ198*VLOOKUP('Données projet'!$B$15,Paramètres!$A$1:$I$89,3,0)*VLOOKUP('Données projet'!$B$15,Paramètres!$A$1:$I$89,5,0)</f>
        <v>-1.0197709343628959E-13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337.99164391755608</v>
      </c>
      <c r="EP198" s="59">
        <f t="shared" si="210"/>
        <v>421.45428231923393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10.3815717796607</v>
      </c>
      <c r="EW198" s="21">
        <f>EXP(-LN(2)/25)*EW197+(1-EXP(-LN(2)/25))/(LN(2)/25)*Calculateur!ER198*Calculateur!ET198*VLOOKUP('Données projet'!$B$15,Paramètres!$A$1:$I$89,3,0)*0.475*44/12</f>
        <v>0.93691710685157215</v>
      </c>
      <c r="EX198" s="21">
        <f>EXP(-LN(2)/2)*EX197+(1-EXP(-LN(2)/2))/(LN(2)/2)*ER198*EU198*VLOOKUP('Données projet'!$B$15,Paramètres!$A$1:$I$89,3,0)*0.475*44/12</f>
        <v>4.8402205123965808E-20</v>
      </c>
      <c r="EY198" s="22">
        <f t="shared" si="181"/>
        <v>11.318488886512272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-4.5474735088646412E-13</v>
      </c>
      <c r="O199" s="13">
        <f>N199*VLOOKUP('Données projet'!$B$9,Paramètres!$A$1:$I$89,3,0)*VLOOKUP('Données projet'!$B$9,Paramètres!$A$1:$I$89,5,0)</f>
        <v>-4.1145540308207271E-13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388.1278150896951</v>
      </c>
      <c r="T199" s="59">
        <f t="shared" si="204"/>
        <v>232.26614607059227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71.069928212388206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71.069928212388206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-4.5474735088646412E-13</v>
      </c>
      <c r="AJ199" s="13">
        <f>AI199*VLOOKUP('Données projet'!$B$10,Paramètres!$A$1:$I$89,3,0)*VLOOKUP('Données projet'!$B$10,Paramètres!$A$1:$I$89,5,0)</f>
        <v>-4.6111381379887462E-13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424.89201140676084</v>
      </c>
      <c r="AO199" s="59">
        <f t="shared" si="205"/>
        <v>253.0016648946303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79.647333341469562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79.647333341469562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-4.5474735088646412E-13</v>
      </c>
      <c r="BE199" s="13">
        <f>BD199*VLOOKUP('Données projet'!$B$11,Paramètres!$A$1:$I$89,3,0)*VLOOKUP('Données projet'!$B$11,Paramètres!$A$1:$I$89,5,0)</f>
        <v>-4.3273757910355926E-13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403.89478276355294</v>
      </c>
      <c r="BJ199" s="59">
        <f t="shared" si="206"/>
        <v>241.1593989733278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74.745958981994463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74.745958981994463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319</v>
      </c>
      <c r="BZ199" s="13">
        <f>BY199*VLOOKUP('Données projet'!$B$12,Paramètres!$A$1:$I$89,3,0)*VLOOKUP('Données projet'!$B$12,Paramètres!$A$1:$I$89,5,0)</f>
        <v>253.79640000000001</v>
      </c>
      <c r="CA199" s="13">
        <f t="shared" si="170"/>
        <v>61.39816832228076</v>
      </c>
      <c r="CB199" s="20">
        <f t="shared" si="171"/>
        <v>548.96387316130563</v>
      </c>
      <c r="CC199" s="59">
        <f t="shared" si="195"/>
        <v>839.32840359045576</v>
      </c>
      <c r="CD199" s="59">
        <f ca="1">AVERAGE(OFFSET($CC$3,0,0,'Données projet'!$E$12+1,1))-AVERAGE(OFFSET($H$3,0,0,'Données projet'!$E$12+1,1))</f>
        <v>377.27600411578322</v>
      </c>
      <c r="CE199" s="59">
        <f t="shared" si="207"/>
        <v>364.58250627635425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4.5016658434073538</v>
      </c>
      <c r="CL199" s="21">
        <f>EXP(-LN(2)/25)*CL198+(1-EXP(-LN(2)/25))/(LN(2)/25)*Calculateur!CG199*Calculateur!CI199*VLOOKUP('Données projet'!$B$12,Paramètres!$A$1:$I$89,3,0)*0.475*44/12</f>
        <v>0.30262400736910144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4.8042898507764553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1.7053025658242404E-13</v>
      </c>
      <c r="CU199" s="17">
        <f>CT199*VLOOKUP('Données projet'!$B$13,Paramètres!$A$1:$I$89,3,0)*VLOOKUP('Données projet'!$B$13,Paramètres!$A$1:$I$89,5,0)</f>
        <v>1.3301360013429075E-13</v>
      </c>
      <c r="CV199" s="13">
        <f t="shared" si="173"/>
        <v>1.9329766731057041E-12</v>
      </c>
      <c r="CW199" s="20">
        <f t="shared" si="174"/>
        <v>3.5982663925596575E-12</v>
      </c>
      <c r="CX199" s="59">
        <f t="shared" si="196"/>
        <v>290.36453042915377</v>
      </c>
      <c r="CY199" s="59">
        <f ca="1">AVERAGE(OFFSET($CX$3,0,0,'Données projet'!$E$13+1,1))-AVERAGE(OFFSET($H$3,0,0,'Données projet'!$E$13+1,1))</f>
        <v>308.82719216177946</v>
      </c>
      <c r="CZ199" s="59">
        <f t="shared" si="208"/>
        <v>302.59481222418219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6.5598233646298274</v>
      </c>
      <c r="DG199" s="21">
        <f>EXP(-LN(2)/25)*DG198+(1-EXP(-LN(2)/25))/(LN(2)/25)*Calculateur!DB199*Calculateur!DD199*VLOOKUP('Données projet'!$B$13,Paramètres!$A$1:$I$89,3,0)*0.475*44/12</f>
        <v>2.0165674192342191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8.5763907838640456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304.99999999999983</v>
      </c>
      <c r="DP199" s="17">
        <f>DO199*VLOOKUP('Données projet'!$B$14,Paramètres!$A$1:$I$89,3,0)*VLOOKUP('Données projet'!$B$14,Paramètres!$A$1:$I$89,5,0)</f>
        <v>275.96399999999983</v>
      </c>
      <c r="DQ199" s="13">
        <f t="shared" si="176"/>
        <v>66.113366665488854</v>
      </c>
      <c r="DR199" s="20">
        <f t="shared" si="177"/>
        <v>595.78474694239264</v>
      </c>
      <c r="DS199" s="59">
        <f t="shared" si="197"/>
        <v>886.14927737154289</v>
      </c>
      <c r="DT199" s="59">
        <f ca="1">AVERAGE(OFFSET($DS$3,0,0,'Données projet'!$E$14+1,1))-AVERAGE(OFFSET($H$3,0,0,'Données projet'!$E$14+1,1))</f>
        <v>376.51107072413777</v>
      </c>
      <c r="DU199" s="59">
        <f t="shared" si="209"/>
        <v>532.90758914457615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6.0362993462085748E-2</v>
      </c>
      <c r="EB199" s="21">
        <f>EXP(-LN(2)/25)*EB198+(1-EXP(-LN(2)/25))/(LN(2)/25)*Calculateur!DW199*Calculateur!DY199*VLOOKUP('Données projet'!$B$14,Paramètres!$A$1:$I$89,3,0)*0.475*44/12</f>
        <v>7.4027648360963511E-2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0.13439064182304927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-1.7053025658242404E-13</v>
      </c>
      <c r="EK199" s="17">
        <f>EJ199*VLOOKUP('Données projet'!$B$15,Paramètres!$A$1:$I$89,3,0)*VLOOKUP('Données projet'!$B$15,Paramètres!$A$1:$I$89,5,0)</f>
        <v>-1.0197709343628959E-13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337.99164391755608</v>
      </c>
      <c r="EP199" s="59">
        <f t="shared" si="210"/>
        <v>421.45428231923393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10.177995489195093</v>
      </c>
      <c r="EW199" s="21">
        <f>EXP(-LN(2)/25)*EW198+(1-EXP(-LN(2)/25))/(LN(2)/25)*Calculateur!ER199*Calculateur!ET199*VLOOKUP('Données projet'!$B$15,Paramètres!$A$1:$I$89,3,0)*0.475*44/12</f>
        <v>0.91129705929438665</v>
      </c>
      <c r="EX199" s="21">
        <f>EXP(-LN(2)/2)*EX198+(1-EXP(-LN(2)/2))/(LN(2)/2)*ER199*EU199*VLOOKUP('Données projet'!$B$15,Paramètres!$A$1:$I$89,3,0)*0.475*44/12</f>
        <v>3.4225527467538479E-20</v>
      </c>
      <c r="EY199" s="22">
        <f t="shared" si="181"/>
        <v>11.08929254848948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-4.5474735088646412E-13</v>
      </c>
      <c r="O200" s="13">
        <f>N200*VLOOKUP('Données projet'!$B$9,Paramètres!$A$1:$I$89,3,0)*VLOOKUP('Données projet'!$B$9,Paramètres!$A$1:$I$89,5,0)</f>
        <v>-4.1145540308207271E-13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388.1278150896951</v>
      </c>
      <c r="T200" s="59">
        <f t="shared" si="204"/>
        <v>232.26614607059227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69.676290268519182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69.676290268519182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-4.5474735088646412E-13</v>
      </c>
      <c r="AJ200" s="13">
        <f>AI200*VLOOKUP('Données projet'!$B$10,Paramètres!$A$1:$I$89,3,0)*VLOOKUP('Données projet'!$B$10,Paramètres!$A$1:$I$89,5,0)</f>
        <v>-4.6111381379887462E-13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424.89201140676084</v>
      </c>
      <c r="AO200" s="59">
        <f t="shared" si="205"/>
        <v>253.0016648946303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78.085497714719793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78.085497714719793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-4.5474735088646412E-13</v>
      </c>
      <c r="BE200" s="13">
        <f>BD200*VLOOKUP('Données projet'!$B$11,Paramètres!$A$1:$I$89,3,0)*VLOOKUP('Données projet'!$B$11,Paramètres!$A$1:$I$89,5,0)</f>
        <v>-4.3273757910355926E-13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403.89478276355294</v>
      </c>
      <c r="BJ200" s="59">
        <f t="shared" si="206"/>
        <v>241.1593989733278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73.280236316890836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73.280236316890836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319</v>
      </c>
      <c r="BZ200" s="13">
        <f>BY200*VLOOKUP('Données projet'!$B$12,Paramètres!$A$1:$I$89,3,0)*VLOOKUP('Données projet'!$B$12,Paramètres!$A$1:$I$89,5,0)</f>
        <v>253.79640000000001</v>
      </c>
      <c r="CA200" s="13">
        <f t="shared" si="170"/>
        <v>61.39816832228076</v>
      </c>
      <c r="CB200" s="20">
        <f t="shared" si="171"/>
        <v>548.96387316130563</v>
      </c>
      <c r="CC200" s="59">
        <f t="shared" si="195"/>
        <v>839.37990568359442</v>
      </c>
      <c r="CD200" s="59">
        <f ca="1">AVERAGE(OFFSET($CC$3,0,0,'Données projet'!$E$12+1,1))-AVERAGE(OFFSET($H$3,0,0,'Données projet'!$E$12+1,1))</f>
        <v>377.27600411578322</v>
      </c>
      <c r="CE200" s="59">
        <f t="shared" si="207"/>
        <v>364.58250627635425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4.4133909219631802</v>
      </c>
      <c r="CL200" s="21">
        <f>EXP(-LN(2)/25)*CL199+(1-EXP(-LN(2)/25))/(LN(2)/25)*Calculateur!CG200*Calculateur!CI200*VLOOKUP('Données projet'!$B$12,Paramètres!$A$1:$I$89,3,0)*0.475*44/12</f>
        <v>0.29434873797328848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4.7077396599364683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1.7053025658242404E-13</v>
      </c>
      <c r="CU200" s="17">
        <f>CT200*VLOOKUP('Données projet'!$B$13,Paramètres!$A$1:$I$89,3,0)*VLOOKUP('Données projet'!$B$13,Paramètres!$A$1:$I$89,5,0)</f>
        <v>1.3301360013429075E-13</v>
      </c>
      <c r="CV200" s="13">
        <f t="shared" si="173"/>
        <v>1.9329766731057041E-12</v>
      </c>
      <c r="CW200" s="20">
        <f t="shared" si="174"/>
        <v>3.5982663925596575E-12</v>
      </c>
      <c r="CX200" s="59">
        <f t="shared" si="196"/>
        <v>290.41603252229237</v>
      </c>
      <c r="CY200" s="59">
        <f ca="1">AVERAGE(OFFSET($CX$3,0,0,'Données projet'!$E$13+1,1))-AVERAGE(OFFSET($H$3,0,0,'Données projet'!$E$13+1,1))</f>
        <v>308.82719216177946</v>
      </c>
      <c r="CZ200" s="59">
        <f t="shared" si="208"/>
        <v>302.59481222418219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6.4311892295466135</v>
      </c>
      <c r="DG200" s="21">
        <f>EXP(-LN(2)/25)*DG199+(1-EXP(-LN(2)/25))/(LN(2)/25)*Calculateur!DB200*Calculateur!DD200*VLOOKUP('Données projet'!$B$13,Paramètres!$A$1:$I$89,3,0)*0.475*44/12</f>
        <v>1.9614242771085877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8.3926135066552021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304.99999999999983</v>
      </c>
      <c r="DP200" s="17">
        <f>DO200*VLOOKUP('Données projet'!$B$14,Paramètres!$A$1:$I$89,3,0)*VLOOKUP('Données projet'!$B$14,Paramètres!$A$1:$I$89,5,0)</f>
        <v>275.96399999999983</v>
      </c>
      <c r="DQ200" s="13">
        <f t="shared" si="176"/>
        <v>66.113366665488854</v>
      </c>
      <c r="DR200" s="20">
        <f t="shared" si="177"/>
        <v>595.78474694239264</v>
      </c>
      <c r="DS200" s="59">
        <f t="shared" si="197"/>
        <v>886.20077946468143</v>
      </c>
      <c r="DT200" s="59">
        <f ca="1">AVERAGE(OFFSET($DS$3,0,0,'Données projet'!$E$14+1,1))-AVERAGE(OFFSET($H$3,0,0,'Données projet'!$E$14+1,1))</f>
        <v>376.51107072413777</v>
      </c>
      <c r="DU200" s="59">
        <f t="shared" si="209"/>
        <v>532.90758914457615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5.9179311978084806E-2</v>
      </c>
      <c r="EB200" s="21">
        <f>EXP(-LN(2)/25)*EB199+(1-EXP(-LN(2)/25))/(LN(2)/25)*Calculateur!DW200*Calculateur!DY200*VLOOKUP('Données projet'!$B$14,Paramètres!$A$1:$I$89,3,0)*0.475*44/12</f>
        <v>7.2003358423588126E-2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0.13118267040167292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-1.7053025658242404E-13</v>
      </c>
      <c r="EK200" s="17">
        <f>EJ200*VLOOKUP('Données projet'!$B$15,Paramètres!$A$1:$I$89,3,0)*VLOOKUP('Données projet'!$B$15,Paramètres!$A$1:$I$89,5,0)</f>
        <v>-1.0197709343628959E-13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337.99164391755608</v>
      </c>
      <c r="EP200" s="59">
        <f t="shared" si="210"/>
        <v>421.45428231923393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9.97841120561624</v>
      </c>
      <c r="EW200" s="21">
        <f>EXP(-LN(2)/25)*EW199+(1-EXP(-LN(2)/25))/(LN(2)/25)*Calculateur!ER200*Calculateur!ET200*VLOOKUP('Données projet'!$B$15,Paramètres!$A$1:$I$89,3,0)*0.475*44/12</f>
        <v>0.88637759328495214</v>
      </c>
      <c r="EX200" s="21">
        <f>EXP(-LN(2)/2)*EX199+(1-EXP(-LN(2)/2))/(LN(2)/2)*ER200*EU200*VLOOKUP('Données projet'!$B$15,Paramètres!$A$1:$I$89,3,0)*0.475*44/12</f>
        <v>2.4201102561982904E-20</v>
      </c>
      <c r="EY200" s="22">
        <f t="shared" si="181"/>
        <v>10.864788798901191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-4.5474735088646412E-13</v>
      </c>
      <c r="O201" s="13">
        <f>N201*VLOOKUP('Données projet'!$B$9,Paramètres!$A$1:$I$89,3,0)*VLOOKUP('Données projet'!$B$9,Paramètres!$A$1:$I$89,5,0)</f>
        <v>-4.1145540308207271E-13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388.1278150896951</v>
      </c>
      <c r="T201" s="59">
        <f t="shared" si="204"/>
        <v>232.26614607059227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68.30998071469422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68.30998071469422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-4.5474735088646412E-13</v>
      </c>
      <c r="AJ201" s="13">
        <f>AI201*VLOOKUP('Données projet'!$B$10,Paramètres!$A$1:$I$89,3,0)*VLOOKUP('Données projet'!$B$10,Paramètres!$A$1:$I$89,5,0)</f>
        <v>-4.6111381379887462E-13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424.89201140676084</v>
      </c>
      <c r="AO201" s="59">
        <f t="shared" si="205"/>
        <v>253.0016648946303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76.554288731984926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76.554288731984926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-4.5474735088646412E-13</v>
      </c>
      <c r="BE201" s="13">
        <f>BD201*VLOOKUP('Données projet'!$B$11,Paramètres!$A$1:$I$89,3,0)*VLOOKUP('Données projet'!$B$11,Paramètres!$A$1:$I$89,5,0)</f>
        <v>-4.3273757910355926E-13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403.89478276355294</v>
      </c>
      <c r="BJ201" s="59">
        <f t="shared" si="206"/>
        <v>241.1593989733278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71.843255579247341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71.843255579247341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319</v>
      </c>
      <c r="BZ201" s="13">
        <f>BY201*VLOOKUP('Données projet'!$B$12,Paramètres!$A$1:$I$89,3,0)*VLOOKUP('Données projet'!$B$12,Paramètres!$A$1:$I$89,5,0)</f>
        <v>253.79640000000001</v>
      </c>
      <c r="CA201" s="13">
        <f t="shared" si="170"/>
        <v>61.39816832228076</v>
      </c>
      <c r="CB201" s="20">
        <f t="shared" si="171"/>
        <v>548.96387316130563</v>
      </c>
      <c r="CC201" s="59">
        <f t="shared" si="195"/>
        <v>839.43051433055848</v>
      </c>
      <c r="CD201" s="59">
        <f ca="1">AVERAGE(OFFSET($CC$3,0,0,'Données projet'!$E$12+1,1))-AVERAGE(OFFSET($H$3,0,0,'Données projet'!$E$12+1,1))</f>
        <v>377.27600411578322</v>
      </c>
      <c r="CE201" s="59">
        <f t="shared" si="207"/>
        <v>364.58250627635425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4.3268470178861413</v>
      </c>
      <c r="CL201" s="21">
        <f>EXP(-LN(2)/25)*CL200+(1-EXP(-LN(2)/25))/(LN(2)/25)*Calculateur!CG201*Calculateur!CI201*VLOOKUP('Données projet'!$B$12,Paramètres!$A$1:$I$89,3,0)*0.475*44/12</f>
        <v>0.2862997562542815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4.6131467741404233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1.7053025658242404E-13</v>
      </c>
      <c r="CU201" s="17">
        <f>CT201*VLOOKUP('Données projet'!$B$13,Paramètres!$A$1:$I$89,3,0)*VLOOKUP('Données projet'!$B$13,Paramètres!$A$1:$I$89,5,0)</f>
        <v>1.3301360013429075E-13</v>
      </c>
      <c r="CV201" s="13">
        <f t="shared" si="173"/>
        <v>1.9329766731057041E-12</v>
      </c>
      <c r="CW201" s="20">
        <f t="shared" si="174"/>
        <v>3.5982663925596575E-12</v>
      </c>
      <c r="CX201" s="59">
        <f t="shared" si="196"/>
        <v>290.46664116925649</v>
      </c>
      <c r="CY201" s="59">
        <f ca="1">AVERAGE(OFFSET($CX$3,0,0,'Données projet'!$E$13+1,1))-AVERAGE(OFFSET($H$3,0,0,'Données projet'!$E$13+1,1))</f>
        <v>308.82719216177946</v>
      </c>
      <c r="CZ201" s="59">
        <f t="shared" si="208"/>
        <v>302.59481222418219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6.3050775313933061</v>
      </c>
      <c r="DG201" s="21">
        <f>EXP(-LN(2)/25)*DG200+(1-EXP(-LN(2)/25))/(LN(2)/25)*Calculateur!DB201*Calculateur!DD201*VLOOKUP('Données projet'!$B$13,Paramètres!$A$1:$I$89,3,0)*0.475*44/12</f>
        <v>1.9077890271042335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8.2128665584975398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304.99999999999983</v>
      </c>
      <c r="DP201" s="17">
        <f>DO201*VLOOKUP('Données projet'!$B$14,Paramètres!$A$1:$I$89,3,0)*VLOOKUP('Données projet'!$B$14,Paramètres!$A$1:$I$89,5,0)</f>
        <v>275.96399999999983</v>
      </c>
      <c r="DQ201" s="13">
        <f t="shared" si="176"/>
        <v>66.113366665488854</v>
      </c>
      <c r="DR201" s="20">
        <f t="shared" si="177"/>
        <v>595.78474694239264</v>
      </c>
      <c r="DS201" s="59">
        <f t="shared" si="197"/>
        <v>886.25138811164561</v>
      </c>
      <c r="DT201" s="59">
        <f ca="1">AVERAGE(OFFSET($DS$3,0,0,'Données projet'!$E$14+1,1))-AVERAGE(OFFSET($H$3,0,0,'Données projet'!$E$14+1,1))</f>
        <v>376.51107072413777</v>
      </c>
      <c r="DU201" s="59">
        <f t="shared" si="209"/>
        <v>532.90758914457615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5.8018841766010701E-2</v>
      </c>
      <c r="EB201" s="21">
        <f>EXP(-LN(2)/25)*EB200+(1-EXP(-LN(2)/25))/(LN(2)/25)*Calculateur!DW201*Calculateur!DY201*VLOOKUP('Données projet'!$B$14,Paramètres!$A$1:$I$89,3,0)*0.475*44/12</f>
        <v>7.0034422801003055E-2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0.12805326456701377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-1.7053025658242404E-13</v>
      </c>
      <c r="EK201" s="17">
        <f>EJ201*VLOOKUP('Données projet'!$B$15,Paramètres!$A$1:$I$89,3,0)*VLOOKUP('Données projet'!$B$15,Paramètres!$A$1:$I$89,5,0)</f>
        <v>-1.0197709343628959E-13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337.99164391755608</v>
      </c>
      <c r="EP201" s="59">
        <f t="shared" si="210"/>
        <v>421.45428231923393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9.7827406481039763</v>
      </c>
      <c r="EW201" s="21">
        <f>EXP(-LN(2)/25)*EW200+(1-EXP(-LN(2)/25))/(LN(2)/25)*Calculateur!ER201*Calculateur!ET201*VLOOKUP('Données projet'!$B$15,Paramètres!$A$1:$I$89,3,0)*0.475*44/12</f>
        <v>0.86213955138400333</v>
      </c>
      <c r="EX201" s="21">
        <f>EXP(-LN(2)/2)*EX200+(1-EXP(-LN(2)/2))/(LN(2)/2)*ER201*EU201*VLOOKUP('Données projet'!$B$15,Paramètres!$A$1:$I$89,3,0)*0.475*44/12</f>
        <v>1.711276373376924E-20</v>
      </c>
      <c r="EY201" s="22">
        <f t="shared" si="181"/>
        <v>10.644880199487979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-4.5474735088646412E-13</v>
      </c>
      <c r="O202" s="13">
        <f>N202*VLOOKUP('Données projet'!$B$9,Paramètres!$A$1:$I$89,3,0)*VLOOKUP('Données projet'!$B$9,Paramètres!$A$1:$I$89,5,0)</f>
        <v>-4.1145540308207271E-13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388.1278150896951</v>
      </c>
      <c r="T202" s="59">
        <f t="shared" si="204"/>
        <v>232.26614607059227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66.97046365785323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66.97046365785323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-4.5474735088646412E-13</v>
      </c>
      <c r="AJ202" s="13">
        <f>AI202*VLOOKUP('Données projet'!$B$10,Paramètres!$A$1:$I$89,3,0)*VLOOKUP('Données projet'!$B$10,Paramètres!$A$1:$I$89,5,0)</f>
        <v>-4.6111381379887462E-13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424.89201140676084</v>
      </c>
      <c r="AO202" s="59">
        <f t="shared" si="205"/>
        <v>253.0016648946303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75.053105823456221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75.053105823456221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-4.5474735088646412E-13</v>
      </c>
      <c r="BE202" s="13">
        <f>BD202*VLOOKUP('Données projet'!$B$11,Paramètres!$A$1:$I$89,3,0)*VLOOKUP('Données projet'!$B$11,Paramètres!$A$1:$I$89,5,0)</f>
        <v>-4.3273757910355926E-13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403.89478276355294</v>
      </c>
      <c r="BJ202" s="59">
        <f t="shared" si="206"/>
        <v>241.1593989733278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70.434453157397328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70.434453157397328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319</v>
      </c>
      <c r="BZ202" s="13">
        <f>BY202*VLOOKUP('Données projet'!$B$12,Paramètres!$A$1:$I$89,3,0)*VLOOKUP('Données projet'!$B$12,Paramètres!$A$1:$I$89,5,0)</f>
        <v>253.79640000000001</v>
      </c>
      <c r="CA202" s="13">
        <f t="shared" si="170"/>
        <v>61.39816832228076</v>
      </c>
      <c r="CB202" s="20">
        <f t="shared" si="171"/>
        <v>548.96387316130563</v>
      </c>
      <c r="CC202" s="59">
        <f t="shared" si="195"/>
        <v>839.48024503064175</v>
      </c>
      <c r="CD202" s="59">
        <f ca="1">AVERAGE(OFFSET($CC$3,0,0,'Données projet'!$E$12+1,1))-AVERAGE(OFFSET($H$3,0,0,'Données projet'!$E$12+1,1))</f>
        <v>377.27600411578322</v>
      </c>
      <c r="CE202" s="59">
        <f t="shared" si="207"/>
        <v>364.58250627635425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4.2420001869814836</v>
      </c>
      <c r="CL202" s="21">
        <f>EXP(-LN(2)/25)*CL201+(1-EXP(-LN(2)/25))/(LN(2)/25)*Calculateur!CG202*Calculateur!CI202*VLOOKUP('Données projet'!$B$12,Paramètres!$A$1:$I$89,3,0)*0.475*44/12</f>
        <v>0.27847087436365836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4.520471061345142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1.7053025658242404E-13</v>
      </c>
      <c r="CU202" s="17">
        <f>CT202*VLOOKUP('Données projet'!$B$13,Paramètres!$A$1:$I$89,3,0)*VLOOKUP('Données projet'!$B$13,Paramètres!$A$1:$I$89,5,0)</f>
        <v>1.3301360013429075E-13</v>
      </c>
      <c r="CV202" s="13">
        <f t="shared" si="173"/>
        <v>1.9329766731057041E-12</v>
      </c>
      <c r="CW202" s="20">
        <f t="shared" si="174"/>
        <v>3.5982663925596575E-12</v>
      </c>
      <c r="CX202" s="59">
        <f t="shared" si="196"/>
        <v>290.51637186933971</v>
      </c>
      <c r="CY202" s="59">
        <f ca="1">AVERAGE(OFFSET($CX$3,0,0,'Données projet'!$E$13+1,1))-AVERAGE(OFFSET($H$3,0,0,'Données projet'!$E$13+1,1))</f>
        <v>308.82719216177946</v>
      </c>
      <c r="CZ202" s="59">
        <f t="shared" si="208"/>
        <v>302.59481222418219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6.1814388067202444</v>
      </c>
      <c r="DG202" s="21">
        <f>EXP(-LN(2)/25)*DG201+(1-EXP(-LN(2)/25))/(LN(2)/25)*Calculateur!DB202*Calculateur!DD202*VLOOKUP('Données projet'!$B$13,Paramètres!$A$1:$I$89,3,0)*0.475*44/12</f>
        <v>1.8556204358318036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8.0370592425520471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304.99999999999983</v>
      </c>
      <c r="DP202" s="17">
        <f>DO202*VLOOKUP('Données projet'!$B$14,Paramètres!$A$1:$I$89,3,0)*VLOOKUP('Données projet'!$B$14,Paramètres!$A$1:$I$89,5,0)</f>
        <v>275.96399999999983</v>
      </c>
      <c r="DQ202" s="13">
        <f t="shared" si="176"/>
        <v>66.113366665488854</v>
      </c>
      <c r="DR202" s="20">
        <f t="shared" si="177"/>
        <v>595.78474694239264</v>
      </c>
      <c r="DS202" s="59">
        <f t="shared" si="197"/>
        <v>886.30111881172877</v>
      </c>
      <c r="DT202" s="59">
        <f ca="1">AVERAGE(OFFSET($DS$3,0,0,'Données projet'!$E$14+1,1))-AVERAGE(OFFSET($H$3,0,0,'Données projet'!$E$14+1,1))</f>
        <v>376.51107072413777</v>
      </c>
      <c r="DU202" s="59">
        <f t="shared" si="209"/>
        <v>532.90758914457615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5.6881127666978434E-2</v>
      </c>
      <c r="EB202" s="21">
        <f>EXP(-LN(2)/25)*EB201+(1-EXP(-LN(2)/25))/(LN(2)/25)*Calculateur!DW202*Calculateur!DY202*VLOOKUP('Données projet'!$B$14,Paramètres!$A$1:$I$89,3,0)*0.475*44/12</f>
        <v>6.8119327826559398E-2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0.12500045549353783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-1.7053025658242404E-13</v>
      </c>
      <c r="EK202" s="17">
        <f>EJ202*VLOOKUP('Données projet'!$B$15,Paramètres!$A$1:$I$89,3,0)*VLOOKUP('Données projet'!$B$15,Paramètres!$A$1:$I$89,5,0)</f>
        <v>-1.0197709343628959E-13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337.99164391755608</v>
      </c>
      <c r="EP202" s="59">
        <f t="shared" si="210"/>
        <v>421.45428231923393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9.5909070708772717</v>
      </c>
      <c r="EW202" s="21">
        <f>EXP(-LN(2)/25)*EW201+(1-EXP(-LN(2)/25))/(LN(2)/25)*Calculateur!ER202*Calculateur!ET202*VLOOKUP('Données projet'!$B$15,Paramètres!$A$1:$I$89,3,0)*0.475*44/12</f>
        <v>0.83856430001345916</v>
      </c>
      <c r="EX202" s="21">
        <f>EXP(-LN(2)/2)*EX201+(1-EXP(-LN(2)/2))/(LN(2)/2)*ER202*EU202*VLOOKUP('Données projet'!$B$15,Paramètres!$A$1:$I$89,3,0)*0.475*44/12</f>
        <v>1.2100551280991452E-20</v>
      </c>
      <c r="EY202" s="22">
        <f t="shared" si="181"/>
        <v>10.429471370890731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-4.5474735088646412E-13</v>
      </c>
      <c r="O203" s="13">
        <f>N203*VLOOKUP('Données projet'!$B$9,Paramètres!$A$1:$I$89,3,0)*VLOOKUP('Données projet'!$B$9,Paramètres!$A$1:$I$89,5,0)</f>
        <v>-4.1145540308207271E-13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388.1278150896951</v>
      </c>
      <c r="T203" s="59">
        <f t="shared" si="204"/>
        <v>232.26614607059227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65.65721371347216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65.65721371347216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-4.5474735088646412E-13</v>
      </c>
      <c r="AJ203" s="13">
        <f>AI203*VLOOKUP('Données projet'!$B$10,Paramètres!$A$1:$I$89,3,0)*VLOOKUP('Données projet'!$B$10,Paramètres!$A$1:$I$89,5,0)</f>
        <v>-4.6111381379887462E-13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424.89201140676084</v>
      </c>
      <c r="AO203" s="59">
        <f t="shared" si="205"/>
        <v>253.0016648946303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73.581360196132607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73.581360196132607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-4.5474735088646412E-13</v>
      </c>
      <c r="BE203" s="13">
        <f>BD203*VLOOKUP('Données projet'!$B$11,Paramètres!$A$1:$I$89,3,0)*VLOOKUP('Données projet'!$B$11,Paramètres!$A$1:$I$89,5,0)</f>
        <v>-4.3273757910355926E-13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403.89478276355294</v>
      </c>
      <c r="BJ203" s="59">
        <f t="shared" si="206"/>
        <v>241.1593989733278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69.05327649175517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69.05327649175517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319</v>
      </c>
      <c r="BZ203" s="13">
        <f>BY203*VLOOKUP('Données projet'!$B$12,Paramètres!$A$1:$I$89,3,0)*VLOOKUP('Données projet'!$B$12,Paramètres!$A$1:$I$89,5,0)</f>
        <v>253.79640000000001</v>
      </c>
      <c r="CA203" s="13">
        <f t="shared" si="170"/>
        <v>61.39816832228076</v>
      </c>
      <c r="CB203" s="20">
        <f t="shared" si="171"/>
        <v>548.96387316130563</v>
      </c>
      <c r="CC203" s="59">
        <f t="shared" si="195"/>
        <v>839.52911301425979</v>
      </c>
      <c r="CD203" s="59">
        <f ca="1">AVERAGE(OFFSET($CC$3,0,0,'Données projet'!$E$12+1,1))-AVERAGE(OFFSET($H$3,0,0,'Données projet'!$E$12+1,1))</f>
        <v>377.27600411578322</v>
      </c>
      <c r="CE203" s="59">
        <f t="shared" si="207"/>
        <v>364.58250627635425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4.1588171506794094</v>
      </c>
      <c r="CL203" s="21">
        <f>EXP(-LN(2)/25)*CL202+(1-EXP(-LN(2)/25))/(LN(2)/25)*Calculateur!CG203*Calculateur!CI203*VLOOKUP('Données projet'!$B$12,Paramètres!$A$1:$I$89,3,0)*0.475*44/12</f>
        <v>0.27085607366003728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4.4296732243394468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1.7053025658242404E-13</v>
      </c>
      <c r="CU203" s="17">
        <f>CT203*VLOOKUP('Données projet'!$B$13,Paramètres!$A$1:$I$89,3,0)*VLOOKUP('Données projet'!$B$13,Paramètres!$A$1:$I$89,5,0)</f>
        <v>1.3301360013429075E-13</v>
      </c>
      <c r="CV203" s="13">
        <f t="shared" si="173"/>
        <v>1.9329766731057041E-12</v>
      </c>
      <c r="CW203" s="20">
        <f t="shared" si="174"/>
        <v>3.5982663925596575E-12</v>
      </c>
      <c r="CX203" s="59">
        <f t="shared" si="196"/>
        <v>290.56523985295769</v>
      </c>
      <c r="CY203" s="59">
        <f ca="1">AVERAGE(OFFSET($CX$3,0,0,'Données projet'!$E$13+1,1))-AVERAGE(OFFSET($H$3,0,0,'Données projet'!$E$13+1,1))</f>
        <v>308.82719216177946</v>
      </c>
      <c r="CZ203" s="59">
        <f t="shared" si="208"/>
        <v>302.59481222418219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6.0602245620258461</v>
      </c>
      <c r="DG203" s="21">
        <f>EXP(-LN(2)/25)*DG202+(1-EXP(-LN(2)/25))/(LN(2)/25)*Calculateur!DB203*Calculateur!DD203*VLOOKUP('Données projet'!$B$13,Paramètres!$A$1:$I$89,3,0)*0.475*44/12</f>
        <v>1.8048783974311453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7.8651029594569914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304.99999999999983</v>
      </c>
      <c r="DP203" s="17">
        <f>DO203*VLOOKUP('Données projet'!$B$14,Paramètres!$A$1:$I$89,3,0)*VLOOKUP('Données projet'!$B$14,Paramètres!$A$1:$I$89,5,0)</f>
        <v>275.96399999999983</v>
      </c>
      <c r="DQ203" s="13">
        <f t="shared" si="176"/>
        <v>66.113366665488854</v>
      </c>
      <c r="DR203" s="20">
        <f t="shared" si="177"/>
        <v>595.78474694239264</v>
      </c>
      <c r="DS203" s="59">
        <f t="shared" si="197"/>
        <v>886.34998679534669</v>
      </c>
      <c r="DT203" s="59">
        <f ca="1">AVERAGE(OFFSET($DS$3,0,0,'Données projet'!$E$14+1,1))-AVERAGE(OFFSET($H$3,0,0,'Données projet'!$E$14+1,1))</f>
        <v>376.51107072413777</v>
      </c>
      <c r="DU203" s="59">
        <f t="shared" si="209"/>
        <v>532.90758914457615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5.576572344749111E-2</v>
      </c>
      <c r="EB203" s="21">
        <f>EXP(-LN(2)/25)*EB202+(1-EXP(-LN(2)/25))/(LN(2)/25)*Calculateur!DW203*Calculateur!DY203*VLOOKUP('Données projet'!$B$14,Paramètres!$A$1:$I$89,3,0)*0.475*44/12</f>
        <v>6.6256601224902373E-2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0.12202232467239349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-1.7053025658242404E-13</v>
      </c>
      <c r="EK203" s="17">
        <f>EJ203*VLOOKUP('Données projet'!$B$15,Paramètres!$A$1:$I$89,3,0)*VLOOKUP('Données projet'!$B$15,Paramètres!$A$1:$I$89,5,0)</f>
        <v>-1.0197709343628959E-13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337.99164391755608</v>
      </c>
      <c r="EP203" s="59">
        <f t="shared" si="210"/>
        <v>421.45428231923393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9.4028352330930538</v>
      </c>
      <c r="EW203" s="21">
        <f>EXP(-LN(2)/25)*EW202+(1-EXP(-LN(2)/25))/(LN(2)/25)*Calculateur!ER203*Calculateur!ET203*VLOOKUP('Données projet'!$B$15,Paramètres!$A$1:$I$89,3,0)*0.475*44/12</f>
        <v>0.81563371513141114</v>
      </c>
      <c r="EX203" s="21">
        <f>EXP(-LN(2)/2)*EX202+(1-EXP(-LN(2)/2))/(LN(2)/2)*ER203*EU203*VLOOKUP('Données projet'!$B$15,Paramètres!$A$1:$I$89,3,0)*0.475*44/12</f>
        <v>8.5563818668846198E-21</v>
      </c>
      <c r="EY203" s="22">
        <f t="shared" si="181"/>
        <v>10.218468948224466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1.1608269964373037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1.1608269964373037</v>
      </c>
      <c r="BA205" s="82">
        <f>EXP(LN('Données projet'!B88)/'Données projet'!A88)</f>
        <v>1.1608269964373037</v>
      </c>
      <c r="BV205" s="82">
        <f>EXP(LN('Données projet'!B114)/'Données projet'!A114)</f>
        <v>1.2709816152101407</v>
      </c>
      <c r="CQ205" s="82">
        <f>EXP(LN('Données projet'!B140)/'Données projet'!A140)</f>
        <v>1.2788040393997409</v>
      </c>
      <c r="DL205" s="82">
        <f>EXP(LN('Données projet'!B166)/'Données projet'!A166)</f>
        <v>2.0243974584998852</v>
      </c>
      <c r="EG205" s="82">
        <f>EXP(LN('Données projet'!B192)/'Données projet'!A192)</f>
        <v>1.3909694153327172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5"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Chêne sessile</v>
      </c>
      <c r="B6" s="146">
        <f>'Données projet'!D9</f>
        <v>3.2669999999999999</v>
      </c>
      <c r="C6" s="147">
        <f ca="1">IF(OR('Données projet'!B9="",'Données projet'!C9="",'Données projet'!C9=0%),0,Calculateur!S3)</f>
        <v>388.1278150896951</v>
      </c>
      <c r="D6" s="147">
        <f>IF(OR('Données projet'!B9="",'Données projet'!C9="",'Données projet'!C9=0%),0,Calculateur!T3)</f>
        <v>232.26614607059227</v>
      </c>
      <c r="E6" s="147">
        <f ca="1">MIN(C6,D6)</f>
        <v>232.26614607059227</v>
      </c>
      <c r="F6" s="147">
        <f ca="1">E6*B6</f>
        <v>758.81349921262495</v>
      </c>
      <c r="G6" s="147">
        <f ca="1">F6*(100%-'Données projet'!$C$24)*(100%-'Données projet'!$C$25)*(100%-'Données projet'!$C$26)*(100%-'Données projet'!$C$27)</f>
        <v>614.63893436222634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614.63893436222634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pubescent</v>
      </c>
      <c r="B7" s="154">
        <f>'Données projet'!D10</f>
        <v>0.78374999999999995</v>
      </c>
      <c r="C7" s="147">
        <f ca="1">IF(OR('Données projet'!B10="",'Données projet'!C10="",'Données projet'!C10=0%),0,Calculateur!AN3)</f>
        <v>424.89201140676084</v>
      </c>
      <c r="D7" s="147">
        <f>IF(OR('Données projet'!B10="",'Données projet'!C10="",'Données projet'!C10=0%),0,Calculateur!AO3)</f>
        <v>253.0016648946303</v>
      </c>
      <c r="E7" s="147">
        <f t="shared" ref="E7:E15" ca="1" si="0">MIN(C7,D7)</f>
        <v>253.0016648946303</v>
      </c>
      <c r="F7" s="147">
        <f t="shared" ref="F7:F15" ca="1" si="1">E7*B7</f>
        <v>198.29005486116648</v>
      </c>
      <c r="G7" s="147">
        <f ca="1">F7*(100%-'Données projet'!$C$24)*(100%-'Données projet'!$C$25)*(100%-'Données projet'!$C$26)*(100%-'Données projet'!$C$27)</f>
        <v>160.61494443754486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160.61494443754486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Charme</v>
      </c>
      <c r="B8" s="154">
        <f>'Données projet'!D11</f>
        <v>0.97949999999999993</v>
      </c>
      <c r="C8" s="147">
        <f ca="1">IF(OR('Données projet'!B11="",'Données projet'!C11="",'Données projet'!C11=0%),0,Calculateur!BI3)</f>
        <v>403.89478276355294</v>
      </c>
      <c r="D8" s="147">
        <f>IF(OR('Données projet'!B11="",'Données projet'!C11="",'Données projet'!C11=0%),0,Calculateur!BJ3)</f>
        <v>241.1593989733278</v>
      </c>
      <c r="E8" s="147">
        <f t="shared" ca="1" si="0"/>
        <v>241.1593989733278</v>
      </c>
      <c r="F8" s="147">
        <f t="shared" ca="1" si="1"/>
        <v>236.21563129437456</v>
      </c>
      <c r="G8" s="147">
        <f ca="1">F8*(100%-'Données projet'!$C$24)*(100%-'Données projet'!$C$25)*(100%-'Données projet'!$C$26)*(100%-'Données projet'!$C$27)</f>
        <v>191.3346613484434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191.3346613484434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Erable plane</v>
      </c>
      <c r="B9" s="154">
        <f>'Données projet'!D12</f>
        <v>1.0454999999999999</v>
      </c>
      <c r="C9" s="147">
        <f ca="1">IF(OR('Données projet'!B12="",'Données projet'!C12="",'Données projet'!C12=0%),0,Calculateur!CD3)</f>
        <v>377.27600411578322</v>
      </c>
      <c r="D9" s="147">
        <f>IF(OR('Données projet'!B12="",'Données projet'!C12="",'Données projet'!C12=0%),0,Calculateur!CE3)</f>
        <v>364.58250627635425</v>
      </c>
      <c r="E9" s="147">
        <f t="shared" ca="1" si="0"/>
        <v>364.58250627635425</v>
      </c>
      <c r="F9" s="147">
        <f t="shared" ca="1" si="1"/>
        <v>381.17101031192834</v>
      </c>
      <c r="G9" s="147">
        <f ca="1">F9*(100%-'Données projet'!$C$24)*(100%-'Données projet'!$C$25)*(100%-'Données projet'!$C$26)*(100%-'Données projet'!$C$27)</f>
        <v>308.74851835266196</v>
      </c>
      <c r="H9" s="155">
        <f>IF(OR('Données projet'!B12="",'Données projet'!C12="",'Données projet'!C12=0%),0,AVERAGE(Calculateur!$CN$3:$CN$33)*B9)</f>
        <v>1.304560623860834</v>
      </c>
      <c r="I9" s="149">
        <f>H9*(100%-'Données projet'!$C$24)*(100%-'Données projet'!$C$25)*(100%-'Données projet'!$C$26)*(100%-'Données projet'!$C$27)</f>
        <v>1.0566941053272756</v>
      </c>
      <c r="J9" s="150">
        <f>IF(OR('Données projet'!B12="",'Données projet'!C12="",'Données projet'!C12=0%),0,SUM(Calculateur!$CG$3:$CG$33)*VLOOKUP('Données projet'!$B$12,Paramètres!$A$1:$I$89,9,0)*B9)</f>
        <v>35.808374999999998</v>
      </c>
      <c r="K9" s="151">
        <f>J9*(100%-'Données projet'!$C$24)*(100%-'Données projet'!$C$25)*(100%-'Données projet'!$C$26)*(100%-'Données projet'!$C$27)</f>
        <v>29.004783749999998</v>
      </c>
      <c r="L9" s="152">
        <f t="shared" ca="1" si="2"/>
        <v>338.80999620798923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>Merisier</v>
      </c>
      <c r="B10" s="154">
        <f>'Données projet'!D13</f>
        <v>0.45750000000000002</v>
      </c>
      <c r="C10" s="147">
        <f ca="1">IF(OR('Données projet'!B13="",'Données projet'!C13="",'Données projet'!C13=0%),0,Calculateur!CY3)</f>
        <v>308.82719216177946</v>
      </c>
      <c r="D10" s="147">
        <f>IF(OR('Données projet'!B13="",'Données projet'!C13="",'Données projet'!C13=0%),0,Calculateur!CZ3)</f>
        <v>302.59481222418219</v>
      </c>
      <c r="E10" s="147">
        <f t="shared" ca="1" si="0"/>
        <v>302.59481222418219</v>
      </c>
      <c r="F10" s="147">
        <f t="shared" ca="1" si="1"/>
        <v>138.43712659256335</v>
      </c>
      <c r="G10" s="147">
        <f ca="1">F10*(100%-'Données projet'!$C$24)*(100%-'Données projet'!$C$25)*(100%-'Données projet'!$C$26)*(100%-'Données projet'!$C$27)</f>
        <v>112.13407253997632</v>
      </c>
      <c r="H10" s="155">
        <f>IF(OR('Données projet'!B13="",'Données projet'!C13="",'Données projet'!C13=0%),0,AVERAGE(Calculateur!$DI$3:$DI$33)*B10)</f>
        <v>1.0673014807418275</v>
      </c>
      <c r="I10" s="149">
        <f>H10*(100%-'Données projet'!$C$24)*(100%-'Données projet'!$C$25)*(100%-'Données projet'!$C$26)*(100%-'Données projet'!$C$27)</f>
        <v>0.86451419940088037</v>
      </c>
      <c r="J10" s="150">
        <f>IF(OR('Données projet'!B13="",'Données projet'!C13="",'Données projet'!C13=0%),0,SUM(Calculateur!$DB$3:$DB$33)*VLOOKUP('Données projet'!$B$13,Paramètres!$A$1:$I$89,9,0)*B10)</f>
        <v>6.2906250000000004</v>
      </c>
      <c r="K10" s="151">
        <f>J10*(100%-'Données projet'!$C$24)*(100%-'Données projet'!$C$25)*(100%-'Données projet'!$C$26)*(100%-'Données projet'!$C$27)</f>
        <v>5.0954062500000008</v>
      </c>
      <c r="L10" s="152">
        <f t="shared" ca="1" si="2"/>
        <v>118.0939929893772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>Robinier faux-acacia</v>
      </c>
      <c r="B11" s="154">
        <f>'Données projet'!D14</f>
        <v>0.41100000000000003</v>
      </c>
      <c r="C11" s="147">
        <f ca="1">IF(OR('Données projet'!B14="",'Données projet'!C14="",'Données projet'!C14=0%),0,Calculateur!DT3)</f>
        <v>376.51107072413777</v>
      </c>
      <c r="D11" s="147">
        <f>IF(OR('Données projet'!B14="",'Données projet'!C14="",'Données projet'!C14=0%),0,Calculateur!DU3)</f>
        <v>532.90758914457615</v>
      </c>
      <c r="E11" s="147">
        <f t="shared" ca="1" si="0"/>
        <v>376.51107072413777</v>
      </c>
      <c r="F11" s="147">
        <f t="shared" ca="1" si="1"/>
        <v>154.74605006762064</v>
      </c>
      <c r="G11" s="147">
        <f ca="1">F11*(100%-'Données projet'!$C$24)*(100%-'Données projet'!$C$25)*(100%-'Données projet'!$C$26)*(100%-'Données projet'!$C$27)</f>
        <v>125.34430055477273</v>
      </c>
      <c r="H11" s="155">
        <f>IF(OR('Données projet'!B14="",'Données projet'!C14="",'Données projet'!C14=0%),0,AVERAGE(Calculateur!$ED$3:$ED$33)*B11)</f>
        <v>0.17725543051530129</v>
      </c>
      <c r="I11" s="149">
        <f>H11*(100%-'Données projet'!$C$24)*(100%-'Données projet'!$C$25)*(100%-'Données projet'!$C$26)*(100%-'Données projet'!$C$27)</f>
        <v>0.14357689871739407</v>
      </c>
      <c r="J11" s="150">
        <f>IF(OR('Données projet'!B14="",'Données projet'!C14="",'Données projet'!C14=0%),0,SUM(Calculateur!$DW$3:$DW$33)*VLOOKUP('Données projet'!$B$14,Paramètres!$A$1:$I$89,9,0)*B11)</f>
        <v>10.480500000000001</v>
      </c>
      <c r="K11" s="151">
        <f>J11*(100%-'Données projet'!$C$24)*(100%-'Données projet'!$C$25)*(100%-'Données projet'!$C$26)*(100%-'Données projet'!$C$27)</f>
        <v>8.4892050000000019</v>
      </c>
      <c r="L11" s="152">
        <f t="shared" ca="1" si="2"/>
        <v>133.97708245349014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>Pin maritime</v>
      </c>
      <c r="B12" s="154">
        <f>'Données projet'!D15</f>
        <v>0.55574999999999997</v>
      </c>
      <c r="C12" s="147">
        <f ca="1">IF(OR('Données projet'!B15="",'Données projet'!C15="",'Données projet'!C15=0%),0,Calculateur!EO3)</f>
        <v>337.99164391755608</v>
      </c>
      <c r="D12" s="147">
        <f>IF(OR('Données projet'!B15="",'Données projet'!C15="",'Données projet'!C15=0%),0,Calculateur!EP3)</f>
        <v>421.45428231923393</v>
      </c>
      <c r="E12" s="147">
        <f t="shared" ca="1" si="0"/>
        <v>337.99164391755608</v>
      </c>
      <c r="F12" s="147">
        <f t="shared" ca="1" si="1"/>
        <v>187.83885610718178</v>
      </c>
      <c r="G12" s="147">
        <f ca="1">F12*(100%-'Données projet'!$C$24)*(100%-'Données projet'!$C$25)*(100%-'Données projet'!$C$26)*(100%-'Données projet'!$C$27)</f>
        <v>152.14947344681724</v>
      </c>
      <c r="H12" s="155">
        <f>IF(OR('Données projet'!B15="",'Données projet'!C15="",'Données projet'!C15=0%),0,AVERAGE(Calculateur!$EY$3:$EY$33)*B12)</f>
        <v>7.2352776315745091</v>
      </c>
      <c r="I12" s="149">
        <f>H12*(100%-'Données projet'!$C$24)*(100%-'Données projet'!$C$25)*(100%-'Données projet'!$C$26)*(100%-'Données projet'!$C$27)</f>
        <v>5.8605748815753529</v>
      </c>
      <c r="J12" s="150">
        <f>IF(OR('Données projet'!B15="",'Données projet'!C15="",'Données projet'!C15=0%),0,SUM(Calculateur!$ER$3:$ER$33)*VLOOKUP('Données projet'!$B$15,Paramètres!$A$1:$I$89,9,0)*B12)</f>
        <v>47.705836499999997</v>
      </c>
      <c r="K12" s="151">
        <f>J12*(100%-'Données projet'!$C$24)*(100%-'Données projet'!$C$25)*(100%-'Données projet'!$C$26)*(100%-'Données projet'!$C$27)</f>
        <v>38.641727564999997</v>
      </c>
      <c r="L12" s="152">
        <f t="shared" ca="1" si="2"/>
        <v>196.6517758933926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2055.5122284474601</v>
      </c>
      <c r="G16" s="166">
        <f t="shared" ca="1" si="3"/>
        <v>1664.9649050424428</v>
      </c>
      <c r="H16" s="167">
        <f t="shared" si="3"/>
        <v>9.7843951666924731</v>
      </c>
      <c r="I16" s="167">
        <f t="shared" si="3"/>
        <v>7.9253600850209036</v>
      </c>
      <c r="J16" s="168">
        <f t="shared" si="3"/>
        <v>100.2853365</v>
      </c>
      <c r="K16" s="168">
        <f t="shared" si="3"/>
        <v>81.231122564999993</v>
      </c>
      <c r="L16" s="169">
        <f t="shared" ca="1" si="3"/>
        <v>1754.1213876924637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Charme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Erable plane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>Merisier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>Robinier faux-acacia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>Pin maritime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10" zoomScale="80" zoomScaleNormal="80" workbookViewId="0">
      <selection activeCell="G212" sqref="G21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708.90487280046784</v>
      </c>
      <c r="U10" s="178">
        <f>'Données projet'!D9</f>
        <v>3.2669999999999999</v>
      </c>
      <c r="V10" s="177">
        <f>U10*T10</f>
        <v>2315.9922194391283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pubescent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637.65949928917269</v>
      </c>
      <c r="U11" s="178">
        <f>'Données projet'!D10</f>
        <v>0.78374999999999995</v>
      </c>
      <c r="V11" s="177">
        <f t="shared" ref="V11" si="0">U11*T11</f>
        <v>499.76563256788904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Charme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708.90487280046784</v>
      </c>
      <c r="U12" s="178">
        <f>'Données projet'!D11</f>
        <v>0.97949999999999993</v>
      </c>
      <c r="V12" s="177">
        <f t="shared" ref="V12:V19" si="1">U12*T12</f>
        <v>694.37232290805821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Erable plane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1423.9033761971652</v>
      </c>
      <c r="U13" s="178">
        <f>'Données projet'!D12</f>
        <v>1.0454999999999999</v>
      </c>
      <c r="V13" s="177">
        <f t="shared" si="1"/>
        <v>1488.690979814136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Merisier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1941.7256058489929</v>
      </c>
      <c r="U14" s="178">
        <f>'Données projet'!D13</f>
        <v>0.45750000000000002</v>
      </c>
      <c r="V14" s="177">
        <f t="shared" si="1"/>
        <v>888.33946467591431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Robinier faux-acacia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590.72333398129069</v>
      </c>
      <c r="U15" s="178">
        <f>'Données projet'!D14</f>
        <v>0.41100000000000003</v>
      </c>
      <c r="V15" s="177">
        <f t="shared" si="1"/>
        <v>242.78729026631049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>Pin maritime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3349.8568350307655</v>
      </c>
      <c r="U16" s="178">
        <f>'Données projet'!D15</f>
        <v>0.55574999999999997</v>
      </c>
      <c r="V16" s="177">
        <f t="shared" si="1"/>
        <v>1861.6829360683478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7519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30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-45972.483986796105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44</v>
      </c>
      <c r="B24" s="181">
        <f>'Données projet'!D37</f>
        <v>64.416666666666657</v>
      </c>
      <c r="C24" s="193">
        <v>10</v>
      </c>
      <c r="D24" s="182">
        <f t="shared" ref="D24:D42" si="2">B24*C24</f>
        <v>644.16666666666652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347696.99299074768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51</v>
      </c>
      <c r="B25" s="181">
        <f>'Données projet'!D38</f>
        <v>37.685897435897431</v>
      </c>
      <c r="C25" s="193">
        <v>10</v>
      </c>
      <c r="D25" s="182">
        <f t="shared" si="2"/>
        <v>376.85897435897431</v>
      </c>
      <c r="E25" s="193">
        <v>150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2300</v>
      </c>
      <c r="Q25" s="234"/>
      <c r="R25" s="23"/>
      <c r="S25" s="186" t="s">
        <v>266</v>
      </c>
      <c r="T25" s="299">
        <f ca="1">T23-T24</f>
        <v>-393669.47697754379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59</v>
      </c>
      <c r="B26" s="181">
        <f>'Données projet'!D39</f>
        <v>38.942307692307693</v>
      </c>
      <c r="C26" s="193">
        <v>50</v>
      </c>
      <c r="D26" s="182">
        <f t="shared" si="2"/>
        <v>1947.1153846153848</v>
      </c>
      <c r="E26" s="193">
        <v>150</v>
      </c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67</v>
      </c>
      <c r="B27" s="181">
        <f>'Données projet'!D40</f>
        <v>31.993589743589741</v>
      </c>
      <c r="C27" s="193">
        <v>50</v>
      </c>
      <c r="D27" s="182">
        <f t="shared" si="2"/>
        <v>1599.6794871794871</v>
      </c>
      <c r="E27" s="193">
        <v>150</v>
      </c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75</v>
      </c>
      <c r="B28" s="181">
        <f>'Données projet'!D41</f>
        <v>30.916666666666664</v>
      </c>
      <c r="C28" s="193">
        <v>50</v>
      </c>
      <c r="D28" s="182">
        <f t="shared" si="2"/>
        <v>1545.8333333333333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84</v>
      </c>
      <c r="B29" s="181">
        <f>'Données projet'!D42</f>
        <v>35.083333333333329</v>
      </c>
      <c r="C29" s="193">
        <v>100</v>
      </c>
      <c r="D29" s="182">
        <f t="shared" si="2"/>
        <v>3508.333333333333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93</v>
      </c>
      <c r="B30" s="181">
        <f>'Données projet'!D43</f>
        <v>30.083333333333332</v>
      </c>
      <c r="C30" s="193">
        <v>100</v>
      </c>
      <c r="D30" s="182">
        <f t="shared" si="2"/>
        <v>3008.333333333333</v>
      </c>
      <c r="E30" s="193">
        <v>150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46359.599065433023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103</v>
      </c>
      <c r="B31" s="181">
        <f>'Données projet'!D44</f>
        <v>39.512820512820511</v>
      </c>
      <c r="C31" s="193">
        <v>150</v>
      </c>
      <c r="D31" s="182">
        <f t="shared" si="2"/>
        <v>5926.9230769230762</v>
      </c>
      <c r="E31" s="193">
        <v>150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113</v>
      </c>
      <c r="B32" s="181">
        <f>'Données projet'!D45</f>
        <v>31.602564102564099</v>
      </c>
      <c r="C32" s="193">
        <v>150</v>
      </c>
      <c r="D32" s="182">
        <f t="shared" si="2"/>
        <v>4740.3846153846152</v>
      </c>
      <c r="E32" s="193">
        <v>150</v>
      </c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125</v>
      </c>
      <c r="B33" s="181">
        <f>'Données projet'!D46</f>
        <v>48.160256410256409</v>
      </c>
      <c r="C33" s="193">
        <v>150</v>
      </c>
      <c r="D33" s="182">
        <f t="shared" si="2"/>
        <v>7224.038461538461</v>
      </c>
      <c r="E33" s="193">
        <v>150</v>
      </c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2300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137</v>
      </c>
      <c r="B34" s="181">
        <f>'Données projet'!D47</f>
        <v>51.160256410256409</v>
      </c>
      <c r="C34" s="193">
        <v>200</v>
      </c>
      <c r="D34" s="182">
        <f t="shared" si="2"/>
        <v>10232.051282051281</v>
      </c>
      <c r="E34" s="193">
        <v>150</v>
      </c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2200.9569377990433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149</v>
      </c>
      <c r="B35" s="181">
        <f>'Données projet'!D48</f>
        <v>120.50641025641026</v>
      </c>
      <c r="C35" s="193">
        <v>200</v>
      </c>
      <c r="D35" s="182">
        <f t="shared" si="2"/>
        <v>24101.282051282051</v>
      </c>
      <c r="E35" s="193">
        <v>150</v>
      </c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2106.1788878459747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153</v>
      </c>
      <c r="B36" s="181">
        <f>'Données projet'!D49</f>
        <v>70.115384615384613</v>
      </c>
      <c r="C36" s="193">
        <v>200</v>
      </c>
      <c r="D36" s="182">
        <f t="shared" si="2"/>
        <v>14023.076923076922</v>
      </c>
      <c r="E36" s="193">
        <v>150</v>
      </c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2015.4821893262915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157</v>
      </c>
      <c r="B37" s="181">
        <f>'Données projet'!D50</f>
        <v>45.71153846153846</v>
      </c>
      <c r="C37" s="193">
        <v>200</v>
      </c>
      <c r="D37" s="182">
        <f t="shared" si="2"/>
        <v>9142.3076923076915</v>
      </c>
      <c r="E37" s="193">
        <v>150</v>
      </c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1928.6910902643942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161</v>
      </c>
      <c r="B38" s="181">
        <f>'Données projet'!D51</f>
        <v>91.365384615384613</v>
      </c>
      <c r="C38" s="193">
        <v>200</v>
      </c>
      <c r="D38" s="182">
        <f t="shared" si="2"/>
        <v>18273.076923076922</v>
      </c>
      <c r="E38" s="193">
        <v>150</v>
      </c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1845.6374069515734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1766.1601980397836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1690.1054526696494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1617.3257920283731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1547.6801837592088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1481.0336686690996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1417.25709920488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Chêne pubescent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1356.2268891912729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1297.8247743457157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1241.9375831059483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1188.4570173262662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1137.2794424174801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1088.3056865239043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1041.4408483482341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996.59411325189876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953.67857727454441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30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912.61107873162143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44</v>
      </c>
      <c r="B55" s="181">
        <f>'Données projet'!D63</f>
        <v>64.416666666666657</v>
      </c>
      <c r="C55" s="191">
        <v>10</v>
      </c>
      <c r="D55" s="179">
        <f t="shared" ref="D55:D73" si="4">B55*C55</f>
        <v>644.16666666666652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873.31203706375288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51</v>
      </c>
      <c r="B56" s="181">
        <f>'Données projet'!D64</f>
        <v>37.685897435897431</v>
      </c>
      <c r="C56" s="191">
        <v>10</v>
      </c>
      <c r="D56" s="179">
        <f t="shared" si="4"/>
        <v>376.85897435897431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835.70529862560079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59</v>
      </c>
      <c r="B57" s="181">
        <f>'Données projet'!D65</f>
        <v>38.942307692307693</v>
      </c>
      <c r="C57" s="191">
        <v>50</v>
      </c>
      <c r="D57" s="179">
        <f t="shared" si="4"/>
        <v>1947.1153846153848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799.71798911540759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67</v>
      </c>
      <c r="B58" s="181">
        <f>'Données projet'!D66</f>
        <v>31.993589743589741</v>
      </c>
      <c r="C58" s="191">
        <v>50</v>
      </c>
      <c r="D58" s="179">
        <f t="shared" si="4"/>
        <v>1599.6794871794871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765.28037235924171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75</v>
      </c>
      <c r="B59" s="181">
        <f>'Données projet'!D67</f>
        <v>30.916666666666664</v>
      </c>
      <c r="C59" s="191">
        <v>50</v>
      </c>
      <c r="D59" s="179">
        <f t="shared" si="4"/>
        <v>1545.8333333333333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732.32571517630811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84</v>
      </c>
      <c r="B60" s="181">
        <f>'Données projet'!D68</f>
        <v>35.083333333333329</v>
      </c>
      <c r="C60" s="191">
        <v>100</v>
      </c>
      <c r="D60" s="179">
        <f t="shared" si="4"/>
        <v>3508.333333333333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700.79015806345274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93</v>
      </c>
      <c r="B61" s="181">
        <f>'Données projet'!D69</f>
        <v>30.083333333333332</v>
      </c>
      <c r="C61" s="191">
        <v>100</v>
      </c>
      <c r="D61" s="179">
        <f t="shared" si="4"/>
        <v>3008.333333333333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670.61259144828023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103</v>
      </c>
      <c r="B62" s="181">
        <f>'Données projet'!D70</f>
        <v>39.512820512820511</v>
      </c>
      <c r="C62" s="191">
        <v>150</v>
      </c>
      <c r="D62" s="179">
        <f t="shared" si="4"/>
        <v>5926.9230769230762</v>
      </c>
      <c r="E62" s="193">
        <v>150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641.73453727108154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113</v>
      </c>
      <c r="B63" s="181">
        <f>'Données projet'!D71</f>
        <v>31.602564102564099</v>
      </c>
      <c r="C63" s="191">
        <v>150</v>
      </c>
      <c r="D63" s="179">
        <f t="shared" si="4"/>
        <v>4740.3846153846152</v>
      </c>
      <c r="E63" s="193">
        <v>150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614.10003566610692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125</v>
      </c>
      <c r="B64" s="181">
        <f>'Données projet'!D72</f>
        <v>48.160256410256409</v>
      </c>
      <c r="C64" s="191">
        <v>150</v>
      </c>
      <c r="D64" s="179">
        <f t="shared" si="4"/>
        <v>7224.038461538461</v>
      </c>
      <c r="E64" s="193">
        <v>150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587.65553652259018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137</v>
      </c>
      <c r="B65" s="181">
        <f>'Données projet'!D73</f>
        <v>51.160256410256409</v>
      </c>
      <c r="C65" s="191">
        <v>200</v>
      </c>
      <c r="D65" s="179">
        <f t="shared" si="4"/>
        <v>10232.051282051281</v>
      </c>
      <c r="E65" s="193">
        <v>150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562.3497957153977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149</v>
      </c>
      <c r="B66" s="181">
        <f>'Données projet'!D74</f>
        <v>120.50641025641026</v>
      </c>
      <c r="C66" s="191">
        <v>200</v>
      </c>
      <c r="D66" s="179">
        <f t="shared" si="4"/>
        <v>24101.282051282051</v>
      </c>
      <c r="E66" s="193">
        <v>150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538.13377580420831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153</v>
      </c>
      <c r="B67" s="181">
        <f>'Données projet'!D75</f>
        <v>70.115384615384613</v>
      </c>
      <c r="C67" s="191">
        <v>200</v>
      </c>
      <c r="D67" s="179">
        <f t="shared" si="4"/>
        <v>14023.076923076922</v>
      </c>
      <c r="E67" s="193">
        <v>150</v>
      </c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514.96055100881188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157</v>
      </c>
      <c r="B68" s="181">
        <f>'Données projet'!D76</f>
        <v>45.71153846153846</v>
      </c>
      <c r="C68" s="191">
        <v>200</v>
      </c>
      <c r="D68" s="179">
        <f t="shared" si="4"/>
        <v>9142.3076923076915</v>
      </c>
      <c r="E68" s="193">
        <v>150</v>
      </c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492.78521627637502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161</v>
      </c>
      <c r="B69" s="181">
        <f>'Données projet'!D77</f>
        <v>91.365384615384613</v>
      </c>
      <c r="C69" s="191">
        <v>200</v>
      </c>
      <c r="D69" s="179">
        <f t="shared" si="4"/>
        <v>18273.076923076922</v>
      </c>
      <c r="E69" s="193">
        <v>150</v>
      </c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471.56480026447377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451.25818207126679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431.82601155145153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413.23063306359001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395.43601250104319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378.40766746511315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362.11260044508441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Charme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346.51923487567882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331.59735394801805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317.3180420555197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30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44</v>
      </c>
      <c r="B86" s="181">
        <f>'Données projet'!D89</f>
        <v>64.416666666666657</v>
      </c>
      <c r="C86" s="191">
        <v>10</v>
      </c>
      <c r="D86" s="179">
        <f t="shared" ref="D86:D104" si="6">B86*C86</f>
        <v>644.16666666666652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51</v>
      </c>
      <c r="B87" s="181">
        <f>'Données projet'!D90</f>
        <v>37.685897435897431</v>
      </c>
      <c r="C87" s="191">
        <v>10</v>
      </c>
      <c r="D87" s="179">
        <f t="shared" si="6"/>
        <v>376.85897435897431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59</v>
      </c>
      <c r="B88" s="181">
        <f>'Données projet'!D91</f>
        <v>38.942307692307693</v>
      </c>
      <c r="C88" s="191">
        <v>50</v>
      </c>
      <c r="D88" s="179">
        <f t="shared" si="6"/>
        <v>1947.1153846153848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67</v>
      </c>
      <c r="B89" s="181">
        <f>'Données projet'!D92</f>
        <v>31.993589743589741</v>
      </c>
      <c r="C89" s="191">
        <v>50</v>
      </c>
      <c r="D89" s="179">
        <f t="shared" si="6"/>
        <v>1599.6794871794871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75</v>
      </c>
      <c r="B90" s="181">
        <f>'Données projet'!D93</f>
        <v>30.916666666666664</v>
      </c>
      <c r="C90" s="191">
        <v>50</v>
      </c>
      <c r="D90" s="179">
        <f t="shared" si="6"/>
        <v>1545.8333333333333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84</v>
      </c>
      <c r="B91" s="181">
        <f>'Données projet'!D94</f>
        <v>35.083333333333329</v>
      </c>
      <c r="C91" s="191">
        <v>100</v>
      </c>
      <c r="D91" s="179">
        <f t="shared" si="6"/>
        <v>3508.333333333333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93</v>
      </c>
      <c r="B92" s="181">
        <f>'Données projet'!D95</f>
        <v>30.083333333333332</v>
      </c>
      <c r="C92" s="191">
        <v>100</v>
      </c>
      <c r="D92" s="179">
        <f t="shared" si="6"/>
        <v>3008.333333333333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103</v>
      </c>
      <c r="B93" s="181">
        <f>'Données projet'!D96</f>
        <v>39.512820512820511</v>
      </c>
      <c r="C93" s="191">
        <v>150</v>
      </c>
      <c r="D93" s="179">
        <f t="shared" si="6"/>
        <v>5926.9230769230762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113</v>
      </c>
      <c r="B94" s="181">
        <f>'Données projet'!D97</f>
        <v>31.602564102564099</v>
      </c>
      <c r="C94" s="191">
        <v>150</v>
      </c>
      <c r="D94" s="179">
        <f t="shared" si="6"/>
        <v>4740.3846153846152</v>
      </c>
      <c r="E94" s="193">
        <v>150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125</v>
      </c>
      <c r="B95" s="181">
        <f>'Données projet'!D98</f>
        <v>48.160256410256409</v>
      </c>
      <c r="C95" s="191">
        <v>150</v>
      </c>
      <c r="D95" s="179">
        <f t="shared" si="6"/>
        <v>7224.038461538461</v>
      </c>
      <c r="E95" s="193">
        <v>150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137</v>
      </c>
      <c r="B96" s="181">
        <f>'Données projet'!D99</f>
        <v>51.160256410256409</v>
      </c>
      <c r="C96" s="191">
        <v>200</v>
      </c>
      <c r="D96" s="179">
        <f t="shared" si="6"/>
        <v>10232.051282051281</v>
      </c>
      <c r="E96" s="193">
        <v>150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149</v>
      </c>
      <c r="B97" s="181">
        <f>'Données projet'!D100</f>
        <v>120.50641025641026</v>
      </c>
      <c r="C97" s="191">
        <v>200</v>
      </c>
      <c r="D97" s="179">
        <f t="shared" si="6"/>
        <v>24101.282051282051</v>
      </c>
      <c r="E97" s="193">
        <v>150</v>
      </c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153</v>
      </c>
      <c r="B98" s="181">
        <f>'Données projet'!D101</f>
        <v>70.115384615384613</v>
      </c>
      <c r="C98" s="191">
        <v>200</v>
      </c>
      <c r="D98" s="179">
        <f t="shared" si="6"/>
        <v>14023.076923076922</v>
      </c>
      <c r="E98" s="193">
        <v>150</v>
      </c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157</v>
      </c>
      <c r="B99" s="181">
        <f>'Données projet'!D102</f>
        <v>45.71153846153846</v>
      </c>
      <c r="C99" s="191">
        <v>200</v>
      </c>
      <c r="D99" s="179">
        <f t="shared" si="6"/>
        <v>9142.3076923076915</v>
      </c>
      <c r="E99" s="193">
        <v>150</v>
      </c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161</v>
      </c>
      <c r="B100" s="181">
        <f>'Données projet'!D103</f>
        <v>91.365384615384613</v>
      </c>
      <c r="C100" s="191">
        <v>200</v>
      </c>
      <c r="D100" s="179">
        <f t="shared" si="6"/>
        <v>18273.076923076922</v>
      </c>
      <c r="E100" s="193">
        <v>150</v>
      </c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Erable plane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10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15</v>
      </c>
      <c r="B117" s="181">
        <f>'Données projet'!D115</f>
        <v>32</v>
      </c>
      <c r="C117" s="191">
        <v>10</v>
      </c>
      <c r="D117" s="179">
        <f t="shared" ref="D117:D135" si="8">B117*C117</f>
        <v>320</v>
      </c>
      <c r="E117" s="193">
        <v>150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20</v>
      </c>
      <c r="B118" s="181">
        <f>'Données projet'!D116</f>
        <v>35</v>
      </c>
      <c r="C118" s="191">
        <v>10</v>
      </c>
      <c r="D118" s="179">
        <f t="shared" si="8"/>
        <v>350</v>
      </c>
      <c r="E118" s="193">
        <v>150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25</v>
      </c>
      <c r="B119" s="181">
        <f>'Données projet'!D117</f>
        <v>35</v>
      </c>
      <c r="C119" s="191">
        <v>15</v>
      </c>
      <c r="D119" s="179">
        <f t="shared" si="8"/>
        <v>525</v>
      </c>
      <c r="E119" s="193">
        <v>150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30</v>
      </c>
      <c r="B120" s="181">
        <f>'Données projet'!D118</f>
        <v>35</v>
      </c>
      <c r="C120" s="191">
        <v>15</v>
      </c>
      <c r="D120" s="179">
        <f t="shared" si="8"/>
        <v>525</v>
      </c>
      <c r="E120" s="193">
        <v>150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35</v>
      </c>
      <c r="B121" s="181">
        <f>'Données projet'!D119</f>
        <v>35</v>
      </c>
      <c r="C121" s="191">
        <v>50</v>
      </c>
      <c r="D121" s="179">
        <f t="shared" si="8"/>
        <v>1750</v>
      </c>
      <c r="E121" s="193">
        <v>150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40</v>
      </c>
      <c r="B122" s="181">
        <f>'Données projet'!D120</f>
        <v>35</v>
      </c>
      <c r="C122" s="191">
        <v>50</v>
      </c>
      <c r="D122" s="179">
        <f t="shared" si="8"/>
        <v>1750</v>
      </c>
      <c r="E122" s="193">
        <v>150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45</v>
      </c>
      <c r="B123" s="181">
        <f>'Données projet'!D121</f>
        <v>24</v>
      </c>
      <c r="C123" s="191">
        <v>50</v>
      </c>
      <c r="D123" s="179">
        <f t="shared" si="8"/>
        <v>1200</v>
      </c>
      <c r="E123" s="193">
        <v>150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50</v>
      </c>
      <c r="B124" s="181">
        <f>'Données projet'!D122</f>
        <v>19</v>
      </c>
      <c r="C124" s="191">
        <v>50</v>
      </c>
      <c r="D124" s="179">
        <f t="shared" si="8"/>
        <v>950</v>
      </c>
      <c r="E124" s="193">
        <v>150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55</v>
      </c>
      <c r="B125" s="181">
        <f>'Données projet'!D123</f>
        <v>16</v>
      </c>
      <c r="C125" s="191">
        <v>50</v>
      </c>
      <c r="D125" s="179">
        <f t="shared" si="8"/>
        <v>800</v>
      </c>
      <c r="E125" s="193">
        <v>150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60</v>
      </c>
      <c r="B126" s="181">
        <f>'Données projet'!D124</f>
        <v>14</v>
      </c>
      <c r="C126" s="191">
        <v>50</v>
      </c>
      <c r="D126" s="179">
        <f t="shared" si="8"/>
        <v>700</v>
      </c>
      <c r="E126" s="193">
        <v>150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65</v>
      </c>
      <c r="B127" s="181">
        <f>'Données projet'!D125</f>
        <v>13</v>
      </c>
      <c r="C127" s="191">
        <v>50</v>
      </c>
      <c r="D127" s="179">
        <f t="shared" si="8"/>
        <v>650</v>
      </c>
      <c r="E127" s="193">
        <v>150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70</v>
      </c>
      <c r="B128" s="181">
        <f>'Données projet'!D126</f>
        <v>13</v>
      </c>
      <c r="C128" s="191">
        <v>50</v>
      </c>
      <c r="D128" s="179">
        <f t="shared" si="8"/>
        <v>650</v>
      </c>
      <c r="E128" s="193">
        <v>150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75</v>
      </c>
      <c r="B129" s="181">
        <f>'Données projet'!D127</f>
        <v>12</v>
      </c>
      <c r="C129" s="191">
        <v>50</v>
      </c>
      <c r="D129" s="179">
        <f t="shared" si="8"/>
        <v>600</v>
      </c>
      <c r="E129" s="193">
        <v>150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80</v>
      </c>
      <c r="B130" s="181">
        <f>'Données projet'!D128</f>
        <v>11</v>
      </c>
      <c r="C130" s="191">
        <v>50</v>
      </c>
      <c r="D130" s="179">
        <f t="shared" si="8"/>
        <v>550</v>
      </c>
      <c r="E130" s="193">
        <v>150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>Merisier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15</v>
      </c>
      <c r="B147" s="175">
        <f>'Données projet'!D140</f>
        <v>3</v>
      </c>
      <c r="C147" s="191">
        <v>10</v>
      </c>
      <c r="D147" s="182">
        <f>B147*C147</f>
        <v>30</v>
      </c>
      <c r="E147" s="193">
        <v>150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20</v>
      </c>
      <c r="B148" s="175">
        <f>'Données projet'!D141</f>
        <v>25</v>
      </c>
      <c r="C148" s="191">
        <v>10</v>
      </c>
      <c r="D148" s="182">
        <f t="shared" ref="D148:D166" si="10">B148*C148</f>
        <v>250</v>
      </c>
      <c r="E148" s="193">
        <v>150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25</v>
      </c>
      <c r="B149" s="175">
        <f>'Données projet'!D142</f>
        <v>27</v>
      </c>
      <c r="C149" s="191">
        <v>15</v>
      </c>
      <c r="D149" s="182">
        <f t="shared" si="10"/>
        <v>405</v>
      </c>
      <c r="E149" s="193">
        <v>150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31</v>
      </c>
      <c r="B150" s="175">
        <f>'Données projet'!D143</f>
        <v>35</v>
      </c>
      <c r="C150" s="191">
        <v>15</v>
      </c>
      <c r="D150" s="182">
        <f t="shared" si="10"/>
        <v>525</v>
      </c>
      <c r="E150" s="193">
        <v>150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37</v>
      </c>
      <c r="B151" s="175">
        <f>'Données projet'!D144</f>
        <v>36</v>
      </c>
      <c r="C151" s="191">
        <v>50</v>
      </c>
      <c r="D151" s="182">
        <f t="shared" si="10"/>
        <v>1800</v>
      </c>
      <c r="E151" s="193">
        <v>150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44</v>
      </c>
      <c r="B152" s="175">
        <f>'Données projet'!D145</f>
        <v>43</v>
      </c>
      <c r="C152" s="191">
        <v>50</v>
      </c>
      <c r="D152" s="182">
        <f t="shared" si="10"/>
        <v>2150</v>
      </c>
      <c r="E152" s="193">
        <v>150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52</v>
      </c>
      <c r="B153" s="175">
        <f>'Données projet'!D146</f>
        <v>49</v>
      </c>
      <c r="C153" s="191">
        <v>50</v>
      </c>
      <c r="D153" s="182">
        <f t="shared" si="10"/>
        <v>2450</v>
      </c>
      <c r="E153" s="193">
        <v>150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60</v>
      </c>
      <c r="B154" s="175">
        <f>'Données projet'!D147</f>
        <v>47</v>
      </c>
      <c r="C154" s="191">
        <v>50</v>
      </c>
      <c r="D154" s="182">
        <f t="shared" si="10"/>
        <v>2350</v>
      </c>
      <c r="E154" s="193">
        <v>150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69</v>
      </c>
      <c r="B155" s="175">
        <f>'Données projet'!D148</f>
        <v>328</v>
      </c>
      <c r="C155" s="191">
        <v>50</v>
      </c>
      <c r="D155" s="182">
        <f t="shared" si="10"/>
        <v>16400</v>
      </c>
      <c r="E155" s="193">
        <v>150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>Robinier faux-acacia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/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5</v>
      </c>
      <c r="B178" s="181">
        <f>'Données projet'!D166</f>
        <v>6</v>
      </c>
      <c r="C178" s="193">
        <v>10</v>
      </c>
      <c r="D178" s="179">
        <f>B178*C178</f>
        <v>60</v>
      </c>
      <c r="E178" s="193">
        <v>150</v>
      </c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10</v>
      </c>
      <c r="B179" s="181">
        <f>'Données projet'!D167</f>
        <v>29</v>
      </c>
      <c r="C179" s="193">
        <v>10</v>
      </c>
      <c r="D179" s="179">
        <f t="shared" ref="D179:D197" si="11">B179*C179</f>
        <v>290</v>
      </c>
      <c r="E179" s="193">
        <v>150</v>
      </c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15</v>
      </c>
      <c r="B180" s="181">
        <f>'Données projet'!D168</f>
        <v>23</v>
      </c>
      <c r="C180" s="193">
        <v>15</v>
      </c>
      <c r="D180" s="179">
        <f t="shared" si="11"/>
        <v>345</v>
      </c>
      <c r="E180" s="193">
        <v>150</v>
      </c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20</v>
      </c>
      <c r="B181" s="181">
        <f>'Données projet'!D169</f>
        <v>19</v>
      </c>
      <c r="C181" s="193">
        <v>15</v>
      </c>
      <c r="D181" s="179">
        <f t="shared" si="11"/>
        <v>285</v>
      </c>
      <c r="E181" s="193">
        <v>150</v>
      </c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25</v>
      </c>
      <c r="B182" s="181">
        <f>'Données projet'!D170</f>
        <v>14</v>
      </c>
      <c r="C182" s="193">
        <v>50</v>
      </c>
      <c r="D182" s="179">
        <f t="shared" si="11"/>
        <v>700</v>
      </c>
      <c r="E182" s="193">
        <v>150</v>
      </c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30</v>
      </c>
      <c r="B183" s="181">
        <f>'Données projet'!D171</f>
        <v>11</v>
      </c>
      <c r="C183" s="193">
        <v>50</v>
      </c>
      <c r="D183" s="179">
        <f t="shared" si="11"/>
        <v>550</v>
      </c>
      <c r="E183" s="193">
        <v>150</v>
      </c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35</v>
      </c>
      <c r="B184" s="181">
        <f>'Données projet'!D172</f>
        <v>9</v>
      </c>
      <c r="C184" s="193">
        <v>50</v>
      </c>
      <c r="D184" s="179">
        <f t="shared" si="11"/>
        <v>450</v>
      </c>
      <c r="E184" s="193">
        <v>150</v>
      </c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40</v>
      </c>
      <c r="B185" s="181">
        <f>'Données projet'!D173</f>
        <v>7</v>
      </c>
      <c r="C185" s="193">
        <v>50</v>
      </c>
      <c r="D185" s="179">
        <f t="shared" si="11"/>
        <v>350</v>
      </c>
      <c r="E185" s="193">
        <v>150</v>
      </c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45</v>
      </c>
      <c r="B186" s="181">
        <f>'Données projet'!D174</f>
        <v>7</v>
      </c>
      <c r="C186" s="193">
        <v>50</v>
      </c>
      <c r="D186" s="179">
        <f t="shared" si="11"/>
        <v>350</v>
      </c>
      <c r="E186" s="193">
        <v>150</v>
      </c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>Pin maritime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15</v>
      </c>
      <c r="B209" s="181">
        <f>'Données projet'!D192</f>
        <v>49.784615384615385</v>
      </c>
      <c r="C209" s="193">
        <v>10</v>
      </c>
      <c r="D209" s="179">
        <f>B209*C209</f>
        <v>497.84615384615387</v>
      </c>
      <c r="E209" s="193">
        <v>150</v>
      </c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20</v>
      </c>
      <c r="B210" s="181">
        <f>'Données projet'!D193</f>
        <v>48.723076923076924</v>
      </c>
      <c r="C210" s="193">
        <v>18</v>
      </c>
      <c r="D210" s="179">
        <f t="shared" ref="D210:D228" si="12">B210*C210</f>
        <v>877.01538461538462</v>
      </c>
      <c r="E210" s="193">
        <v>150</v>
      </c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26</v>
      </c>
      <c r="B211" s="181">
        <f>'Données projet'!D194</f>
        <v>46.984615384615381</v>
      </c>
      <c r="C211" s="193">
        <v>25</v>
      </c>
      <c r="D211" s="179">
        <f t="shared" si="12"/>
        <v>1174.6153846153845</v>
      </c>
      <c r="E211" s="193">
        <v>150</v>
      </c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32</v>
      </c>
      <c r="B212" s="181">
        <f>'Données projet'!D195</f>
        <v>64.523076923076914</v>
      </c>
      <c r="C212" s="193">
        <v>25</v>
      </c>
      <c r="D212" s="179">
        <f t="shared" si="12"/>
        <v>1613.0769230769229</v>
      </c>
      <c r="E212" s="193">
        <v>150</v>
      </c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40</v>
      </c>
      <c r="B213" s="181">
        <f>'Données projet'!D196</f>
        <v>92.661538461538456</v>
      </c>
      <c r="C213" s="193">
        <v>35</v>
      </c>
      <c r="D213" s="179">
        <f t="shared" si="12"/>
        <v>3243.1538461538457</v>
      </c>
      <c r="E213" s="193">
        <v>150</v>
      </c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48</v>
      </c>
      <c r="B214" s="181">
        <f>'Données projet'!D197</f>
        <v>83.969230769230762</v>
      </c>
      <c r="C214" s="193">
        <v>35</v>
      </c>
      <c r="D214" s="179">
        <f t="shared" si="12"/>
        <v>2938.9230769230767</v>
      </c>
      <c r="E214" s="193">
        <v>150</v>
      </c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56</v>
      </c>
      <c r="B215" s="181">
        <f>'Données projet'!D198</f>
        <v>446.47692307692301</v>
      </c>
      <c r="C215" s="193">
        <v>35</v>
      </c>
      <c r="D215" s="179">
        <f t="shared" si="12"/>
        <v>15626.692307692305</v>
      </c>
      <c r="E215" s="193">
        <v>150</v>
      </c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Alexia Link</cp:lastModifiedBy>
  <dcterms:created xsi:type="dcterms:W3CDTF">2021-02-01T08:22:39Z</dcterms:created>
  <dcterms:modified xsi:type="dcterms:W3CDTF">2024-03-06T16:43:17Z</dcterms:modified>
</cp:coreProperties>
</file>